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A4C808CE-3760-4968-8240-4B3E5F1DD1E0}"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E129" i="2" l="1"/>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<sst xmlns="http://schemas.openxmlformats.org/spreadsheetml/2006/main" count="58974" uniqueCount="17833">
  <si>
    <t>Índice onomástico anual · Gazeta de Madrid</t>
  </si>
  <si>
    <t>Números 1 a 106 · 1 de enero–31 de diciembre de 1802</t>
  </si>
  <si>
    <t>Registros: 7.241</t>
  </si>
  <si>
    <t>Ordenación aproximada por apellidos; cada fila enlaza con la página del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</si>
  <si>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</si>
  <si>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</si>
  <si>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</si>
  <si>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</si>
  <si>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</si>
  <si>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</si>
  <si>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Nº Gazeta</t>
  </si>
  <si>
    <t>Página</t>
  </si>
  <si>
    <t>Observaciones</t>
  </si>
  <si>
    <t>Extracto original OCR</t>
  </si>
  <si>
    <t>Facsímil (página)</t>
  </si>
  <si>
    <t>Estado de lectura</t>
  </si>
  <si>
    <t>A'guádo'y Payan, Gregorio</t>
  </si>
  <si>
    <t>Gregorio A'guádo'y Payan</t>
  </si>
  <si>
    <t>Mencionado en una noticia, disposición o aviso de España.</t>
  </si>
  <si>
    <t>Noticias de España</t>
  </si>
  <si>
    <t>15 de octubre de 1802</t>
  </si>
  <si>
    <t>Transcripción del OCR histórico; compruebe la grafía en el facsímil.</t>
  </si>
  <si>
    <t>cisco del Ñero , D;. Miguel Ortiz Canela, D.-FelicianoMallen y Ramos, D. Francisco Tamariz y Moure, D. Gregorio A'guádo'y Payan * D. Joseph Rovira y Mico rD. Francisco Lazarte y A-valf, Antonio Pardo de Andrade, D. Bernardo de Eguia y Sanz, Don Joseph*García Güitléfmi, D. Pedro Vázquez deVelasco, D. Joseph</t>
  </si>
  <si>
    <t>Cotejar OCR</t>
  </si>
  <si>
    <t>A-onio Gf-ero Cevallos</t>
  </si>
  <si>
    <t>1 de junio de 1802</t>
  </si>
  <si>
    <t>a Contaduría Real de diezmos de a C?. í TV T«««h María de Arteaga: la plaza de Oiicial_ mayor de la D. A-onio Gf-ero Cevallos: ía^oe Xa¡ápa°á1S1 Amonio Illanef: la^e Administrador de las mismas rentas, de Xaiapa a • s-nAr^Ae* Guerrero: las de Guardas- de la Factoría en Apan, a J°ffP , Toseoh Toaqnin de A</t>
  </si>
  <si>
    <t>Abad, Antonio</t>
  </si>
  <si>
    <t>Antonio Abad</t>
  </si>
  <si>
    <t>Mencionado en un nombramiento, ascenso, concesión o disposición oficial.</t>
  </si>
  <si>
    <t>Nombramientos y disposiciones</t>
  </si>
  <si>
    <t>2 de abril de 1802</t>
  </si>
  <si>
    <t>el de Arce. Igualmente ha nombrado S. M. para el destino de Guarda Almacén de b plaza de Veracruz á D. Antonio Abad de. Iberri : para la plaza de Oficial 6.° de la Tesorería general- de la Renta del tabaco del mismo Reyno á -D. Francisco Xavier Sabiñon : para la de 7.° de la misma Tesorería á B. J</t>
  </si>
  <si>
    <t>Abad, Príncipe</t>
  </si>
  <si>
    <t>Príncipe Abad</t>
  </si>
  <si>
    <t>Mencionado en una noticia extranjera.</t>
  </si>
  <si>
    <t>Noticias extranjeras</t>
  </si>
  <si>
    <t>31 de diciembre de 1802</t>
  </si>
  <si>
    <t>las reclamaciones que ay er sé han hecho presentes á la diputación, se hallan las nuevas quejas del Príncipe Abad diéTul^at felátivas á la Ocupación dea quel país por parte dé l Príncipe d é ;N ás san- Oran g“e. La diputación no ha tenido por ccñvéniénté el dar cursó á esta reclamación. I ón</t>
  </si>
  <si>
    <t>*29l dio al mencionado Príncipe Abad las oferta si sigd^ntes. i¿,Qne $igies£; entre las diferentes casas de campo y demas la tpe ¡creyese mas.comed a y fuese mas de su gusto.. 2.a 2.: vane Darle para para, su uso todo to</t>
  </si>
  <si>
    <t>Abadin, Luis</t>
  </si>
  <si>
    <t>Luis Abadin</t>
  </si>
  <si>
    <t>Mencionado en una relación militar de individuos, procedencia, parentesco o haberes.</t>
  </si>
  <si>
    <t>Relaciones militares y haberes</t>
  </si>
  <si>
    <t>7 de diciembre de 1802</t>
  </si>
  <si>
    <t>Supl., p. 14</t>
  </si>
  <si>
    <t>.... rs4* B. Id. Luis Abadin...................... . Francisco, FranciscaTalea. Vivero........... Mondoñedo.. 124. 32. Id. Bernabé Diez------ ---------- Manuel, Isabel García..</t>
  </si>
  <si>
    <t>Abarca, Joseph</t>
  </si>
  <si>
    <t>Joseph Abarca</t>
  </si>
  <si>
    <t>12 de octubre de 1802</t>
  </si>
  <si>
    <t>lmo Martínez,_D. Rayníundo Carbonell,* D. Rodrigo •Aívarez, D. Ignacio Sandoval, D¿ Nicolás Pastor, D. Joseph Abarca, Don Jdseph Díaz, D. Ignacio Luzon¿ D. Mariano Merchante, D. Christóbal Manzano, D. FranciscoFaxardo, D. Andrés Orozco, D. Miguel Duran, D. Cárlos Chinchilla, D&gt;. Antonio Texád a,</t>
  </si>
  <si>
    <t>Abascai, Joseph Fernando</t>
  </si>
  <si>
    <t>Joseph Fernando Abascai</t>
  </si>
  <si>
    <t>rera, Do? Rafael María Aguilar, D. Joseph Montero, D. Isidro jLimonta, tD; Joá-1 quin de Zubillága, D. Joseph Fernando Abascai, D. Benito Perez, y él Conde de Mopox. : ; ■ A Brigadieres los Coroneles: en España. D. Joaquín Ferrandiz, el Marqués de Lazan, D. Juan Magín, el Conde Colona, D. Antonio García C</t>
  </si>
  <si>
    <t>Abate Fontaine</t>
  </si>
  <si>
    <t>Mencionado en un anuncio bibliográfico, artístico o editorial.</t>
  </si>
  <si>
    <t>Libros, estampas y avisos culturales</t>
  </si>
  <si>
    <t>6 de julio de 1802</t>
  </si>
  <si>
    <t>el Emperador de Rusia otra prueba de su amor á las letras enviando dé regalo al Abate Fontaine, autor del Curso enciclopédico y elemental de matemáticas y física, una magnífica sortija guarnecida de diamantes , valuada en 3© rublos, con una carta muy lisonjera y honorífica. Refier</t>
  </si>
  <si>
    <t>Abate Giansante</t>
  </si>
  <si>
    <t>15 de enero de 1802</t>
  </si>
  <si>
    <t>gabinete para la corte de Londres con pliegos de la Reyna de Ñapóles y del Sr. Abate Giansante, Ministro de S. M. Siciliana. Ratisbona 10 de Diciembre. S e han divulgado voces de haberse concluido amistosamente las diferencias pendientes entre el gabinete de Viena y el de Berlín; lo</t>
  </si>
  <si>
    <t>Abate Maydieu</t>
  </si>
  <si>
    <t>en papel por docenas á real. El hombre honrado : obra escrita en francés por el Abate Maydieu , Canónigo de la iglesia de Troyes, y traducida por el Capitán D. Pedro Antonio Martínez de la Serna, Teniente de la brigada de Carabineros Reales. Esta obra sumamente instructiva forma un v</t>
  </si>
  <si>
    <t>Abate, Joseph María</t>
  </si>
  <si>
    <t>Joseph María Abate</t>
  </si>
  <si>
    <t>, D. Nicolás Iberri, D. Manuel Benisia, D. Manuel Cevallos, D. Pedro Fabregues, D. Agustín Ramírez, D. Joseph María Abate , D. Diego García Conde, D* Francisco Frías,-D. Manuel Pastor, D. Pedro Quevedo, Don Juan de Villanueva, D. Domingo.de Aragón , D. Andrés Ximenez, Doti Tomas de Figueroa, D. Juan</t>
  </si>
  <si>
    <t>Abaxo, Carlos</t>
  </si>
  <si>
    <t>Carlos Abaxo</t>
  </si>
  <si>
    <t>iérrez, ¿0* Manuel&lt; Herrera, D. Ramón García, D. Joseph Escario, 0. Joseph'de Sotó, D. Tomas Chacón,D. Carlos Abaxo, O..Julián de Altana* 0. Antonio de Parga^ 0. Pascual Martínez* Don</t>
  </si>
  <si>
    <t>Abbot</t>
  </si>
  <si>
    <t>12 de marzo de 1802</t>
  </si>
  <si>
    <t>ferido á Mr. Juan Mitford, Orador ó Presidente de la Cámara de los Comunes, en la qual le reemplaza Mr. Abbot. Ayer se confirmó su nombramiento en la Cámara de los Pares por una junta de tres Lores autorizados para ello por S. M. Ha vuelto Mr. Wilberforce ¡a ofrecer , en la Cámara baxa qu</t>
  </si>
  <si>
    <t>17 de diciembre de 1802</t>
  </si>
  <si>
    <t>vocales trataron al instante de nombrar el orador. Mr. Guillermo Scott propuso para esta dignidad á Mr. Abbot, que ya ja obtuvo otra vez.. Apoyó Mr, Lascelles la proposición dé Mr. Scott»: y.quedó elegido. Mr. Abbot por unanimidad de votos. Pronunció el discurso de gracias, y luego fue co</t>
  </si>
  <si>
    <t>21 de diciembre de 1802</t>
  </si>
  <si>
    <t>creerse que se anulará aquel decreto. '-4*:':-I L óndres 'zg de Noviembre. ; E 1 día 17 se presentó Mr. Abbot éri lá Cámara de los Comunes para informarla que el Rey había aprobado su elección de Orador de dicha Cámara. Añadió que S.~M. había confirmado á sus leales Comunes todos los dere</t>
  </si>
  <si>
    <t>Abdon García</t>
  </si>
  <si>
    <t>Supl., p. 15</t>
  </si>
  <si>
    <t>... asi. 7. Muerto. Abdon García....................... Abdon, Catalina Ramírez. Pobladura... León............ . 440. 30. Id. Juan Vaca..................... Antonio , María Cepeda... León.............. Leó</t>
  </si>
  <si>
    <t>Abel, Martín</t>
  </si>
  <si>
    <t>Martín Abel</t>
  </si>
  <si>
    <t>10 de septiembre de 1802</t>
  </si>
  <si>
    <t>ón, de mas de dos horas cada una, fuéroa examinados por suerte D. Joseph Blanco, D. Agustín Deifez, D. Martin Abel enda, D. Andrés Rodríguez, D« Luis Barrera y D. Joseph Fivadulla, en aritmética: D. Pédro Gómez y D. Rafael Cobian, en aritmética y geometría D. Agustín Mellon, Cadete de carabinero</t>
  </si>
  <si>
    <t>Abella, Manuel</t>
  </si>
  <si>
    <t>Manuel Abella</t>
  </si>
  <si>
    <t>30 de marzo de 1802</t>
  </si>
  <si>
    <t>al academia de la Historia, por medio de su director D. Francisco Martínez Marina y de su individuo D. Manuel Abella , ha tenido la honra de presentar á k&gt;s Reyes Nitros. Sres. la sección primera del Diccievario geogrdfiLú-histórUo de España, que ccmprehende el rtyno de Navarra, señorío de Vizca</t>
  </si>
  <si>
    <t>Abercrombie, General</t>
  </si>
  <si>
    <t>General Abercrombie</t>
  </si>
  <si>
    <t>Citado en un aviso sobre fallecimiento, parentesco, haberes o derechos de herederos.</t>
  </si>
  <si>
    <t>Avisos y anuncios</t>
  </si>
  <si>
    <t>9 de abril de 1802</t>
  </si>
  <si>
    <t>tán haciendo del Capitán Burget, que murió en una batalla contra ios holandeses, del Lord Howe, del General Abercrombie, y de los Capitanes Morse y Riou; pero por ahora no se trata del gran monumento naval, que se dixo había de erigirse para perpetuar la memoria de los triunfos de la marina inglesa</t>
  </si>
  <si>
    <t>ina. Ha muerto en Malta Mr. Buchanan , Capitán del navio Huerlem, y se le dió sepultura al lado del General Abercrombie. Según cartas de la propia isla se sabia por noticias de Egipto que los</t>
  </si>
  <si>
    <t>Abóville, General</t>
  </si>
  <si>
    <t>General Abóville</t>
  </si>
  <si>
    <t>Iá primera silla de Francia, está dando el exemplo de todas las virtudes apostólicas y cívicas; El General Abóville , conocido en toda Europa por los talentos, militares qué acreditó en la guerra de la independencia dé la América septentrional* sé halla al frente del cuerpo de artillería, que t</t>
  </si>
  <si>
    <t>Abramson</t>
  </si>
  <si>
    <t>22 de octubre de 1802</t>
  </si>
  <si>
    <t>r _____ _ _ Acaba S. M. de señalar una suma considerable para establecer Caños de m2r en Collberg. Mr. Abramson , medallistá de la corte, ha acuñado una medalla, en ■memoria del Principe Henriqué de Prusia._ Entre las. muchas*' inándas. qué este Príncipe ha dexa do en su testamento, así á f</t>
  </si>
  <si>
    <t>Abranson</t>
  </si>
  <si>
    <t>7 de septiembre de 1802</t>
  </si>
  <si>
    <t>cipe Henrique será inmortal en la historia: de Prusia, especialmente co* mo General y guerrero. Por Mr. Abranson, grabador de medallas del Rey , se ha acuñado una en memoria de la conferencia que S. M. ha tenido en Memel con el Emperador de Rusia. Por un lado representa á los dos Soberanos c</t>
  </si>
  <si>
    <t>Abreu y Orta, Joseph</t>
  </si>
  <si>
    <t>Joseph Abreu y Orta</t>
  </si>
  <si>
    <t>o de Andrade, D. Bernardo de Eguia y Sanz, Don Joseph*García Güitléfmi, D. Pedro Vázquez deVelasco, D. Joseph Abreu y Orta', Ií Joseph de Villegas y Córdoba , D. Antonio Calvillo y Lata, Di Luis'Blanchi y Munarini, D. Joseph Kenrique Forvin, D. Joaquiir dé Villalba, D. Candido de Lasala ¿ D. Gerónimo C</t>
  </si>
  <si>
    <t>Abreu, Domingo</t>
  </si>
  <si>
    <t>Domingo Abreu</t>
  </si>
  <si>
    <t>2 de febrero de 1802</t>
  </si>
  <si>
    <t>.infantería de Toledo se h,a servido promover S. M. á primer Teniente de granaderos ai de fusileros D. Domingo Abreu: en el de Nápoles á segundo .Subteniente al Subteniente agregado á las milicias de Buenos-Ayres D. Joseph Antonio Azebpy; y eu ei de suizos de Rutiman á Subteniente al Cadete D. C</t>
  </si>
  <si>
    <t>Abría</t>
  </si>
  <si>
    <t>y Roederer, Presidente de la sección de lo interior én el Consejó dé Estado. El ciud. Abría!, qué estuvo mucho tiempo encargado del ministerio público en el tribunal de casación, acreditó tal probidad y talento* qüe por ello mereció el ministério de l</t>
  </si>
  <si>
    <t>Abrial</t>
  </si>
  <si>
    <t>8 de octubre de 1802</t>
  </si>
  <si>
    <t>París ij de Setiembre. / -J A caba el primer Cónsul de nombrar Senadores á los ciudadanos Abrial, Ministro de Justicia, Fouché, Ministro de Policía, Dubelioy, Arzobispo de París, Rocderer, Consejero dé Estado, y* Aboville, primer Inspector genexal de Artil</t>
  </si>
  <si>
    <t>Abuin, Juan</t>
  </si>
  <si>
    <t>Juan Abuin</t>
  </si>
  <si>
    <t>al primer Teniente D. Agustín Benitez de Alfaraz; á primeros Tenientes á ios segundos de granaderos D. Juan Abuin, D. Joachin de Losada y D. Candido Failde; á segundos Tenientes de granaderos á los de fusileros D» Salvador de Molina, D. Pedro Rosselly y D. Pedro Beltran*; á segundos Tenientes</t>
  </si>
  <si>
    <t>Acedo Torres, Francisco</t>
  </si>
  <si>
    <t>Francisco Acedo Torres</t>
  </si>
  <si>
    <t>26 de octubre de 1802</t>
  </si>
  <si>
    <t>Padrino el Cabildo de la santa iglesia de Toledo, primada de las Españas,representado por los Sres.D. Francisco Acedo Torres, Dignidad oe Tesorero y Canónigo de dicha santa iglesia, D. Miguel de Ocnoa,' -Auditor de la Rota y Canónigo, D. Gabriel de Hevia y Noriega, del Consejo de la Inquisición general</t>
  </si>
  <si>
    <t>Acedo, Ignacio</t>
  </si>
  <si>
    <t>Ignacio Acedo</t>
  </si>
  <si>
    <t>uis Moreno y Mendoza, D. Franf cisco Basurto y Vargas, D. Joseph de lá Azuela, P. Antonio Castaños, D. Ignacio Acedo, D. Francisco García González, D„ Francisco Xaviejr Pineda, D. Bartolomé Rodríguez de Arias,D. Antonio Miranda y Cosmea, D. Francisco Párraga, D. Vicente de la Torre Puebla ,D. Jo</t>
  </si>
  <si>
    <t>Acevedo, Vicente</t>
  </si>
  <si>
    <t>Vicente Acevedo</t>
  </si>
  <si>
    <t>29 de enero de 1802</t>
  </si>
  <si>
    <t>l regimiento de Reales Guardias Españolas se ha servido promover S. M. á Capitán at primer Teniente D. Vicente Acevedo; y á segundo Ayudante mayor al segundo Teniente, graduado de Teniente Coronel, Don Andrés Blazquez. En el de Reales Guardias Walonas á primer Teniente al segundo Teniente D. Juan</t>
  </si>
  <si>
    <t>Achard</t>
  </si>
  <si>
    <t>5 de febrero de 1802</t>
  </si>
  <si>
    <t>duo y 111 quintales de melote. Otros 30 quintales de remolachas cultivadas según el nuevo método de Mr. Achard dieron cada uno 6 libras y 3 onzas de azúcar. Las heces pueden servir para destilar aguardiente y para alimento de los ganados; y el azúcar después de refinado sirve para los mism</t>
  </si>
  <si>
    <t>23 de abril de 1802</t>
  </si>
  <si>
    <t>100 quintales de remolachas se hicieron este invierno 400 libras de azúcar blanco en la fábrica que Mr. Achard ha establecido en Silesia. Francfort 26 de Marzo. H a pasado por aquí para Francia el Conde de Choiseuil-Goufíier con su esposa, la qual es una Princesa de Polonia que tiene 72$ l</t>
  </si>
  <si>
    <t>ntar en estos países el cultivo de las remolachas y la extracción de su azúcar» según el método del Dr. Achard, acaba de conceder el Emperador varias exenciones á gran número de hacendados; y al mismo tiempo ha dado un terreno de mucha extensión al Sargento maynir Leririala-Jew para que cu</t>
  </si>
  <si>
    <t>Achard de Berlín</t>
  </si>
  <si>
    <t>o un premio considerable y dos menores para los que hicieren el mejor juicio crítico de la obra. El Dr. Achard de Berlín, á quien el Rey de Prusia ha encargado el examen de las experiencias que se hacen para extraer azúcar de algunas especies de remolacha, ha publicado las resultas de sus últimos ex</t>
  </si>
  <si>
    <t>Achaval y Orueta, Joseph</t>
  </si>
  <si>
    <t>Joseph Achaval y Orueta</t>
  </si>
  <si>
    <t>roeta y Ozaeta, D. Antonio Piédrola y Verdugo,©. Pedro Mosti y Arrambide,D. Juan de Muía y Guevara, D. Joseph Achaval y Orueta, D. Pedro Ballesteros y Patino, Don Pedro Afán de Rivera, D. Benito Prieto Solares, D. Josepn Zuaznavar y Francia, D. Joseph Julián Jovani, D. Luis Moreno y Mendoza, D. Franf cisc</t>
  </si>
  <si>
    <t>Acostar Marques de Salas</t>
  </si>
  <si>
    <t>6 de agosto de 1802</t>
  </si>
  <si>
    <t>spectivas naciones: el Sr. Don Joseph Nicolás dé Azara le presentó el caballero Acostar Marques de Salas, Coronel de los exércitos de S. M. Católica. * - - -El dia 13 elMinistro de lo.Interior, á quien acompañaban el ciud. Crefet, Consejero de Estado que tiene á su cargo el ramo dé puentes y</t>
  </si>
  <si>
    <t>Acton, General</t>
  </si>
  <si>
    <t>General Acton</t>
  </si>
  <si>
    <t>25 de mayo de 1802</t>
  </si>
  <si>
    <t>osteriormente pasáron por aquí otros dos correos de París que iban á Ñapóles, adonde se sabe que el General Acton llegó el dia 4 con el Mayordomo mayor , que está encargado de disponer el palacio del Rey para que le habite S. M. , á quien se espera en aquella ciudad á principios de Mayo. Pare</t>
  </si>
  <si>
    <t>13 de agosto de 1802</t>
  </si>
  <si>
    <t>ará su lugar la de Fernando iv, coronada por la gloria, y á cierta distancia se verá la estatua del General Acton. Delante &lt;íel palacio Real hay un templo de la gloria, de arquitectura magnífica. Por la noche habrá soberbias funciones de pólvora. Turin 11 de Julio. D eseando el General Joúrda</t>
  </si>
  <si>
    <t>Adan de Yarza y Joseph María Ortés, Fernando</t>
  </si>
  <si>
    <t>Fernando Adan de Yarza y Joseph María Ortés</t>
  </si>
  <si>
    <t>26 de marzo de 1802</t>
  </si>
  <si>
    <t>ipción de la Europa hasta los Países Baxos, D. Manuel Claessens, D. Ignacio de Lardizabal y Altuna, D. Fernando Adan de Yarza y Don Joseph María Ortés de Velasco. En la descripción política de todo el globo, D. Joseph María Kindelan , D. Manuel de Lardizabal y Montoya, D. Antonio de Ugarte, D. Ignacio de Emparan, D. Joseph de Muniv</t>
  </si>
  <si>
    <t>Adan de Yarza, Fernando</t>
  </si>
  <si>
    <t>Fernando Adan de Yarza</t>
  </si>
  <si>
    <t>de Zuloaga, D. Manuel Claessens, Don Manuel de la Riva Agüero, D. Antonio de Ugarte, D. Joseph Cia, Don Fernando Adan de Yarza, D. Sebastian de Lasa, D. Joseph María Kindelan, D. Leopoldo Menendez, D. Francisco Trespalacios, D. Joseph de Torres , D. Blas de Lezo,D. Iñigo y D. Joseph María Ortés de Velasco</t>
  </si>
  <si>
    <t>D. Joseph Kindelan , Don Ignacio Empatan, D. Pedro Tavira, D. Rodrigo Tavira, D. Antonio Gil-, mán, D. Fernando Adan de Yarza, D. Manuel de la Riva Agüero, D. Joseph Cia, D. Leopoldo Menendez, D. Joseph de Torres, D. Joseph Munive, D. Luis Verganza, D. Luis Vidarte, D. Joachín del Rio, D. Francisco 1 res</t>
  </si>
  <si>
    <t>Adan, Juan Ángel</t>
  </si>
  <si>
    <t>Juan Ángel Adan</t>
  </si>
  <si>
    <t>Mencionado en un anuncio particular, económico o judicial.</t>
  </si>
  <si>
    <t>ltas , la executó sucesivamente en los del Alcalde mayor , del Administrador de correos, y del Lie. D. Juan Angel Adan y en los de otras muchas personas distinguidas, habiéndose logrado que todos los vacunados, que pasan de ioo, hayan tenido verdaderas viruelas vacunas , sin accidente alguno que haya</t>
  </si>
  <si>
    <t>Addington</t>
  </si>
  <si>
    <t>1 de enero de 1802</t>
  </si>
  <si>
    <t>rido pagar dos millones de esterlinas en que sale alcanzada en dichas cuentas. Según voces públicas Mr. Addington será promovido á Par del Reyno, y entrará en el Consejo: le reemplazará como Canciller del Echíquier Mr. Tierney, y Mrs. Fox y Grey serán Secretarios de Estado. Con fecha del 20 d</t>
  </si>
  <si>
    <t>8 de enero de 1802</t>
  </si>
  <si>
    <t>uardiente de granos, al que se ha opuesto Mr. Robson , alegando la escasez que aun se. padece; pero Mr. Addington sostiene que la cosecha de este año lia sh. do muy abundante. En el último paquebot de Lisboa ha llegado á Londres D. Joseph Ma-* ría de Sousa Bombelle, Embajador de S. M. Fidelís</t>
  </si>
  <si>
    <t>19 de marzo de 1802</t>
  </si>
  <si>
    <t>gen.” A proposición del Canciller se remitid el mensage á la Junta de subsidios, á la qual Mr. Addington comunico al dia siguiente varios documentos relativos á dichos atrasos de la deuda civil de S. M., y que comprelienden los gastos de 3 años, contados desde 5 de Enero de 1799* -k*</t>
  </si>
  <si>
    <t>asimismo muchos consejos de gabinete , unos en la secretaria del Lord Hawkesbury, y otros en la de Mr. Addington. Ayer murió en Woburn-Abbey el Duque de Bedford , á ios 37 años de edad. Era muy celebrado no menos en su patria que fuera de ella por el buen uso que hacia de sus rentas y riquez</t>
  </si>
  <si>
    <t>6 de abril de 1802</t>
  </si>
  <si>
    <t>egociaciones de paz , quedaron desvanecidas con quanto dixéron en sus discursos el Lord Hawkesbury, Mr. Addington y otros.</t>
  </si>
  <si>
    <t>30 de abril de 1802</t>
  </si>
  <si>
    <t>siguiente otras 618,340*. en 1784 otras óo©; y en 86 otra suma de 210©: en todo 1,501,85 r. Siguió Mr. Addington discurriendo sobre las. .diferentes causas del actual</t>
  </si>
  <si>
    <t>a deuda atrasada de la lista civil hasta 18 de Enero de 1802.” Mr. Fox se opuso á la proposición de Mr. Addington, y entre otras cosas dixo que los Ministros hacen los gastos y dexan al Parlamento el cuidado de pagarlos; y añadió: ,, El artículo que mas me ha ofendido es el de los gastos de l</t>
  </si>
  <si>
    <t>7 de mayo de 1802</t>
  </si>
  <si>
    <t>es en sentir de Mr. Peel ascienden á 3® millones de libras. Entre las contribuciones propuestas por Mr. Addington, y adoptadas por la Cámara , hay algunas sobre los criados, los coches y carruages, los caballos y perros, las casas , las ventanas &amp;c.; pero se ha suprimido el tributo territoria</t>
  </si>
  <si>
    <t>los asuntos de Italia y á los de Alemania. En la sesión de la Cámara baxa de antes de ayer entregó Mr. Addington un mensage Real al orador, quien le leyó y decía así: ,,Jorge Re y. Deseando S. M. mantener de un modo conveniente la casa de sus amados lujos SS. A A. RR. los Duques de Sussex y</t>
  </si>
  <si>
    <t>Addingtoñ</t>
  </si>
  <si>
    <t>'499 su informe.'Mr. Addingtoñ apoyo la solicitud de S. M. „Kstá generalmente reconocido, dixo, lo insuficiente de la lista civil: la conducta de la Cámara en semejantes ocasiones no dexa duda de que despachará</t>
  </si>
  <si>
    <t>parar los navios,y 122,500 para el cuerpo de artillería de mar: en todo3.489,500 libras esterlinas. Mr. Addington confesó que este número de gente de mar excedía mucho al que se acostumbra conservar en tiempo de paz; pero que era inevitable por ahora, á causa de los muchos buques de giferra q</t>
  </si>
  <si>
    <t>9 de julio de 1802</t>
  </si>
  <si>
    <t>tados. Hagamos por librarnos de las conseqiiencias funestas de este ruinoso sistema.”..... Contestó Mr. Addington diciendo que las objeciones de Mr. Banks serian fundadas si eLplan del Secretario de la Guerra hubiese de ser permanente; pero que solo se extendía á los 6 meses que quedan de est</t>
  </si>
  <si>
    <t>13 de julio de 1802</t>
  </si>
  <si>
    <t>acer los gastos del año última* —-Las contribuciones permanentes dé este pais ascienden, según cixo Mr. Addington, ¿32 millones de esterlinas , de los quales los 29 están destinados para pago de la deuda pública, y lo que ha de invertirse en el fondo de amortización. Quedan pues de esta parti</t>
  </si>
  <si>
    <t>23 de noviembre de 1802</t>
  </si>
  <si>
    <t>os le toparon 50 florines para él y para sus súbditós.&gt; -: ; , - ^ Fóndres de Octubre. JL/ícese que Mr. Addington, Chanciller delr Bchiquier, está formando un ntfévó plañ de rentas pára "presentarle ál Parlamento en sos ^riméras sie-í siones. , / -’V ■■ ":;¡v n Uba carta deCeylan de 19 de*Abr</t>
  </si>
  <si>
    <t>Adler</t>
  </si>
  <si>
    <t>18 de junio de 1802</t>
  </si>
  <si>
    <t>idente de la ciudad de Altona; los quales están encargados de examinar y juzgar esta ruidosa causa. Mr. Adler, célebre abogado de Altona, ha tomado á su cargo la defensa del Príncipe, el qual permanece preso en su casa; Al principio iban á ella los sugetos que compróp nén el juzgado para</t>
  </si>
  <si>
    <t>Adolfo de Inglaterra, Príncipe</t>
  </si>
  <si>
    <t>Príncipe Adolfo de Inglaterra</t>
  </si>
  <si>
    <t>2 de julio de 1802</t>
  </si>
  <si>
    <t>áñt^ps de) recibirlos debíeu ellos Hacer. Firmado: Fouché.” El 30 de Mayo desembarcó en Cuxhaven el Príncipe Adolfo de Inglaterra? Chique' de Cbiifbrtdge; y el mismo día se puso en camino para tíannover. .... . ■;.. ' La ciudad de Furth, cerca de Nuremberg, célebre ya por la aplicación é indu^tr-ia' du'sns-h</t>
  </si>
  <si>
    <t>Adolfo de Inglaterraserá, Príncipe</t>
  </si>
  <si>
    <t>Príncipe Adolfo de Inglaterraserá</t>
  </si>
  <si>
    <t>5 de enero de 1802</t>
  </si>
  <si>
    <t>an arreglado definitivamente todos los asuntos del Imperio. Confirman las cartas de Hannover que el Príncipe Adolfo de Inglaterraserá nombrado Gobernador general militar y político de aquel Electorados Créese que algunas potencias protestáron contra la elección deUnuevó Príncipe Abad de S. Blas, y contra la de l</t>
  </si>
  <si>
    <t>Adolfo Federico, Príncipe</t>
  </si>
  <si>
    <t>Príncipe Adolfo Federico</t>
  </si>
  <si>
    <t>nes de Setiembre en las playas de Virginia; y de dichos pasageros ni siquiera uno salvó la vida. El Príncipe Adolfo Federico, Duque de Cambridge , fue introducido el día 15 con gran ceremonia en la Cámara de los Pares, en donde prestó juramento. Le acompañaban el Duque de Norfolck en calidad de Conde Ma</t>
  </si>
  <si>
    <t>Adolfo, Príncipe</t>
  </si>
  <si>
    <t>Príncipe Adolfo</t>
  </si>
  <si>
    <t>en un asunto que la po-. tencia á quien representa desprecia, Se ha sabido por el paquebot nombrado Príncipe Adolfo, reden llegado de Lisboa, que la chalupa de S. M. llamada la Util, de porte de 18 cañones, que iba á Menorca y Malta con dinero para las tropas, zozobro en el estrecho de Gibralta</t>
  </si>
  <si>
    <t>de Inglaterra persiste, según parece, en su intento de ceder este Electorado á favor de su hijo el Príncipe Adolfo y sus descendientes. Esta resolución podrá ser muy ventajosa á la Gran Bretaña, cuyo gobierno en caso dee suerra gueí no tendrá .que hacer sacriflcios para conservar este país, co^m</t>
  </si>
  <si>
    <t>Adrián Marcos Martínez</t>
  </si>
  <si>
    <t>16 de marzo de 1802</t>
  </si>
  <si>
    <t>. Don Francisco Arjona; y para la Regencia de la Real Audiencia de Cataluña, que resulta vacante, á D. Adrián Marcos Martínez , Fiscal del Consejo de Navarra. En América. S. M. se ha dignado nombrar Sargentos mayores de las milicias disciplinadas de infantería de Goatemala á Tos Capitanes D. Juan Sánchez</t>
  </si>
  <si>
    <t>Adrián Morqúecho</t>
  </si>
  <si>
    <t>go y León, D. Per dro de Landazuri, D. Joaquín Soroa y Soroa , D. Fernando Bustamante y Bustamante, D. Adrián Morqúecho, D. Mateo Vicente y Crespo, Don Joseph Bazan y Villaroel, D. Juan Septien y Salinas , D. Domingo^ Pavía y Seix, D. Bartolomé Arguelles y Valdes, D. Femando Becerra .y Solis, D. Ra</t>
  </si>
  <si>
    <t>Afán de Rivera, Juan</t>
  </si>
  <si>
    <t>Juan Afán de Rivera</t>
  </si>
  <si>
    <t>D. Lorenzo Molina, D. Tomas López, DI Joseph González, D. Manuel Asensio, D. Joseph Francisco Díaz, D. Juan Afán de Rivera, D. Ramón María de Utrilla, D. Juan Antonio Cosío , D. Joseph Vaca, D. Francisco Man glano, D. Miguel García Sacristán , D. Bartolomé Sandoval, D. Rafael Tavira, D. Manuel de la I</t>
  </si>
  <si>
    <t>Afán de Rivera, Pedro</t>
  </si>
  <si>
    <t>Pedro Afán de Rivera</t>
  </si>
  <si>
    <t>i y Arrambide,D. Juan de Muía y Guevara, D. Joseph Achaval y Orueta, D. Pedro Ballesteros y Patino, Don Pedro Afán de Rivera, D. Benito Prieto Solares, D. Josepn Zuaznavar y Francia, D. Joseph Julián Jovani, D. Luis Moreno y Mendoza, D. Franf cisco Basurto y Vargas, D. Joseph de lá Azuela, P. Antonio Ca</t>
  </si>
  <si>
    <t>Affry</t>
  </si>
  <si>
    <t>Ministro de Guerra, y Berrard-Sarrzin___ Fr i burgo al Senador Leglist, y á los ciudadanos Blanc y Affry. Este último Alé Capitán de guardias suizas en Francia.__ £1 país de Vaud al Prefecto nacional Monód, al ex-Senador Muret, y al citid. Secretan___La Argovia y</t>
  </si>
  <si>
    <t>Agapito Martínez</t>
  </si>
  <si>
    <t>5 de octubre de 1802</t>
  </si>
  <si>
    <t>u puebloi que asistiéron á dichos certámenes. En la primera clase fuéron premiados D. Pablo Alonso, D. Agapito Martínez, D. Pedro del Caño y D. Joseph Gallarte. En la segunda D. Romualdo Merino» D. Nicolás Casaba!, Dpn Nicolás Ramírez, D. Lucas de Soto, D. Fructuoso Cariñena, D* Patricio Gómez, D.</t>
  </si>
  <si>
    <t>Agapito Pedroso</t>
  </si>
  <si>
    <t>Supl., p. 5</t>
  </si>
  <si>
    <t>lzada. 267. ja. Id. Agapito Pedroso........... . Manuel, Antonia Somalo.. Baños............. Sto. Domingo. 296. 11. Id*</t>
  </si>
  <si>
    <t>Agapito Ramírez de Arellano, Juan</t>
  </si>
  <si>
    <t>Juan Agapito Ramírez de Arellano</t>
  </si>
  <si>
    <t>s en la gaceta núm. 92 de 1791, y en vasías extrangeras, particularmente en ia de Florencia. El Sr. D. Juan Agapito Ramírez de Arellano, digno sucesor del Sr. Lorenzana, profesando el mismo afecto á las tres nobles aríes, y persuadido del gran bien que producirá su estudio en estos natura i es, principalmente para</t>
  </si>
  <si>
    <t>Agar y Bustiilos, Pedro</t>
  </si>
  <si>
    <t>Pedro Agar y Bustiilos</t>
  </si>
  <si>
    <t>len y Morfi, Don Joseph Bernia , &lt;D.j6sephBrandaTÍs ,D. igna.cio Meftdizafcaí, D. Fernando Noguera, D. Pedro Agar y Bustiilos, D. Joseph Salazar y Rodríguez, D. Joseph Laguna Calderón,: D. Diego Ochando, D. Ramón De. loves, D. Joseph Sartorio, D. Juan Desloves, D.: Bernardo González, D. Joaquín Guzman, D</t>
  </si>
  <si>
    <t>Age, General</t>
  </si>
  <si>
    <t>General Age</t>
  </si>
  <si>
    <t>13 de abril de 1802</t>
  </si>
  <si>
    <t>as á los comandantes civiles y militares. El Ayudante despachado con ellas fué bien recibido por el General Age; pero ios xefes negros y mulatos tuvieron sospechas de este General, que es blanco, se sublevaron , y exigieron que guardase en su poder ai Ayudante de Boudet, su bote y todos los</t>
  </si>
  <si>
    <t>Agier</t>
  </si>
  <si>
    <t>eneral se ha conferido al ciud. Défermont, los de Directores particulares á los ciudadanos Agier, Guilieaume, Ruffault, Serretin y Denormandie, y el de Secretario general al ciüd. Crespeaux. El ciud. Thierry, vecino delHaye en el departamento del Indra y L</t>
  </si>
  <si>
    <t>Agnew, Coronel</t>
  </si>
  <si>
    <t>Coronel Agnew</t>
  </si>
  <si>
    <t>ra el qual sublevó y armó al puebio en las inmediaciones de Maduré» fué vencido y derrotado por: eí Coronel Agnew. . or. - -í Basilea 13 de Setiembre. S obre los acontecimientos de Zurich se ha publicado la siguiente noticia: „ Hacia mucho tiempo que aquella ciudad mantenía correspondencias c</t>
  </si>
  <si>
    <t>AgniWe, Fernando</t>
  </si>
  <si>
    <t>Fernando AgniWe</t>
  </si>
  <si>
    <t>Cle^* mente Falcon 9 D. Francisco Reyna ¿ D; AntonioBracho, D.Juan Munar-i Hié, D. Vicente Reyna ,'D. Fernando AgniWe, D^Fernando Gabriel, Don Ramón Lope, D. Juan Camargo, D. Juan Martes, D. Joseph Quevedos</t>
  </si>
  <si>
    <t>Agraz, Joseph Ramón</t>
  </si>
  <si>
    <t>Joseph Ramón Agraz</t>
  </si>
  <si>
    <t>aderos al de fusileros D. Carlos Sevilla, y á segundo Subteniente al Sargento primero de granaderos D. Joseph Ramón Agraz. En América. El Rey se ha servido nombrar á D. Joseph María Gómez de Villaseñor, Canónigo Penitenciario de la catedral de Guadalaxara, para la Dignidad de Tesorero de la misma, va</t>
  </si>
  <si>
    <t>Aguado Muzquet, Juan</t>
  </si>
  <si>
    <t>Juan Aguado Muzquet</t>
  </si>
  <si>
    <t>16 de febrero de 1802</t>
  </si>
  <si>
    <t>y desvalidos, excediendo sus continuas limosnas á lo que parecía posible que cupiese en sus rentas. Don Juan Aguado Muzquet remitió el 11 del mes último á D. Joseph Mendízabal , vecino de la ciudad de S. Sebastian , 7 vales Reales de 600 pesos, creación de i.° de Enero , números 363,739, 359,697, 371,5</t>
  </si>
  <si>
    <t>Aguado, Basilio</t>
  </si>
  <si>
    <t>Basilio Aguado</t>
  </si>
  <si>
    <t>Supl., p. 6</t>
  </si>
  <si>
    <t>37. 19. Licenciado. Basilio Aguado............. 4. 6. Id. Antonio Feixoo,....... Domingo, Pascuala A</t>
  </si>
  <si>
    <t>Aguado, Carlos</t>
  </si>
  <si>
    <t>Carlos Aguado</t>
  </si>
  <si>
    <t>ldosrius, D. Juan Manuel de Villeoa, el Marques de Monsalud, D. Francisco Palafox, D. Joseph Ortiz, D. Carlos Aguado, D. Andrés López, D. Pedro Roca, D. Tomas de Jáuregui, D. Marcelo Hstranio, D. Salvador del Toro, D. Joseph Ampudía, D. Francisco Gelabert, el Marques’de Viliadángos, el Conde Arm</t>
  </si>
  <si>
    <t>Aguado, Joseph</t>
  </si>
  <si>
    <t>Joseph Aguado</t>
  </si>
  <si>
    <t>3 de agosto de 1802</t>
  </si>
  <si>
    <t>presentó en los dias 12, 13 y 14 del corriente los colegiales Don Valero Azara, D. Salvador Pallás, D. Joseph Aguado, Bachilleres en fi</t>
  </si>
  <si>
    <t>Aguado, Miguel</t>
  </si>
  <si>
    <t>Miguel Aguado</t>
  </si>
  <si>
    <t>Supl., p. 8</t>
  </si>
  <si>
    <t>.. 427. ai. Muerto. Miguel Aguado................... Juan, María Huete.............El Monte.... Cuenca........... 291. 26. Id. Ignacio Perez.............. Gabriel, Ana Manuel........ Villafafilas..,</t>
  </si>
  <si>
    <t>Agudo del Rio, Ramón</t>
  </si>
  <si>
    <t>Ramón Agudo del Rio</t>
  </si>
  <si>
    <t>a de sus caudillos.” Villa del Mellon, en Castilla la 'Nueva, jo de Alayo. D on Ramón Agudo del Rio, Cirujano titular de esta villa, noticioso de los buenos efectos de la vacuna, acompañado de D. Matías Gómez Duran, Cura, y de D. Manuel Martin Ibañez, Capellán, pasó el 14 de Diciembre del</t>
  </si>
  <si>
    <t>Agüero, Domingo</t>
  </si>
  <si>
    <t>Domingo Agüero</t>
  </si>
  <si>
    <t>e Runford , traducidos de orden de la Real sociedad económica de esta corte por su socio, de mérito Don Domingo Agüero &lt;y Neyra. Esta obra, que no ha^podido darse al.puo.ico con la prontitud que se .anunció CU :gazeta .de 17 de Octubre de ,l8°° por la n;.cesidaa de reformar- los innumerables error</t>
  </si>
  <si>
    <t>Aguilar, Alonso</t>
  </si>
  <si>
    <t>Alonso Aguilar</t>
  </si>
  <si>
    <t>Supl., p. 3</t>
  </si>
  <si>
    <t>996. 18. Id. Alonso Aguilar................... Antonio»Teresa Avecilla... Arcos de la.. Frontera......... 4 i • S. Id.</t>
  </si>
  <si>
    <t>Aguilera, Nicolás</t>
  </si>
  <si>
    <t>Nicolás Aguilera</t>
  </si>
  <si>
    <t>14 de septiembre de 1802</t>
  </si>
  <si>
    <t>ito á Capitanes á los Tenientes Pablo Martínez y Don Juan Salvador ; á Téniéhtes á los Subtenientes D. Nicolás Aguilera -y Don Gaspar dé Santistébán y' á Subtenientes á los Cadetes D. Joseph de Gastro y í). Manuel Aguilar. Catón español político christiano: obra original sacada de graves autores na</t>
  </si>
  <si>
    <t>Aguirre y Villalba, Antonio</t>
  </si>
  <si>
    <t>Antonio Aguirre y Villalba</t>
  </si>
  <si>
    <t>h Iturrigaray, D. JuanBernazi y Retamar, D. Ramón Blanco Criado, D. Pedro Valencia, D. Tomas rando, D. Antonio Aguirre y Villalba, D. Joseph González y Ortiz, D. Antonio. Aguilera, D. Ciríaco de Plano y GarayyD.1 Pedro Albarracin Quero’/D. 'Antonio Albarracin y Quero, D¿ Igiácio Basabe, Joseph Póncé de Leonj</t>
  </si>
  <si>
    <t>Aguirre, Cardenal</t>
  </si>
  <si>
    <t>Cardenal Aguirre</t>
  </si>
  <si>
    <t>s, y lo prueban las 10 copiosas ediciones que de ella se han hecho , la una en Roma á costa del Sr. Cardenal Aguirre, para que se extendiese su lectura : con ella puede qualquier christiano emprender el mas seguro y suave camino de la perfección , y llegar al fin para que fue criado. Habiéndose</t>
  </si>
  <si>
    <t>Aguirre, Juan Bautista</t>
  </si>
  <si>
    <t>Juan Bautista Aguirre</t>
  </si>
  <si>
    <t>eph Yañez; esta resulta al Subteniente D. Plácido Maneyro, y la Subtenencia que este dexa al Cadete D. Juan Bautista Aguirre. S. M. se ha servido conceder al Teniente de Navio D. Manuel de Espinosa y Tello agregación de Teniente Coronel veterano aL regimiento provincial de caballería de Querétaro, y el</t>
  </si>
  <si>
    <t>Aguirre, Miguel</t>
  </si>
  <si>
    <t>Miguel Aguirre</t>
  </si>
  <si>
    <t>Henrique Texerizo, D. Benito Tolra Lafita , D. Serafín Alonso, D. Rafael Nestares, D. Joaquín Ruiz, D. Miguel Aguirre, Don JuanNuñez , D. Juan Navarro , D. Anselmo Plaza , D. Francisco González de la Vega, D. Joseph Antonio de Terán, D. Vicente Vázquez, Don Juan Vázquez, D. Manuel Quiroga y Corni</t>
  </si>
  <si>
    <t>Aguirre, Pedro Luis</t>
  </si>
  <si>
    <t>Pedro Luis Aguirre</t>
  </si>
  <si>
    <t>30 de julio de 1802</t>
  </si>
  <si>
    <t>iendo con esta comisión los Lics.; í). Juan Pedro de Figueroa, D. Lúeas Herrero, Fernando Rodrigo y D. Pedro Luis Aguirre , Regidores, y Procurador general de aquel Ayuntamiento.. Sancti Martini Legioneosis presbyteri, atque Canonici regularis ordinis Sanctl Augustini in Regio coenobio Legionensi D.</t>
  </si>
  <si>
    <t>Agustín Martín</t>
  </si>
  <si>
    <t>Supl., p. 7</t>
  </si>
  <si>
    <t>...... 103. 22. Id. Agustín Martin........ ......... Agustín, Eugenia Varales.. Villacintor... León.............. 20. 31. Id. Cayetano Arangunde...... Cayetano,</t>
  </si>
  <si>
    <t>Agusto, Miguel</t>
  </si>
  <si>
    <t>Miguel Agusto</t>
  </si>
  <si>
    <t>5 de marzo de 1802</t>
  </si>
  <si>
    <t>cente Andino, D. Santiago de Córdoba y D. Juan Escudero; á Tenientes los Subtenientes de granaderos D. Miguel Agusto, D. Alonso Velez y D. Joseph Lino Garzón, y al de fusileros D. Juan de Lugo; y á Subte-' nientes de granaderos los de fusileros D. Francisco Romero, D. Vicente* Vinegra y D. Eugen</t>
  </si>
  <si>
    <t>Agustra del Campo</t>
  </si>
  <si>
    <t>alcedo. A grado de Coronel los Tenientes Coroneles! en España. D. Mateo Iruegas, D. Narciso Belloc, D. Agustra del Campo, Don Pedro Darsens, D. Francisco Tirado, D. Diego María Fiballer, D. Jayme García Conde, D, Manuel Jáuregui, D. Cárlos Reynaldp de Coup'igni, D. Joseph Lebrun, D. Manuel la Barre,</t>
  </si>
  <si>
    <t>Agwera, Joseph</t>
  </si>
  <si>
    <t>Joseph Agwera</t>
  </si>
  <si>
    <t>. En la ciudad de Cartagena se halla establecida y corriente la fábrica de Don Cirilo Cros, maestro D. Joseph Agwera, de fortes-pianos á la inglesa, de última invención , los inas con tres registros á los pies, de g octavas, de fefaut, re grave hasta fefaut agudo $ de caoba ó de nogal, del tamaf</t>
  </si>
  <si>
    <t>Ahtónfo' Fernandezr</t>
  </si>
  <si>
    <t>°’r** Q^icir quisierC' hacer poituraíácuda ante dicho Sr. Teniente, por la éscribahlá ‘ que■-eaérée D. Ahtónfo' Fernandezr: previniéndose que para ser admisible habrá de hacerse en moneda metálica, y que él remate no se verificará en ménoé de la-tasaé • ; ( ; A Dolía María de; la Soledad Lally y Ordof</t>
  </si>
  <si>
    <t>Aíanuel Torrescano</t>
  </si>
  <si>
    <t>l de Valladolid de Mechoacan se ha servido promover S. Ai. á Tenientes al Subteniente de granaderos Don Aíanuel Torrescano, y al de fusileros D. Juan Bautista Guerra ; á Subteniente de granaderos al de fusileros D. Manuel Muñiz, y á Subtenientes á D. Joseph Buenaventura Herrera y D. Aíanuel Mayo y Cam</t>
  </si>
  <si>
    <t>Aiexander</t>
  </si>
  <si>
    <t>29 de octubre de 1802</t>
  </si>
  <si>
    <t>el tren y la librea de los Sherifes; y en prueba de ello bastará decir que el látigo del cochero de Mr. Aiexander costó qoo rs* Antes de ayer entró en Shéerness la fragata de guerra Latona, á cuyo bordo viene dePetersburgo ei Lord St. Helens con su comitiva!. Las cartas dcvJamayca dé 8 de Ago</t>
  </si>
  <si>
    <t>Aiexandro Casal</t>
  </si>
  <si>
    <t>Supl., p. 2</t>
  </si>
  <si>
    <t>60. 12. Licenciado. Aiexandro Casal.................. Antonio, Paula Terra...... S. Verisimo.. Santiago........ 727. 7. Presidio. Antonio Ramos................ . Francisco, María Rodríguez. S. Pelayo.... Salvatier</t>
  </si>
  <si>
    <t>Aiexandro Morales</t>
  </si>
  <si>
    <t>sto, D. Rafael Asprer y Janer,D.Francisco Pareja y Tortolero,D. Joseph Labayen, Don Domingo de Paz, D. Aiexandro Morales,D.Pedro Joseph de Lemus, Don Manuel Arcavna y Ximenez, D. Francisco Meñaca y Arechaga, D. Justo Arison yRooaud, D. Pedro Iriarte y Zerezera, D. Joseph Sáavedra y Chaves, D. Miguel</t>
  </si>
  <si>
    <t>Airiénto Gale</t>
  </si>
  <si>
    <t>González Veggv D. EdiKftdo l^sqiWfay Ariasv^I^ BewtQ Éíii!deláT !E¿calerá¿ D. FerminiRuiz Usd&amp;lerap^D. Airiénto Gale¿i yrTAótagilai, &lt;3¡&gt;y- Pedro FernandexNavarretr, IX^Jaféph'de^Mátiénzo AJg£rté*\l&gt;^F¿íaÉncisco Aldao y Aragón f D. Joseph Losada RíV era /Ó.’Domíngolde^M^tienzd y ligarte , 1).*»M</t>
  </si>
  <si>
    <t>Airoba, Pablo</t>
  </si>
  <si>
    <t>Pablo Airoba</t>
  </si>
  <si>
    <t>Supl., p. 10</t>
  </si>
  <si>
    <t>59. 29. Id. Pablo Airoba...................... jacinto, Isabel Austria......... Haro.............. Sto. Domingo. 470. $. Id. Juan Nevares....................... Francisco, Cesaría Antigüe*</t>
  </si>
  <si>
    <t>Akerblad</t>
  </si>
  <si>
    <t>5 de noviembre de 1802</t>
  </si>
  <si>
    <t>os enteros hechos con voz baxa á largas distanciar, sin que nada indique el parage en que se habla. Mr. Akerblad, sueco, que ha interpretado ya varias inscripciones fenicias , y ha descubierto la clave de la escritura cursiva de los coitos desconocida hasta entonces, acaba de hallar el antig</t>
  </si>
  <si>
    <t>Akexandro Cosío</t>
  </si>
  <si>
    <t>4 de junio de 1802</t>
  </si>
  <si>
    <t>ete D. Alejandro Alvarez de Guiñan, y en el regimiento de dragones de Mé-^ xico á Alférez ai Cadete D. Akexandro Cosío. . k. ■También se ha ^ servido S. M. nombrar para-la Alcaldía mayor de la provincia de Totonieapán-, vacante por renuncia de; D. jóseph Ruiz de: Agüirre, á D. Pedro Antonio1Alvaré</t>
  </si>
  <si>
    <t>Al, Juan</t>
  </si>
  <si>
    <t>Juan Al</t>
  </si>
  <si>
    <t>23 de marzo de 1802</t>
  </si>
  <si>
    <t>Castilla , Juez protector y privativo de las memorias que en la villa de Argete .fundó el limo. Sr. D. Juan Al onso de Moscoso, Obispo que fuá de Málaga,, se ha mandado sacar segunda vez á subasta y venta por término de 30 dias un prado, en término de la villa de Yepes, entre los caminos d</t>
  </si>
  <si>
    <t>Alabés, Juan</t>
  </si>
  <si>
    <t>Juan Alabés</t>
  </si>
  <si>
    <t>erónimo Martin Cortés, D. Ramón Bétes, D. Francisco Portillo, D. Tomas Salcedo, D. Fernando Moyano, D. Juan Alabés, D. Juan Macarti, 0. Dionisio Sánchez, D. Joseph Chardenoux, D. Joaquín de la Hoz, D. Mateo Rodrigue?, D. Gervasio Gasea, D. Joseph Metzguer; y áD. Ignacio Paino y Mateos, grado d</t>
  </si>
  <si>
    <t>Alaejos, Juan</t>
  </si>
  <si>
    <t>Juan Alaejos</t>
  </si>
  <si>
    <t>14 de mayo de 1802</t>
  </si>
  <si>
    <t>ocios extrangeros del instituto de la República cisalpina. Toro 2 de Mayo. D on Juan Alaejos, vecino, cirujano de esta ciudad, y titular de su hospital general, persuadido de las ventajas de la vacunación, y convencido de su utilidad por los escritos de muchos facultativos, deter</t>
  </si>
  <si>
    <t>Alaix, Joseph</t>
  </si>
  <si>
    <t>Joseph Alaix</t>
  </si>
  <si>
    <t>a Subteniente de granaderos al de fusileros D. Alexo Alarcon, y á Subtenientes de bandera al Cadete D. Joseph Alaix y á D. Joseph de la Huelga, Sargento primero deí mismo cuerpo. En el regimiento de infantería de milicias de Voluntarios de Cartagena ha nombrado S. M. Teniente al Subteniente de gr</t>
  </si>
  <si>
    <t>Alarcon, Alexo</t>
  </si>
  <si>
    <t>Alexo Alarcon</t>
  </si>
  <si>
    <t>dexa al Subteniente de granaderos D. Joaquín Velazquez; a Subteniente de granaderos al de fusileros D. Alexo Alarcon, y á Subtenientes de bandera al Cadete D. Joseph Alaix y á D. Joseph de la Huelga, Sargento primero deí mismo cuerpo. En el regimiento de infantería de milicias de Voluntarios de</t>
  </si>
  <si>
    <t>Alarcon, Joseph</t>
  </si>
  <si>
    <t>Joseph Alarcon</t>
  </si>
  <si>
    <t>yna á Alférez al Portaestandarte D. Ramón Calderón: en el del Infante á Ayudante al primer Teniente D. Joseph Alarcon: en el de Alcántara á segundo Teniente al Alférez D. Pedro Blesa: en el de Santiago á Portaestandarte al Cadete D. Manuel de Aguilar: en el de Voluntarios de España á primer Tenie</t>
  </si>
  <si>
    <t>Alaría Dupac, Juan</t>
  </si>
  <si>
    <t>Juan Alaría Dupac</t>
  </si>
  <si>
    <t>Subteniente D. Juan Nicolás de la Fuente: en el de León primera Subtenencia al segundo Subteniente D. Juan Alaría Dupac : en el de la Princesa segunda Tenencia de granaderos al segunde» Teniente D. Juan Alontoya; y en el de Alálaga primera Subtenencia al segundo Subteniente D. Ramón de Aíedina, y s</t>
  </si>
  <si>
    <t>Alaría Ortes de Velasco, Joseph</t>
  </si>
  <si>
    <t>Joseph Alaría Ortes de Velasco</t>
  </si>
  <si>
    <t>arado. En humanidades y retórica, baxo la dirección de D. Pedro Fuertes, D. Iñigo Ortes de Velasco, D. Joseph Alaría Ortes de Velasco, D. Antonio Giiman, Don Juan Bautista Cerain y D. Joaquín Fernandez Medrano. En gramática castellana, baxo la dirección de D. Francisco Aranzabal, D. Bernardino Echagfte, el Marqu</t>
  </si>
  <si>
    <t>Albarracin y Quero, Luis</t>
  </si>
  <si>
    <t>Luis Albarracin y Quero</t>
  </si>
  <si>
    <t>: para la Canongía de la catedral de Córdoba, vacante por fallecimiento del Sr. Cardenal Zelada , á D. Luis Albarracin y Quero: para el Arciprestazgo de Cuellar , en la diócesis de Segovia, vacante por muerte de D. Leandro Quintana, á D. Juan Ramón de Iscar, con la obligación de precisa residencia que tie</t>
  </si>
  <si>
    <t>Albarran, Vicente</t>
  </si>
  <si>
    <t>Vicente Albarran</t>
  </si>
  <si>
    <t>esta resulta al Cadete D. Gerónimo de Hen estrosa: en el de Alcántara á Portaestandarte al Sargento D. Vicente Albarran ; y en el de Voluntarios de España á Ayudante al primer Teniente D. Juan de Vergara , y á Alférez al Cadete D. Domingo de OrejónAsimismo se ha servido S. M. conceder en el regimie</t>
  </si>
  <si>
    <t>Albedyhl, Coronel</t>
  </si>
  <si>
    <t>Coronel Albedyhl</t>
  </si>
  <si>
    <t>misma ciudad todas las particularidades de este hecho; y en conseqiiencia envié á ella mi Edecán el Coronel Albedyhl, cuya imparcialidad me consta, y le encargué examinase atentamente las menores circunstancias de dicho suceso. Su informe, fundado en testimonios auténticos, no solo ha comprobado</t>
  </si>
  <si>
    <t>Albérni, Juan</t>
  </si>
  <si>
    <t>Juan Albérni</t>
  </si>
  <si>
    <t>. Pedro Espinosa, D. Ramón Varela ¿ D. Melchor Magrat, Don Antonio Laprieta, D. Francisco Ezpeleta, D. Juan Albérni, D. Joaquín Puertolas, D, Vicente Pinzón, D. Félix Muñoz, D. Gines Albadalejos . D. Juan Pelayo Sánchez', D. Joseph María Crespo , D. Bartolomé Reselló, D. Miguel Valcarcel, D. Ma</t>
  </si>
  <si>
    <t>Alberto, Duque</t>
  </si>
  <si>
    <t>Duque Alberto</t>
  </si>
  <si>
    <t>uien entregó sus credenciales El regimiento de húsares del Gran Duque Fernando, y el de corazas del Duque Alberto, están destinados para ir á Presburgo; permanecerán en aquella ciudad miéntras esté en ella el Emperador quando se celebre la dieta de Hungría. Ha concedido el Emperador á los Env</t>
  </si>
  <si>
    <t>Albino Marquina y Astudillo</t>
  </si>
  <si>
    <t>erdié: para la de 4.0 de ella á D. Joseph María Quixano: para Guarda de la propia Administración á* D. Albino Marquina y Astudillo: para Administrador del partido de Ixmiquilpan, de la misma Renta, á D. Joseph Fernandez Salvador: para Teniente Visitador de la Factoría de Valladolid á D. Joseph Ignacio Gracia:</t>
  </si>
  <si>
    <t>Albino Mexía, Pedro</t>
  </si>
  <si>
    <t>Pedro Albino Mexía</t>
  </si>
  <si>
    <t>D. Joseph Benito de Cáceres, al Arcediano D. Joseph Joaquín Beltran: para el Arcedianato al Chantre D. Pedro Albino Mexía: para la Chantría ai Maestrescuela Don Francisco Xavier López: para la Dignidad que este dexa á D. Joseph María San Martin, Tesorero de la propia ; y para esta al Canónigo Peniten</t>
  </si>
  <si>
    <t>Alcalá Galiano, Dionisio</t>
  </si>
  <si>
    <t>Dionisio Alcalá Galiano</t>
  </si>
  <si>
    <t>argas Varaez , D. Estanislao Juez Sarmiento ¿ D. Juan Pablo Podares , D. Francisco Uriarte y Borja,,D. Dionisio Alcalá Galiano, D. Cosme Chumica, Don Cayetano Valdés , D. Felipe Jado Cagigal Marques del Real Tesoro, D.Alarcelo Espínela, D. Agustín Figueroa, D. Joseph Uriarte y Borla, D. Rafael de Hore, y</t>
  </si>
  <si>
    <t>Alcántara Pimentel, María Petronila</t>
  </si>
  <si>
    <t>María Petronila Alcántara Pimentel</t>
  </si>
  <si>
    <t>12 de febrero de 1802</t>
  </si>
  <si>
    <t>lo, Fiscal de lo civil de la de Lima. El 2Cf de Enero último falleció en esta corte la Encina. Sra. Doña María Petronila Alcántara Pimentel, Cernecio y Guzman &amp;c., Marquesa de Mancera, Malpica, Povar y Montalvo, Condesa de Melgar y de Gondomar, Duquesa de Medinaceli viuda, Grande de España de primera ciase &amp;c. &amp;c. á l</t>
  </si>
  <si>
    <t>Alcayde, Agustín</t>
  </si>
  <si>
    <t>Agustín Alcayde</t>
  </si>
  <si>
    <t>27 de agosto de 1802</t>
  </si>
  <si>
    <t>se de sobrésáliéntés D. Escolástico Laviila, D. Ramón Mateo, Don Pedro Alfaro, D. Benito de Ribera, D. Agustín Alcayde, D. Vicente Royó , D; Jacinto Munárriz ^ D. Juan Antonio Coijiat, D. Joseph Fortuno, D. Joaquín Ollés de Regales; y en la clase de buenos, D. Fabian Lorenté', D. Joseph Ramón dé A</t>
  </si>
  <si>
    <t>Alcoa, Andrés</t>
  </si>
  <si>
    <t>Andrés Alcoa</t>
  </si>
  <si>
    <t>26 de noviembre de 1802</t>
  </si>
  <si>
    <t>etendientes el P. Fr. Andrés Pontide, Trinitario-calzado, y profesor de medicina, D. Donato García, D. Andrés Alcoa y D. Bernabé de Salcedo, discípulos déi Real establecimiento. Empezáron los exercicios en 25 de Octubre, y continuáron hasta el 29. Hizo cada uno una memoria sobre el punto que le cup</t>
  </si>
  <si>
    <t>Alcocér, Francisco</t>
  </si>
  <si>
    <t>Francisco Alcocér</t>
  </si>
  <si>
    <t>rra... 161. 39. Id. Francisco Alcocér................ Antonio, Ana Arcos. Riba tajada... Cuenca........ . Si. 3 Muerto. Juan Antonio Fernandez... Otero, María Alvarez....... Tabueyja.</t>
  </si>
  <si>
    <t>Aldairia, Juan Antonio</t>
  </si>
  <si>
    <t>Juan Antonio Aldairia</t>
  </si>
  <si>
    <t>Alcalde mayor de la Isla de León; á D. Alonso Marín Espinosa; y para la de S. Lúcar de Barvameda á D. Juan Antonio Aldairia.- ; -:;\íBft América. S. M. se há dignado nombrar eñ el cuerpo veterano de infá'ntéríaidé Quito á Capitanes á los Tenientes Pablo Martínez y Don Juan Salvador ; á Téniéhtes á los</t>
  </si>
  <si>
    <t>Aldama, Manuel</t>
  </si>
  <si>
    <t>Manuel Aldama</t>
  </si>
  <si>
    <t>40. 10. Id. Manuel Aldama.................. Diego, María Fernandez... S. Peiayo.... Pola Elena... 32. 31. Id. Froylan de Robles.............. Manuel, Isabel Alonso....... Gallegos.......... León.........</t>
  </si>
  <si>
    <t>Aldana, Antonio</t>
  </si>
  <si>
    <t>Antonio Aldana</t>
  </si>
  <si>
    <t>ntonio Nuñez: en el de Cuba á Capitán de granaderos al de fusileros D. Manuel Martínez; á Capitanes D. Antonio Aldana y D. Manuel Rodríguez, el primero Teniente de granaderos, y el segundo Ayudante; á esta resulta, con grado de Capitán, al Teniente D. Tomas Llórente; á Tenientes de granaderos los de</t>
  </si>
  <si>
    <t>Aldaó, Santiago</t>
  </si>
  <si>
    <t>Santiago Aldaó</t>
  </si>
  <si>
    <t>D. Carlos Calvo, D. Joaquín Aldecoa, D. Antonio de Rozo, D. Joseph.de la Gceja , P. Juan de Sesma, D. Santiago Aldaó, D. Juan Piñeyro, D, Narciso Llaudes, D. Pedro Marsilla, D. Ni-' colas dél Castillo, D. Gines López del Castillo, D. Mariano de Lara,Dori' Manuel Fernandez Cortacero, D. Manuel Ba</t>
  </si>
  <si>
    <t>Aldecoa, Joaquín</t>
  </si>
  <si>
    <t>Joaquín Aldecoa</t>
  </si>
  <si>
    <t>les,D. Martin de Jáuregui, D. Cayetano Muller, D, Juan Romay, D. Felipe del Saso , D. Carlos Calvo, D. Joaquín Aldecoa, D. Antonio de Rozo, D. Joseph.de la Gceja , P. Juan de Sesma, D. Santiago Aldaó, D. Juan Piñeyro, D, Narciso Llaudes, D. Pedro Marsilla, D. Ni-' colas dél Castillo, D. Gines Lópe</t>
  </si>
  <si>
    <t>Aldrete, Juan</t>
  </si>
  <si>
    <t>Juan Aldrete</t>
  </si>
  <si>
    <t>1026 Toledo, D. Antonio Moreno, D. Juan Aldrete, D. Joseph Dupré, D. Simón Fuentes, D. Manuel de Madrigal, D. Narciso Bernales; D. Fernando Orive, D. Francisco de Castro,.D. Francisco Mexia, D. Juan Joseph Indafmtu, D. .Juan Fa</t>
  </si>
  <si>
    <t>Alegre, Manuel</t>
  </si>
  <si>
    <t>Manuel Alegre</t>
  </si>
  <si>
    <t>iglesia de PP. Capuchinos, vulgo del Prado de Madrid, dibuiada por D. Joseph Ximeno, y grabad* por D. Manuel Alegre. Se hallará en la librería de Arribas , calle de las Carretas. SUPLEMENTO</t>
  </si>
  <si>
    <t>Alegría, Francisco</t>
  </si>
  <si>
    <t>Francisco Alegría</t>
  </si>
  <si>
    <t>. Guillermo Roo, IX Juan Antonio Heredia, D. Joseph de Chastre, D. Manuel Astor, Don Ramón Mijares, D. Francisco Alegría, D. Francisco Arnedo, D. Joseph de Zúñiga, D. Alberto Maynes, D. Joseph. de Tona, D. Juan Joseph de Fierro, D. Pedros Salcedo, D. Ignacio Muñoz de Cedenilla, D. Pedro de Tagle y D</t>
  </si>
  <si>
    <t>Alentado, Juan</t>
  </si>
  <si>
    <t>Juan Alentado</t>
  </si>
  <si>
    <t>a, á Tenientes Veteranos de granaderos los de fusile* ros D. Joseph Ximenez, graduado de Capitán, y D. Juan Alentado; á Teniente al graduado de esta clase D. Joseph García, Sargento primero Veterano, y á Subteniente de bandera el agregado D. Agustín Fernandez: en ,el batallón de Pardos libres de</t>
  </si>
  <si>
    <t>Alezo Ponce de León y Molejón</t>
  </si>
  <si>
    <t>D. Francisco de Hoyos y Laraviedra, D. Mariano Martínez y Vega, D. Gerónimo Fernandez dé Fuenmaybr, D. Alezo Ponce de León y Molejón , ,D. "Guillermo Auvarede: y Perez, D. Diego del Castillo y Castro, D. Sebastian Rodríguez de: Arias y la; Puente, D. Juan Barrera y Amiot, D. Rafael de Quésada y Axango, P. Franc</t>
  </si>
  <si>
    <t>Alfaro, Pedro</t>
  </si>
  <si>
    <t>Pedro Alfaro</t>
  </si>
  <si>
    <t>n de los alumnos , resultaron en la clase de sobrésáliéntés D. Escolástico Laviila, D. Ramón Mateo, Don Pedro Alfaro, D. Benito de Ribera, D. Agustín Alcayde, D. Vicente Royó , D; Jacinto Munárriz ^ D. Juan Antonio Coijiat, D. Joseph Fortuno, D. Joaquín Ollés de Regales; y en la clase de buenos,</t>
  </si>
  <si>
    <t>Alfonso Aguado y Xarava</t>
  </si>
  <si>
    <t>a, consagró en la iglesia del Real monasterio de Ntra. Sra. de la Visitación de Madrid al limo* Sr. D. Alfonso Aguado y Xarava, Obispo de Augustópoli y Auxiliar de Toledo: siendo Asistentes los limos. Sres. D. Francisco de la Cuerda^ Obispo que fue de Puerto Rico, del Consejo de la suprema y general Inqui</t>
  </si>
  <si>
    <t>Alfonso Benestolfo Alemán</t>
  </si>
  <si>
    <t>9 de noviembre de 1802</t>
  </si>
  <si>
    <t>rigirán sus memoriales al Ayuntamiento de di^ha villa en el término de a,o dias contados desde boy. D. Alfonso Benestolfo Alemán, maestro del arte mayor de la seda, natural y vecino de la ciudad de Toledo, ha establecido una fábrica suya propia de. texidos de seda, con metales y sin. ellos, tisúes, y otros</t>
  </si>
  <si>
    <t>Alfonso de Fütundarena</t>
  </si>
  <si>
    <t>el Real cuerpo de Artillería se ha servido el Rey promover á Te-* ñiente Coronel al Xefe de Brigada D. Alfonso de Fütundarena: á-Xefe^de Brigada al Capitán primero D. Joseph Montes Tabáres; y á Capitán prlmero al de segunda clase D. Francisco López Ezquerra. 1 &gt;♦« S. M. se ha dignado promover á Portaesta</t>
  </si>
  <si>
    <t>Alfonso de Ortega</t>
  </si>
  <si>
    <t>te de -Lemus, D. Juan de Mata Herrera y Oca, D. Antonio Manrique, D. Antonio Garzón, D. Juan Muñoz, D. Alfonso de Ortega, Don Juan Bautista del Caño , D. Rafael Sánchez de Sandino, Juan de Roxas, Francisco de Yera, Pedro Martin, Francisco de Montes y Juan Cobo; y atendiendo dicho Sr. Corregidor á la</t>
  </si>
  <si>
    <t>Alfonso de Villegas</t>
  </si>
  <si>
    <t>20 de julio de 1802</t>
  </si>
  <si>
    <t>Luna, Andrés Laguna, Fernando Nuñez de Guzman, D. Fr. Bartolomé de las Casas, Francisco Sánchez, y D. Alfonso dé Villegas. Véndese con los antecedentes á fio rs. cada uno con el epítome de sus vidas, y sin el epítome á 50 en el despacho de la calcografía de la imprenta Real. Por la audiencia del Sr.</t>
  </si>
  <si>
    <t>Alfonso Duran</t>
  </si>
  <si>
    <t>17 de septiembre de 1802</t>
  </si>
  <si>
    <t>isma Sala D. Antonio Cano Manuel: t&gt;ara otra. vacante por jubilación del JMárques de los Llanos , a D. Alfonso Duran v Barazabal; Manuel^Perez de RolJíy para D.laTomas que seMoyano. halla vacante Para por jubilación lá Regencia dedé la Don Audiencia de Canarias, que resulta vacante por la promoc</t>
  </si>
  <si>
    <t>Alfonso Duran y Barazabal</t>
  </si>
  <si>
    <t>ti!¿o: para ia plaza de Ministro del Consejo de Navarra, que reSultá vacante por «censo del citado D. Alfonso Duran y Barazabal, al Alcalde del mismo Consejo D. Pascual Rodríguez de Areilano; y para la de Chd^r de la Audiencia de Seviíu, que resulta vacante por acenso del referido D. Juan Benito Hermos¡lÍa</t>
  </si>
  <si>
    <t>24 de septiembre de 1802</t>
  </si>
  <si>
    <t>mismo h$f .nombrado el Rey para el Corregimiento de Guipuzcoa, que resulta vacante por promoción de D. Alfonso Duran y Barazabal á plaza de Alcalde de su Real casa y-corte, á D. Pascual Rodríguez de Arellano/Oidor del Consejo de Navarra. - En ePReal estudio de medicina práctica de esta corte se hará, con ar</t>
  </si>
  <si>
    <t>Alfonso Gutiérrez</t>
  </si>
  <si>
    <t>etes, D&gt; Francisco Caamaño y Romero , !). Ale*xandro Monfort, D. Manuel Piñeyro, D. JosepK Siiarez, D. Alfonso Gutiérrez , D. Asensio Rosique y D. Cáelos López Vidal * fuéron ¡examinados de ordenanza, aritmética y principios de geometría, y lo continuó D. Do» .mingo de lá Iglesia en el completo de l</t>
  </si>
  <si>
    <t>Alfonso Ramírez Portocarrero</t>
  </si>
  <si>
    <t>entas de Cartagena; á D. Manuel de Irazabal, Administrador general que fué de Salinas de Galicia; á D. Alfonso Ramírez Portocarrero, que lo es general en-Salamanca ;á £&gt;. Lúeas Jaques, que lo es de Valia-, dolid; á D. Francisco Fernandez de la Peña y San Miguel, que lo es-&lt;3$ Jaén; á D. Joseph de Motar que lo</t>
  </si>
  <si>
    <t>Alfonso Ramiro</t>
  </si>
  <si>
    <t>. Joaquín de Ponte, D. Joseph Molina, D. Lázaro de Avila, D. Baltasar Calvache, Don Francisco Ruiz, D. Alfonso Ramiro, D. Antonio de la Rocha , D. Juan López de Molina,D. Lucas Salazar, D. Ramón Serrano, D. Juan Joseph Martínez, D. Joseph María Cano, D. Francisco Real,-D. Vícéfíté Salcedo, D. Lúe</t>
  </si>
  <si>
    <t>Alfonso Vázquez, Luis</t>
  </si>
  <si>
    <t>Luis Alfonso Vázquez</t>
  </si>
  <si>
    <t>29 de junio de 1802</t>
  </si>
  <si>
    <t>de Coro de la santa iglesia dé Toledo, vacante por la promoción á Racionero de la misma iglesia de D. Luis Alfonso Vázquez, á D. Domingo Antonio Gutiérrez Leal. : S. M. se ha dignado promover á Brigadier de la Compañía Italiana del Real cuerpo de Guardias de Córps al Subrigadier de ella D. Nicolás Bie</t>
  </si>
  <si>
    <t>AlfonsoPerez Toresano</t>
  </si>
  <si>
    <t>tería; á D. Dámaso del Castillo Larroy, Contador principal de Rentas dé la provincia de Segovia ; á D. AlfonsoPerez Toresano , Subdelegado de Rentas de Alcalá de Henáres; á IX Manuel Alvarez, Administrador gene* ral de Rentas de Cartagena; á D. Manuel de Irazabal, Administrador general que fué de Salina</t>
  </si>
  <si>
    <t>Aliaga Bayod, Manuel</t>
  </si>
  <si>
    <t>Manuel Aliaga Bayod</t>
  </si>
  <si>
    <t>utos y escrituras que recibieren y autorizaren: tomos i.° y a.° dispuestos é ilustrados por el Lie. D. Manuel Aliaga Bayod , Abogado de los Reales Consejos y de la Real Audiencia de Cataluña &amp;c. : obra útilísima, particularmente para litigantes y dependientes de los juzgados. Véndese en la librería de</t>
  </si>
  <si>
    <t>Aliaga, Vicente Miguel</t>
  </si>
  <si>
    <t>Vicente Miguel Aliaga</t>
  </si>
  <si>
    <t>as Jqdtttó Gá scó: para la Mediad Ración ^afecta 4 voz* de T eno'r 'de la?', catedral dé Orihuela á D. Vicente Miguel Aliaga : para iifi Benefieio en la parroquial de Cardedeu, diócesis de BarcelonavacantépOT muerte ¡de IX Togepli Lleotarr, á ‘DJíFrañcideó £tcuqi&amp;eri¿y • Masdbtuóf pári IkiGapeHgnia Je \</t>
  </si>
  <si>
    <t>Alipio de Roda y Duran</t>
  </si>
  <si>
    <t>Joseph deí Camino,D. Francisco González Calderón, D. Luis Cavaleri y Ponce, Don Orberto Michelena, D. Alipio de Roda y Duran, Di Aiexandro Marín Na.4 yarro, D. Vicente Camino, D. Joseph deQcio, y SalJzar , D. Miguel Triarte, í). Francisca G;rageray Gotdon&gt; D¿ Autopio Angosto y Rueda, Don Francisco- izqu</t>
  </si>
  <si>
    <t>Alleyne</t>
  </si>
  <si>
    <t>extrangeros, Senador, Chambelán &amp;c.; y S. M. el Rey del Reyno-Unido de la Gran Bretaña é Irlanda á Mr. Alleyne, Lord Barón Saint-Ileiens, Par de dicho Reyno-Unido, del Consejo privado de S, M., y su Embaxador extraordinario y plenipotenciario cerca de S. M. el Emperador de todas las Rusias</t>
  </si>
  <si>
    <t>Almansa, Rafael</t>
  </si>
  <si>
    <t>Rafael Almansa</t>
  </si>
  <si>
    <t>á dignado promover en el réginúento de Reales Guardias Es-' .dañólas á. segundo Teniente al Alférez D. Rafael Almansa; y en el de Ti eales Guardias ^ Walonas á primer Teniente al segundo de granaderos D;1 Domingo Dúbláisél, y á segundó Teniente al Alférez D. Bernardo Lasaleta.'___................</t>
  </si>
  <si>
    <t>Almarza, Joseph</t>
  </si>
  <si>
    <t>Joseph Almarza</t>
  </si>
  <si>
    <t>e de escritos. Se hallará en la librería de Francés ; y en Valladolid en la de Santander. Elogio de D. Joseph Almarza, tesorero perpetuo que fué de la Real sociedad patriótica de Madrid, y uno de sus fundadores : hecho de orden de este cuerpo por su socio de mérito D. Nicasio Alvarez de Cienfuego</t>
  </si>
  <si>
    <t>Almasi</t>
  </si>
  <si>
    <t>, pedia S. M. que en dicha sesión se eligiesen los dos Guardas de la corona. El Barón de S píen y y Mr. Almasi, que, desd| lastima,, dieta exercian interinamente esta dignidad, seguraron de ja ¡unja ; ení^ncós seley ó la lista de los 6 candidatos propuestos por el Emperador. La dieta confi</t>
  </si>
  <si>
    <t>Alois Reding</t>
  </si>
  <si>
    <t>rgentes una especie de gobierno; y al mismo tiempo se ha abierto en Schwitz una dieta presidida por Mr. Alois Reding. En Lucerna han intentado los insurgentes restablecer el antiguo gobierno; opúsose á ello la mayor parte de los habitantes que sostienen la última constitución ; pero Reding mandó</t>
  </si>
  <si>
    <t>Alontoya, Juan</t>
  </si>
  <si>
    <t>Juan Alontoya</t>
  </si>
  <si>
    <t>nte D. Juan Alaría Dupac : en el de la Princesa segunda Tenencia de granaderos al segunde» Teniente D. Juan Alontoya; y en el de Alálaga primera Subtenencia al segundo Subteniente D. Ramón de Aíedina, y segunda Subtenencia al Cadete D. Joseph de Galvez Alercier; habiendo conferido igualmente S.</t>
  </si>
  <si>
    <t>Alopeus</t>
  </si>
  <si>
    <t>28 de septiembre de 1802</t>
  </si>
  <si>
    <t>esta última ciudad habrá un campamento de hombres. Berlín 24 de Agosto, A yer llegó de Petercburgo Mr. Alopeus, Ministro plenipotenciario del Emperador dé Rusia cerca de este Soberano. . j Se despacharon de aquí á Rusia dos oficiales de Guardias , que son el Sa¡gento mayor Prittwiz y el Te</t>
  </si>
  <si>
    <t>Alsina, Joseph</t>
  </si>
  <si>
    <t>Joseph Alsina</t>
  </si>
  <si>
    <t>ano Gabanes: para otra de la de Manresa, diócesis de Vique, vacante por muerte de D. Ramón Goser, á D. Joseph Alsina, Canónigo de la de Calaf: para una Ración penitenciaria de la parroquia de AHllanueva de la Huerva , en el arzobispado de Zaragoza., á D. Joseph Buil: para el Beneficio de la cate</t>
  </si>
  <si>
    <t>Alvares de Faria, Gabriel</t>
  </si>
  <si>
    <t>Gabriel Alvares de Faria</t>
  </si>
  <si>
    <t>colegial de la villa de Zafra, el dia a7 de Ma— yqderijíoa,á;la buena memoria del Excmo.é limo. Sr. D. Gabriel Alvares de Faria 9%Obispo .de BadajoX j Caballero Gran,'¡Cn» de la Real y distinguida órden de Carlos iii ^dcl Consejó de S. M. &amp;c. , dixo él Dr. JD. Leonardo Leria , Prebendado de dicha iglesia.</t>
  </si>
  <si>
    <t>Álvarez Cienfuegcs, Tomás</t>
  </si>
  <si>
    <t>Tomás Álvarez Cienfuegcs</t>
  </si>
  <si>
    <t>16 de julio de 1802</t>
  </si>
  <si>
    <t>er Subteniente D. Joseph Miranda: en el de Granada á segundo Teniente de granaderos al de fusileros D. Tomas Alvarez Cienfuegcs, y á segundo Teniente al Subteniente de granaderos D. Francisco Roxas: en ei de Toledo á Subteniente de granaderos al primer Subteniente D. Joaquin dé Soto , y á¡segundo Teniente</t>
  </si>
  <si>
    <t>Álvarez Contreras, Antonio</t>
  </si>
  <si>
    <t>Antonio Álvarez Contreras</t>
  </si>
  <si>
    <t>lá Regencia dedé la Don Audiencia de Canarias, que resulta vacante por la promoción de dicho Señor D. Antonio Alvarez Contreras, á D. Juan Benito Hermosilla; y para la de la Audiencia de Oviedo, por igual promoción del Sr. D. Andrés Lasauca á D Pascual Quiiez y Talón: para la plaza de Oidor que este obtien</t>
  </si>
  <si>
    <t>Álvarez de Faria, Gabriel</t>
  </si>
  <si>
    <t>Gabriel Álvarez de Faria</t>
  </si>
  <si>
    <t>ha servido nombrar para la Iglesia y Obispado de Badajoz, vacante por fallecimiento del Excmo. Sr. D. Gabriel Alvarez de Faria, al limo. Sr. Arzobispo de Sebaste, Abad de la colegial del Real sitio de San Ildefonso. Atendiendo el Rey á los servicios, méritos y circunstancias del Teniente General D. Antoni</t>
  </si>
  <si>
    <t>Álvarez de Guiñan, Alejandro</t>
  </si>
  <si>
    <t>Alejandro Álvarez de Guiñan</t>
  </si>
  <si>
    <t>undo” Ayudante:, graduado de Subteniente, D. Francisco Xavier de Galyenzu, y esta resulta al Cadete D. Alejandro Alvarez de Guiñan, y en el regimiento de dragones de Mé-^ xico á Alférez ai Cadete D. Akexandro Cosío. . k. ■También se ha ^ servido S. M. nombrar para-la Alcaldía mayor de la provincia de Totoniea</t>
  </si>
  <si>
    <t>Álvarez de la Cruz, Ignacio</t>
  </si>
  <si>
    <t>Ignacio Álvarez de la Cruz</t>
  </si>
  <si>
    <t>Res guardo de Cádiz; á D. Joseph Espinosa, Superintendente dedas Fábricas de ,rabaco de Sevilla; á D. Ignacio Alvarez de la Cruz, Director, de labores de l a Factoría de tabacos de la Havana; á D. Felipe-Martínez de Viérgoí. , j. y Honores de la Juritá de Contercio . A D. Melchor Ximenez, Superintendente de</t>
  </si>
  <si>
    <t>Álvarez de Men-r, Francisco</t>
  </si>
  <si>
    <t>Francisco Álvarez de Men-r</t>
  </si>
  <si>
    <t>,pfl4tÍn)algi,y,pír» una plazi de Alcalde ael Crimen de la y Caycedo á otra de Oidor de ia misma,á D. Francisco Alvarez de Men-r difita . Qidot de, la; Audiencia de Manila. &gt; El Rey se ha seryido nombrar para una plaza de Oidor de la Real Audiencia de Quito, vacante por promopion de D. Juan Moreno Avendano?</t>
  </si>
  <si>
    <t>Álvarez de Perea, Pedro Miguel</t>
  </si>
  <si>
    <t>Pedro Miguel Álvarez de Perea</t>
  </si>
  <si>
    <t>ph Ampudía, D. Francisco Gelabert, el Marques’de Viliadángos, el Conde Armildez, Marqués del Salar, D. Pedro Miguel Alvarez de Perea, D/Manuel Laguna y Moscoso, él Marques del Risco, D. Eugenio Duvermeill, D. Francisco Ignacio Rafols, D. Francisco Nuñez Robles, D. Francisco Nuñez * Don Gaspar Pascual de Bonanza</t>
  </si>
  <si>
    <t>Álvarez Guerra, Juan</t>
  </si>
  <si>
    <t>Juan Álvarez Guerra</t>
  </si>
  <si>
    <t>francés por una sociedad de agrónomos, y ordenado por el Abate Rozier: traducido al castellano por D. Juan Alvarez Guerra, individuo de mérito en la clase de agricultura de la Real sociedad económica de Madrid ; tomo xm. Contiene entre otros los artículos pepino,</t>
  </si>
  <si>
    <t>ngles Samuel Taylor, adoptado á la lengua francesa por T. P. Bertin , y acomodado al castellano por D. Juan Alvarez Guerra: con i«; láminas para facilitar la inteligencia de este arte, que no es ni de mera curiosidad por ser imposible reducirle á práctica, ni dificil de comprehender como lo creían ánt</t>
  </si>
  <si>
    <t>Alvaréz Mon, Manuel</t>
  </si>
  <si>
    <t>Manuel Alvaréz Mon</t>
  </si>
  <si>
    <t>27 de julio de 1802</t>
  </si>
  <si>
    <t>sta: arquitectura á D. Miguel Antonio Maríchalar. Grabado de estampas.^ Medallade úna onza de oro á D. Manuel Alvaréz Mon. Perspectiva. Medalla deunaidii* za de oro á D. Angel Humanes* ——Para que el público pueda ver las preciosidades de la academia y las obras! dedos opositores , con üas demas que l</t>
  </si>
  <si>
    <t>Álvarez Nava, Antonio</t>
  </si>
  <si>
    <t>Antonio Álvarez Nava</t>
  </si>
  <si>
    <t>o. E 1 Rey se ha servido nombrar para una Canongía de la catedral de Segovia, vacante por muerte de D. Antonio Alvarez Nava, á D. Santiago Xavier López, Cura de Castilnova, de aquel obispado: para otra de la misma iglesia, vacante por fallecimiento de D. Francisco Rubio, á D. Tomas Martínez Peña, Cura</t>
  </si>
  <si>
    <t>Álvarez Ordoño, Juan de Dios</t>
  </si>
  <si>
    <t>Juan de Dios Álvarez Ordoño</t>
  </si>
  <si>
    <t>e de Maceda, D. Joseph Bermudez de Castro, D. Roque Antía, D. Antonio Darcourt, D. Tomas Kindelan , D. Juan de Dios Alvarez Ordoño, D. Gabriel Mendizabal, D. Ignacio Martinez Vallejo, D. Matías Piriz, D. Pedro Baylin, D. Bartolomé de Castro, D. Santiago Puig, Don Francisco Cortabarria, D. Antonio Maestre, D.</t>
  </si>
  <si>
    <t>Álvarez Ordoño, Vicente</t>
  </si>
  <si>
    <t>Vicente Álvarez Ordoño</t>
  </si>
  <si>
    <t>Luis de Bousteten. En el de infantería de Aragón á Subteniente de granaderos al primer Subteniente D. Vicente Alvarez Ordoño. S. M. ha nombrado Ingeniero en xefe de sus exércitos ,• plazas y fronteras al en segundo D. Felipe de Paz; y Ayudante de Ingeniero a Don Joáchín Salcedo, segundo Subteniente del</t>
  </si>
  <si>
    <t>Álvarez Pesadilla, Juan</t>
  </si>
  <si>
    <t>Juan Álvarez Pesadilla</t>
  </si>
  <si>
    <t>15 de junio de 1802</t>
  </si>
  <si>
    <t>n á . los letrados jóvenes para precaver abusos dé " fatales cónse'qfiencias: compuesta por el Lie. D. Juan Alvarez Pesadilla. Tomo 3.0, qye contiene el tratadb dé los delitos y dé las' péhaé impuestas'década uñó por las leyes de Espáfia. Habiendo merecido general aceptación los dos toiiiós ya publicados</t>
  </si>
  <si>
    <t>Álvarez, Andrés</t>
  </si>
  <si>
    <t>Andrés Álvarez</t>
  </si>
  <si>
    <t>a , hermanos y compañía, carrera de S. Gerónimo: Real compañía de la Buena Fe, callé de la Montera: D. Andrés Alvarez, calle de S. Dámaso ; y D. Juan Aran, platería» calle de las Carretas, esquina á la de Majaderitos. También se despacharán los billetes en varias ciudades del Reyno, á fin de comp</t>
  </si>
  <si>
    <t>Álvarez, Antonio</t>
  </si>
  <si>
    <t>Antonio Álvarez</t>
  </si>
  <si>
    <t>Supl., p. 9</t>
  </si>
  <si>
    <t>...... 100. ig. Id. Antonio Alvarez................. Pedro, Toribia García........Otera.................Oviedo............1200. 18. Id. | Sebastian García,................ Francisco, Ana Saez....... Langa.......</t>
  </si>
  <si>
    <t>Álvarez, Bartolomé</t>
  </si>
  <si>
    <t>Bartolomé Álvarez</t>
  </si>
  <si>
    <t>i$. 1. Licenciado. Bartolomé Alvarez... Juan, Antonia María de Villar de Go- Castro ................................. ya-............. Villar....</t>
  </si>
  <si>
    <t>Álvarez, Domingo</t>
  </si>
  <si>
    <t>Domingo Álvarez</t>
  </si>
  <si>
    <t>Supl., p. 11</t>
  </si>
  <si>
    <t>130. 25. Inválidos. Domingo Alvarez.. Josef Barreros........ Badajoz......... Badajoz......... 431. 30. Id. Juan Pasamente...</t>
  </si>
  <si>
    <t>Álvarez, Francisco</t>
  </si>
  <si>
    <t>Francisco Álvarez</t>
  </si>
  <si>
    <t>Supl., p. 12</t>
  </si>
  <si>
    <t>587» 8. Licenciado, Francisco Alvarez.......... FrancisJ^iyiaría Fernandez.. S.-Pedro...., - León......... 54*. *5. Id. Santos García................. Manuel ( María Bla</t>
  </si>
  <si>
    <t>Supl., p. 16</t>
  </si>
  <si>
    <t>318. 3- Id. Francisco Alvarez......... . Rodrigo,MelchoraFernan- Tomezana.... Oviedo.............. 465. 21. Id. Joaquín Galiete</t>
  </si>
  <si>
    <t>Álvarez, Gaspar</t>
  </si>
  <si>
    <t>Gaspar Álvarez</t>
  </si>
  <si>
    <t>Supl., p. 4</t>
  </si>
  <si>
    <t>pañía de Fusileros. Gaspar Alvarez.................. Domingo, Ana Fernandez. Aguilar........ Búrgos........... 4. 47. Muerto. Francisco San Tuan........... Antonio,Joaquina Escarpia. Bañeza..... Ba</t>
  </si>
  <si>
    <t>Álvarez, Gregorio</t>
  </si>
  <si>
    <t>Gregorio Álvarez</t>
  </si>
  <si>
    <t>Supl., p. 1</t>
  </si>
  <si>
    <t>.. IIO. 14. Muerto. Gregorio Alvarez..... ......... Antonio, Josefa Borbon.. .. LosGuzmanes. León.;........... 55* 29. Id. ■ ■ Primera Compañía de Fusileros. Cayeta</t>
  </si>
  <si>
    <t>Álvarez, Joseph</t>
  </si>
  <si>
    <t>Joseph Álvarez</t>
  </si>
  <si>
    <t>no Saut Maxent, D. Tadeo Muniesa, D. Fernando Bienpica, D. Juan O-Snlivan, í). joseph de la Valle , Don Joseph Alvarez, D. Cárlos Meyner, D. Francisco Rodríguez , D. Tolhas Rocamora, D. Agustín Pinedo, D. Antonio Cordero,. D. Pedro Villaescusa, D. Miguel Emparan , D. Francesco Alburquerque, D. Bla</t>
  </si>
  <si>
    <t>Álvarez, Juan</t>
  </si>
  <si>
    <t>Juan Álvarez</t>
  </si>
  <si>
    <t>Nuñez * Don Gaspar Pascual de Bonanza, D. Juan la Carte, P. Rodrigo Moscoso, Pon Benito San Juan, y D. Juan Alvarez.</t>
  </si>
  <si>
    <t>90. 33. Id. Juan Alvarez......... . Nicolás , María Arias......... Coto Nabea.. Trives............ 84. 8. Id. Vena ncio González... Benito, Jose</t>
  </si>
  <si>
    <t>Álvarez, Juan Antonio</t>
  </si>
  <si>
    <t>Juan Antonio Álvarez</t>
  </si>
  <si>
    <t>y. 160. 20. Muerto. Juan Antonio Alvarez........ Francisco, María flaquera.. Tabueyja.... Salvatierra... 98. 25. id. Pablo Millan....................... Pedro, Josefa González........</t>
  </si>
  <si>
    <t>Álvarez, Juan Manuel</t>
  </si>
  <si>
    <t>Juan Manuel Álvarez</t>
  </si>
  <si>
    <t>Mencionado en una noticia de la Gazeta extraordinaria.</t>
  </si>
  <si>
    <t>Gazeta extraordinaria</t>
  </si>
  <si>
    <t>21 de julio de 1802</t>
  </si>
  <si>
    <t>59 (extraord.)</t>
  </si>
  <si>
    <t>Gran Cruz de la de Cárlos, iii, Gobernador del de Hacienda: Conde de Montarco de la Pena de Badija: D. Juan Manuel Alvarez, caballero de la del Toyson : D. Juan de Lángara, Gran Cruz de la de Cárlos m ,Capitán General de la Real Armada: D. Pedro Cevallos, primer Secretario de Estado y del Despacho: D.</t>
  </si>
  <si>
    <t>Álvarez, Manuel</t>
  </si>
  <si>
    <t>Manuel Álvarez</t>
  </si>
  <si>
    <t>ase, á D. Rafael Aróspide y D. Francisco de la Dehesa el mismo en la suya, á D. Manuel de Figueroa, D. Manuel Alvarez y D. Pedro de Orille: también se mandó darles certificaciones, como igualmente á D. Félix de la Maza y Llaguno, y D. Miguel Gómez Avecia: habiéndose dado principio y concluido el acto</t>
  </si>
  <si>
    <t>Álvarez, Martín</t>
  </si>
  <si>
    <t>Martín Álvarez</t>
  </si>
  <si>
    <t>500. 24. Id. Martin Alvarez..... Blas, Fjiula Alvarez ...... León........ . León.......... 531. 37. Id. Estanislao Merino.., Josef, Seba</t>
  </si>
  <si>
    <t>Álvarez, Pedro</t>
  </si>
  <si>
    <t>Pedro Álvarez</t>
  </si>
  <si>
    <t>...... roo. 33. Id. Pedro Alvarez..................... Josef, Antonia Gonzaiez.. Pació........... Sobrado........... 202. 6. Id. Agustín Beleda............ Pedro, Teresa Rodríguez.. Mosejos........Mosejos..........</t>
  </si>
  <si>
    <t>Álvarez, Ramón</t>
  </si>
  <si>
    <t>Ramón Álvarez</t>
  </si>
  <si>
    <t>...... $22. 32. Id. Ramón Alvarez.................. Juan, Alfonsa Acevedo.... S. Félix Torio. León............ 477, 4. Id. Vicente Robles................. . Matías, Gabriela Perez.... Sta. Columba. León.........</t>
  </si>
  <si>
    <t>Alvaro de Figueroa</t>
  </si>
  <si>
    <t>11 de mayo de 1802</t>
  </si>
  <si>
    <t>mandado. Don Diego García de Tcvar, Procurador de los Reales Consejos , desea saber «1 paradero de D. Alvaro de Figueroa, poseedor de cierto mayorazgo en México* para comunicarle algunas noticias que le pueden ser interesantes. Los subscriptores al Compendio de los libros históricos de la santa Bibl</t>
  </si>
  <si>
    <t>Alvaro de la Sema</t>
  </si>
  <si>
    <t>y Z aval a, D. Gavino de Arana y Arrióla, D. Joseph Obando y Adorno , D. Joseph Romero y Uriraiz , D. Alvaro de la Sema, D. Garlos Rato y Ramírez, D. Ramón Enlate y Tovias, D. Martin Manuel Mathéo, D. Femando Dominicis , y D. Juan de Cárdenas y Cárdenas. A Alféreces de Navio los de Fragata D. Diego</t>
  </si>
  <si>
    <t>Alvaro de Luna</t>
  </si>
  <si>
    <t>del público.’* Quaderno 14 de la colección de varones ilustres españoles, en que se incluyen los de D. Alvaro de Luna, Andrés Laguna, Fernando Nuñez de Guzman, D. Fr. Bartolomé de las Casas, Francisco Sánchez, y D. Alfonso dé Villegas. Véndese con los antecedentes á fio rs. cada uno con el epítom</t>
  </si>
  <si>
    <t>AlvarOz-Bosadilla, Juan</t>
  </si>
  <si>
    <t>Juan AlvarOz-Bosadilla</t>
  </si>
  <si>
    <t>icha ciudad '9 y D. Joseph María Bur, presbítero; y capelTad Real de aquella santa iglesia. El Lie. D. Juan AlvarOz-Bosadilla,., autor de la Práctica criminal que ha publicado íen '3; tbmbs4, Vd^árimptiniir con Real licencia un apéndice que ha escrito á la obra de los ciricó ÍMÍéiJÓs dé**D. Joseph Febrer</t>
  </si>
  <si>
    <t>Am, Manuel</t>
  </si>
  <si>
    <t>Manuel Am</t>
  </si>
  <si>
    <t>e Micheo éIndacochea, 0. Mknuel López de Castro y Gómez *; 0.Joaquín de Santiago y García det Viso, D. Manuel Am* bulodi y Calvo,/ D. Jóseph POnc¡e de León y Morejon, D. Sancho Ponce de León y Morejon, D-. Joaquín Lobo .de Verseó y Mehdieta, D. Antonio Carvajal y Salamanca $ i). Jbsephi de M</t>
  </si>
  <si>
    <t>Amac, Félix</t>
  </si>
  <si>
    <t>Félix Amac</t>
  </si>
  <si>
    <t>10 de diciembre de 1802</t>
  </si>
  <si>
    <t>l anuncio de 1~ obra intitulada Historia eclesIástica ó tratado de la iglesia de Jesllchristo J por D. Félix Amac ,Canónigo ma'gistral d. la de Tarragona. , EN LA U4PR.ENTA REAl..</t>
  </si>
  <si>
    <t>Amador, Joseph</t>
  </si>
  <si>
    <t>Joseph Amador</t>
  </si>
  <si>
    <t>usileros al Subteniente de 1.a propia clase D. Pedro Manrique, al de granaderos D. Ignacio Asin , y D. Joseph Amador, Subteniente de fusileros; ¿ Subteniente de granaderos al de fusileros D. Francisco Arguelló, y á Subtenientes de bandera á los graduados I&gt;. Cbristóbal Perez, Sargento primero, y</t>
  </si>
  <si>
    <t>Amalia de Badén, Princesa</t>
  </si>
  <si>
    <t>Princesa Amalia de Badén</t>
  </si>
  <si>
    <t>20 de agosto de 1802</t>
  </si>
  <si>
    <t>ro íntimo y Senador Lapucnín, y en la qual habrá diputados nombrados por las partes interesadas. La Princesa Amalia de Badén, que su madre la Princesa heredera dexa aquí el año ultimo, se restituirá én breve 4 Carlsruhe. El 25 y el 26 de este mes hubo aquí una tempestad que causó muchos daños. Se dice q</t>
  </si>
  <si>
    <t>ndante del destacamento ruso apostado en dicha frontera, á avisar á la Reyna que la Emperatriz y la Princesa Amalia de Badén se hallaban en Storra Abborfors. Pasó nuestra Soberana el puente que separa los dos países, y siguió á Storra, en donde estuvo con sus augustas hermanas hasta el 2 del corriente ;</t>
  </si>
  <si>
    <t>Amalia de Badep, Princesa</t>
  </si>
  <si>
    <t>Princesa Amalia de Badep</t>
  </si>
  <si>
    <t>n viage á Abboffors ; en donde ‘ encontrará ¿ Sus d^5 hermanas la Emperatriz viuda de Rusia y* la?. Princesa Amalia de Badep. . Conde Klingspor, Gobernador general de FinUndia4 acompana á S. j¡f #f hasta U frontera, en donde, la .espera' éh Barón de; Stediog fiiE^iha^adpr 4e. 3ue^iíl eft Petersburgo. íh</t>
  </si>
  <si>
    <t>Amalia de Saxonia, María</t>
  </si>
  <si>
    <t>María Amalia de Saxonia</t>
  </si>
  <si>
    <t>arribo, desembarco y residencia que hicieron en ella el Sr. Rey D. Carlos x 11 y su augusta esposa Doña María Amalia de Saxonia,con sus Altezas el Principe Real (hoy nuestro Soberano) y demas Real familia: escrita de órden del Ayuntamiento' de aquella capital: un tomo en 4.0 con una lámina en pliego dé mar</t>
  </si>
  <si>
    <t>Amalia, Princesa</t>
  </si>
  <si>
    <t>Princesa Amalia</t>
  </si>
  <si>
    <t>o le señaló 8co© libras , baxo condición de que pagase pensiones á la Princesa viuda de Gáies, á la Princesa Amalia y al Duque de Cumberland: de suerte que la renta del Rey quedaba reducida á 750© esterlinas. En 1769 se asignaron 513© libras por via de socorro para la lista civil: otras 100© el a</t>
  </si>
  <si>
    <t>Amar, Antonio</t>
  </si>
  <si>
    <t>Antonio Amar</t>
  </si>
  <si>
    <t>as del Rio de la^Platapon la Presidencia de la Real Audiencia de Buenos-Ay.res al Mariscal de.Campo D. Antonio Amar, Comandante general de la provincia de Guipúzcoa, por haber teñido á bien relevar de él al Mariscal de Camoo D. Joaquín del Piño. ' v-"t.r_ El Rey , á consulta del Consejo y prece</t>
  </si>
  <si>
    <t>Amaro Pestaña, Juan</t>
  </si>
  <si>
    <t>Juan Amaro Pestaña</t>
  </si>
  <si>
    <t>z Brito , D. Juan Joseph Cana*,D'&lt;Pedro García, D. Juan Méndez, D. Rafael Morales,. Agustín Arenas, D. Juan Amaro Pestaña, D. Manuel Fernandez, D. Miguel Texedor, D. Joseph de los Ríos, D. Guillermo Roo, IX Juan Antonio Heredia, D. Joseph de Chastre, D. Manuel Astor, Don Ramón Mijares, D. Francisco A</t>
  </si>
  <si>
    <t>Amat, Antonio Simón</t>
  </si>
  <si>
    <t>Antonio Simón Amat</t>
  </si>
  <si>
    <t>4 de mayo de 1802</t>
  </si>
  <si>
    <t>para un Beneficio de ta parroquia de Car de Deu, diócesis ele Barcelona , vacante por promoción de D. Antonio Simón Amat al curato de Bimbodi en, Tarragona, á D. Miguel Pagés. ~ En América. El Rey se ha servido nombrar para la Dignidad de Arcediano de la catedral de la Paz , vacante por fallecimient</t>
  </si>
  <si>
    <t>Amavet, Juan</t>
  </si>
  <si>
    <t>Juan Amavet</t>
  </si>
  <si>
    <t>11 de junio de 1802</t>
  </si>
  <si>
    <t>llos. Ha concedido el gobierno privilegio de invención por término de 6 años al ciud. Juan Amavet, maquinista establecido en París, para que execute iin método dirigido á impedir que los coches y todo género de carruages se caygan, aunque se rompan los exes</t>
  </si>
  <si>
    <t>Ambroz, Joaquín</t>
  </si>
  <si>
    <t>Joaquín Ambroz</t>
  </si>
  <si>
    <t>Capellanía titular del Real convento de la Encarnación de esta corte, vacante por fallecimiento de D. Joaquín Ambroz, músico en la cuerda de tenor, á D. Chrístóbal Ximenez , Capellán de altar, cantor en la cuerda de baxo en el mismo convento. En el regimiento de Reales Guardias Españolas se ha s</t>
  </si>
  <si>
    <t>Ameen, Capitán</t>
  </si>
  <si>
    <t>Capitán Ameen</t>
  </si>
  <si>
    <t>25 de junio de 1802</t>
  </si>
  <si>
    <t>6 ó 27 de este mes. Al primer viento favorable saldrá de Carlscrona el yatcht Delfín mandado por el Capitán Ameen para Lubeck , adonde llevará el cadáver del Príncipe heredero de Badén, de cuya custodia va encargado el Barón de Gayling. Copenhague 1$. de Mayo, E spérase quanto antes aquí una</t>
  </si>
  <si>
    <t>Ameller, Blas</t>
  </si>
  <si>
    <t>Blas Ameller</t>
  </si>
  <si>
    <t>lvador Carmona, grabador de Cámara, y director de la Real academia de S. Fernando; y la tercera por D. Blas Ameller, académico en la misma Real academia. Se hallarán á 3 rs. cada una en las librerías de Barco y Escribano, y en el puesto del diario frente á Sto. Tomas. Juego completo de las 9 la</t>
  </si>
  <si>
    <t>Amiant, Juan</t>
  </si>
  <si>
    <t>Juan Amiant</t>
  </si>
  <si>
    <t>l Marqués de Lazan, D. Juan Magín, el Conde Colona, D. Antonio García Conde , D. Fernando Saavedra, D. Juan Amiant, D. Baltasar de Béllét * 0. Joseph Craiwinckel, D. Joseph Augusto S e la Porte, D. Juan Chrisóstomo de la Llave, el Condé de Castroterreño* D. Joseph de Vargas, D.JoaquinBlake, D.</t>
  </si>
  <si>
    <t>Amonio Ignacjo Bauman</t>
  </si>
  <si>
    <t>omover á,Capitán segundo *1 Ayudante D, Martin Hallegg: ¿ Subtenientes en el de Reding ilds Cadetes D. Amonio Ignacjo Bauman y D. Nicolás Tywaz : á Teniente en el de ^anm¿alf-Sqbt$ni*9te de--granaderos Don Fdlix Obersteg ; y ha nombrado Capellán del segundo batallón, del expresado de* Reding* al presbítero</t>
  </si>
  <si>
    <t>Amonio Joseph Cavanilles</t>
  </si>
  <si>
    <t>empezará el curso de botánica, y demostrará las plantas en e! Real jardín de esta corte su profesor D. Amonio Joseph Cavanilles á las-4^ de la tarde, y continuará sus lecciones públicas los martes, juéves y sábados de cada semana á la misma hora. El 17 del corriente sé perdieron 4 vales Reales de 5oo pesos</t>
  </si>
  <si>
    <t>Amonio Moreno Ximenez de Roxas</t>
  </si>
  <si>
    <t>8 de junio de 1802</t>
  </si>
  <si>
    <t>ejo, á Don Matías Paredes : para una Canongía de la catedral de Pal encía, vacante por promoción de D. Amonio Moreno Ximenez de Roxas á una de Cuenca, áD. Felipe de Villalobos ‘/para otra de la catedral de Sigiienza, vacante por fallecimiento de D. Juan García Campos, á D. Fernando Blaneó Cordero:'para una Ració</t>
  </si>
  <si>
    <t>Amonio Venegás, Joseph</t>
  </si>
  <si>
    <t>Joseph Amonio Venegás</t>
  </si>
  <si>
    <t>ombrar, para la Canongia Penitenciaria de la metropolitana de México, vacante ppr. fallecimiento de Don Joseph Amonio Venegás, á D. Joseph Angel Garcjnp ¿ hícdio-Racionerp -de dicha metropolitana^ 1 ^ f . W - t Los tenedores de vales dinero de bkcaxa de Consolidación de-1. de Setiembre de 1801 que hasta</t>
  </si>
  <si>
    <t>Amoroso, Luis</t>
  </si>
  <si>
    <t>Luis Amoroso</t>
  </si>
  <si>
    <t>....... 901. 4. Id. Luis Amoroso....................... Josef, InesQuiotaniila....... Ceuta...............Ceuta............... 455* 3* Marina. Cabo2.“BaltasarFernandez.^Benito, María Rodríguez... S. Pedro .... Lugo.</t>
  </si>
  <si>
    <t>Ampudía, Joseph</t>
  </si>
  <si>
    <t>Joseph Ampudía</t>
  </si>
  <si>
    <t>o, D. Andrés López, D. Pedro Roca, D. Tomas de Jáuregui, D. Marcelo Hstranio, D. Salvador del Toro, D. Joseph Ampudía, D. Francisco Gelabert, el Marques’de Viliadángos, el Conde Armildez, Marqués del Salar, D. Pedro Miguel Alvarez de Perea, D/Manuel Laguna y Moscoso, él Marques del Risco, D. Euge</t>
  </si>
  <si>
    <t>An, Archiduque</t>
  </si>
  <si>
    <t>Archiduque An</t>
  </si>
  <si>
    <t>oral de Colonia á los demas Ministros de la Dieta, que el Cabildo reunido en Arengsberg comunicó al Archiduque An</t>
  </si>
  <si>
    <t>Anacleto de las Casas</t>
  </si>
  <si>
    <t>18 de mayo de 1802</t>
  </si>
  <si>
    <t>a servido el Rey nombrar para la plaza de Oidor de la Audiencia de Quito, vacante por jubilación de D. Anacleto de las Casas, á 3). Joseph Merchante de Contreras, Abogado de los Reales Consejos y del Colegio de Madrid: para otva de la Audiencia de Santa Fe,vacante por fallecimiento de D. Joseph Qttixano</t>
  </si>
  <si>
    <t>Anacleto Miguel</t>
  </si>
  <si>
    <t>....... 533» 4* Id. Anacleto Miguel................. Josef, Catalina González.. Fresno............ León............... $08. 23. Id. Frutos Fontáa................. Isidro , Francisca Vidal.... S. Román.... León...</t>
  </si>
  <si>
    <t>Anacleto Orbañanos</t>
  </si>
  <si>
    <t>ructuoso Cariñena, D* Patricio Gómez, D. Manuel Martínez-, D. Dionisio Pinedo, D. HemeterioMdtetio* D. Anacleto Orbañanos, D. Gerardo Moreno, D. Braulio Martínez, Don Vicente Heras y D. Valentín Gutiérrez. Y en la tercera D. Valentín Sa^ cristas, D. Manuel Arjumariz, D. Joseph Ruiz y D. Estiban de Es</t>
  </si>
  <si>
    <t>Anajona, Santiago</t>
  </si>
  <si>
    <t>Santiago Anajona</t>
  </si>
  <si>
    <t>19 de febrero de 1802</t>
  </si>
  <si>
    <t>quia de Fuentes de Ebro¿ diócesis de Zaragoza, vacante por fallecimiento de D. Santiago Lapuente, á D. Santiago Anajona: para otro Beneficio de ia parroquia de Castellón de Ampurias,diócesis de Gerona, vacante por muerte de D. Joseph París, á D. Narciso Gingi; para otro fundado baxo la invocación d</t>
  </si>
  <si>
    <t>Añares Crespo Cantolla</t>
  </si>
  <si>
    <t>el elogio de nuestro Soberano: y leído en seguida el extracto de las actas por el primer secretario D. Añares Crespo Cantolla, puso el Sr. director los premios de una medalla*de plata á los niños que en los exámenes particulares y públicos habían sobresalido: y lo fuéron en las. escuelas de costura Teres</t>
  </si>
  <si>
    <t>Anastasio Alarcon</t>
  </si>
  <si>
    <t>ventor de la de Orizava a D. Antonio Morillas : para Oficial 2.0 de. la Contaduría de la de Pueblaá D. Anastasio Alarcon : para la de Tesorero de la Factoría de Valladolid á D. Francisco Ruiz de España: para la de Administrador del partido de S., Juan de' Coscomatepeque á D~ Joseph de Leyva : para l</t>
  </si>
  <si>
    <t>Anastasio de Cuevas</t>
  </si>
  <si>
    <t>cto fué igual á su deseo: pues habiéndole con el mayor zelo comunicado á muchos su Cirujano titular D. Anastasio de Cuevas, prosigue executándoio con quantos se le presentan de todas edades. Aladrid 25 de Mayo. E 1 Rey se ha servido nombrar para la Iglesia y Obispado de Badajoz, vacante por fallecimie</t>
  </si>
  <si>
    <t>Anastasio Garfcia del Cá</t>
  </si>
  <si>
    <t>:ía de Granada, al Alcalde del Crimen de la misináT). Blas García de Quesadá; y para ésta resulta á D. Anastasio Garfcia del Cá‘ ti!¿o: para ia plaza de Ministro del Consejo de Navarra, que reSultá vacante por «censo del citado D. Alfonso Duran y Barazabal, al Alcalde del mismo Consejo D. Pascual Rodríguez</t>
  </si>
  <si>
    <t>Anastasio Ramón</t>
  </si>
  <si>
    <t>90. 22. Id. Anastasio Ramón............... Domingo, Angela Alonso.. Pranzanes... Espinadera.. 32. 20. Presidio. Bernardo de Zúñiga......... Francis</t>
  </si>
  <si>
    <t>Anaya, Gerónimo</t>
  </si>
  <si>
    <t>Gerónimo Anaya</t>
  </si>
  <si>
    <t>r batallón de Voluntarios de Barcelona: en el de cazadores Voluntarios de la Corona á Subteniente á D. Gerónimo Anaya, segundo Subteniente del de la Reyna: en el de Suizos de Rut imán á Subteniente de granaderos al de fusileros D. Jacobo Durguy; y en el de Courten á Coronel aí Teniente Coronel de</t>
  </si>
  <si>
    <t>Andcr, General</t>
  </si>
  <si>
    <t>General Andcr</t>
  </si>
  <si>
    <t>e de su petición i :la municipalidad, y le comunicaría; la respuesta. Como esta; tardaba, empezó el General Andcr-^ matt á bombardear la ciudad: arrojó 160 balas de obús y algunas de cañón de á 4 y de á 6; pero en breve se apuraron sus municiones» y no llevaba consigo mas que 2$ hombres. A las</t>
  </si>
  <si>
    <t>Andermatr, General</t>
  </si>
  <si>
    <t>General Andermatr</t>
  </si>
  <si>
    <t>s, proporciones-necesiten para que vayan adonde lés convenga. 7.-°'Se; incluyen en este convenio al General Andermatr, á las tropas de su mandes, y á todo&amp; L&gt;s destacamentos ídeítropa-stlielvétícas , lás qualéSr:podrám sin; ser molestadas unirse con el gobiérno; helvético que sale de Berna,, llev</t>
  </si>
  <si>
    <t>Andermatt, General</t>
  </si>
  <si>
    <t>General Andermatt</t>
  </si>
  <si>
    <t>os, de quienes esperan una justa reciprocidad.** Basilea 20 de Agosto. H a conferido el gobierno al General Andermatt el mando en xefe de todas las tropas helvéticas y de las milicias nacionales encargadas de la ¿expedición contra los cantones pequeños^ y ha sentado su quartel general en</t>
  </si>
  <si>
    <t>95® Basilea %j de Agosto» =^ E 1 General Andermatt ha enviado la vanguardia del cuerpo de su mando á ocupar el paso importante de Rengg, el qual le facilita su entrada en eí cantón de Underwald. Destacó otra partida ai Oberiand be</t>
  </si>
  <si>
    <t>que los carabineros no tuviéron la precaución de defender. Así que se recibió ésta noticia mandó él General Andermatt avanzar todaslas fuerzas helvéticas ; y de acuerdo cpn el comisario del gobierno há dirigido una proclama á los habitantes de Uri, Schwitz y Underwald intimándoles por última vez</t>
  </si>
  <si>
    <t>Ándermatt, General</t>
  </si>
  <si>
    <t>General Ándermatt</t>
  </si>
  <si>
    <t>1 de octubre de 1802</t>
  </si>
  <si>
    <t>speranzas de ajuste con los cantones peque ños.,,y (parece que han hecho proposiciones moderadas al General Ándermatt y al Comisario del gobierno Keller. 7: ■ V De resultas de algunos altercados ha hecho dexadon de su empleo el ciud. Kuhn j Ministro de justicia y pqlicía. Para sucederle en Leí mini</t>
  </si>
  <si>
    <t>comisario Muy para que apresurase su marcha. Los habitantes de Zurich.hiciéron una salida contra el General Andermatt: trabóse una acción reñidísima, al fin de la qual los de Zurich fuéron rechazados con nna pérdida de 150 hombres. Él referido General volvió á bombardear la ciudad, y se apoderó d</t>
  </si>
  <si>
    <t>amente opuestos á los del vecindario de aquella ciudad; y esta no quiso darles entrada. Entonces el General Andermatt mandó que fuesen á ocuparla, varias compañías de tropas dé línea. Su llegada repentina excitó la mayor inquietud entre los habitantes: se reunieron tumultuariamente; y como crecia</t>
  </si>
  <si>
    <t>19 de octubre de 1802</t>
  </si>
  <si>
    <t>dos divulgan que el vecindario de Zurich ha roto el armisticio ajustado entre la municipalidad y el General Andermatt. Añaden que hicieron una salida repentina-de la plaza y consiguieron rechazar las tropas helvéticas; pero que habiendo estas entre tanto recibida refuerzos acometieron á los contr</t>
  </si>
  <si>
    <t>quaies se pusieron en marcha para Berna , y se presentaron delante de aquella ciudad el día .18; El General Andermatt habia llegado de Zurich el 17 con 2 ó 3© hombres, que aumen-* táron las fuerzas del gobierno hasta 5© : número muy corto para hacer frente á 20 ó 30© que podía Teunir Erlach. Se h</t>
  </si>
  <si>
    <t>idado con M elrveeipdario envió ai ciud. Hirzel y al Coronel Meyer para arreglar un convenio con el General Andermatt. Este lés propuso los tres artículos siguientes1.® Que todos los vecinos entregasen las armas. 2.* Que se pagasen á la tesorería de Ia*República helvética, los gastos á que ha dad</t>
  </si>
  <si>
    <t>2 de noviembre de 1802</t>
  </si>
  <si>
    <t>ejo éxecutivo ál. xefe 4c brigada Wouderwcid pór comandante en xéfe de nuestras tropas éñ lugar del General Andermatt. ---s - ~ ■ ;v Bastlea g de Octubre* I a reyna alacha discordia f desavenencia entre tes fósurgentés: y con motivo del plíán.. deim nuevo gobierno para Suiza, se han movido contes</t>
  </si>
  <si>
    <t>urgo se defiende todavía confra las tropas de Berna, pero estas han vuelto á ocupar la de Morat. El General Andermatt sacó de ella rebebes , á quienes no se dará libertad hasta que pague la ciudad la contribución de 40® francos que le han impuesto. *- »■ vi- h^ Xa inesperada noticia de la llegada</t>
  </si>
  <si>
    <t>Andermatz, General</t>
  </si>
  <si>
    <t>General Andermatz</t>
  </si>
  <si>
    <t>E 1 19 por la noche se cerraron las puertas de esta ciudad una hora ánteS de lo acostumbrado; y el General Andermatz, comandante en xefe de las tropas helvéticas, despachó orden para que los granaderos del batallón de Mui ler aquartelados en Basilea, viniesen inmediatamente aquí, adonde han lleg</t>
  </si>
  <si>
    <t>Andernutt, General</t>
  </si>
  <si>
    <t>General Andernutt</t>
  </si>
  <si>
    <t>subalternos. i Basilea jj&gt; de Setiembre; S obre los acontecimientos de, Zurich solo se dice que el General Andernutt ha recibido, algunos, refuerzos.; pero que al mismo tiempo han entrar do otros en aquélla plaza* Pos cuerpos que llevaban la misma; intención, fuéron derrotados, pdrr tropas qUe e</t>
  </si>
  <si>
    <t>Andino, Vicente</t>
  </si>
  <si>
    <t>Vicente Andino</t>
  </si>
  <si>
    <t>, D. Ignacio Padilla y D. Joseph del Toro, Tenientes de granaderos; á esta clase á los de fusileros Don Vicente Andino, D. Santiago de Córdoba y D. Juan Escudero; á Tenientes los Subtenientes de granaderos D. Miguel Agusto, D. Alonso Velez y D. Joseph Lino Garzón, y al de fusileros D. Juan de Lugo</t>
  </si>
  <si>
    <t>adas de infantería de Puerto-Rico se ha servido promover el Rey á Capitán al Teniente de granaderos Don Vicente Andino: á Teniente de granaderos al de fusileros D. Die^o Antonio de Urrutia: á Tenientes á los Subtenientes de granaderos D. Francisco Romero y D. Vicente Vinegra ; y á esta resulta á l</t>
  </si>
  <si>
    <t>Andrade, Gregorio</t>
  </si>
  <si>
    <t>Gregorio Andrade</t>
  </si>
  <si>
    <t>54. 9. Id. Gregorio Andrade...... 85. 29. Id. Eernardino Fernandez.</t>
  </si>
  <si>
    <t>Andrade, Joseph</t>
  </si>
  <si>
    <t>Joseph Andrade</t>
  </si>
  <si>
    <t>Idiáquez, D. Raiñpn Trapero y (pabrero, D.’ Tédro feucheli y Carleti, D. Pedro Porri|ta;y Otalora, D. Joseph Andrade y/Cendrera,, p, Julián íacón D.- Antonio Gastón y :Navarrete, D, Francisco Idí aquez y Castro,D. ^eb^stiañ Elisa y Revenga, D. Bartolomé Márquez Pacnecq &gt; D. Vicente Bausa y Móre^ n</t>
  </si>
  <si>
    <t>Andradé, Joseph María</t>
  </si>
  <si>
    <t>Joseph María Andradé</t>
  </si>
  <si>
    <t>a Inmemorial del Rey se ha dignado S. M. promover á Subteniente de granaderos al primer Subteniente.D. Joseph María Andradé: en él de Saboya á segundo Subteniente al Cadete D. Antonio de León: en el de Córdoba á segundos-Tenientes á los Subtenientes de granaderos D. Lorenzo Cervera y D. Antonio Gonzále</t>
  </si>
  <si>
    <t>Andreesi, General</t>
  </si>
  <si>
    <t>General Andreesi</t>
  </si>
  <si>
    <t>entemente por el Emperador. Lóndres 8 de Noviembre, E 1 sábado á la una de la mañana. Hegp. aquí el General Andreesi, Emba* xador de Francia, acompañándole su secretario en un coche tirado por.^ caballos: el resto de la comitiva ocupaba otros dos" coches con 6 caballos cada uno , y seguían los c</t>
  </si>
  <si>
    <t>Andreosi</t>
  </si>
  <si>
    <t>está en nuestro1 poder. Firmado: CafFarelli.” r Ha nombrado el primer Cónsul al ciud. Andreosi para Embaxador de -la República francesa cerca de S. M. Británica:, al ciud. Otto, Ministro plenipotenciario de Francia en Inglaterra,, para Ministro plenipote</t>
  </si>
  <si>
    <t>Andreosi, General</t>
  </si>
  <si>
    <t>General Andreosi</t>
  </si>
  <si>
    <t>rer desde el día 2 de Setiembre de 1801, en que se rindió Alejandría. En vista del nombramiento del General Andreosi para Embajador de Francia en Londres, acelera el Lord Whitworth los preparativos para su partida á Paris. Créese que hoy besará la mano á S« M., y que en todo este mes se transfer</t>
  </si>
  <si>
    <t>ndas de Knówles; y se asegura que no emprenderá SU viage á París hasta qué se sepa de cierto que ef General Andreosi ha emprendido el suyo para Inglaterra. En los almacenes de Liverpool ha habido un incendio, cuyos daños se</t>
  </si>
  <si>
    <t>12 de noviembre de 1802</t>
  </si>
  <si>
    <t>s se aumentarán con otras despachadas del pais de Mysore. . Han negado al Támésis los equipages del General Andreosi, Embaxador francés; y ha mandado el gobierno á los empleados de la aduana que los cuiden con el mayor camero. j Ef dia ió arrojó el mar a los arenales de Goodwin (que son como uno</t>
  </si>
  <si>
    <t>Andreósi, General</t>
  </si>
  <si>
    <t>General Andreósi</t>
  </si>
  <si>
    <t>30 de noviembre de 1802</t>
  </si>
  <si>
    <t>como también el de la otra polacra que estaba ya igualmente vencida. * Calais 4 de Noviembre*, E 1 General Andreósi, Fmbaxador de la República ceraa de S. M. Británica, llegó aquí ayer tarde. Se le hiciéron t&lt; dos los honores correspondientes á su carácter, y todos los xefes civiles y militares</t>
  </si>
  <si>
    <t>3 de diciembre de 1802</t>
  </si>
  <si>
    <t>la marina Real nombrada Imogene, de 18 cañones. Lleva pliegos, para el Cabo de Buená-Esperanza. £1 General Andreosi , Embaxador de Francia en esta corte, ha llegado it Douvres. Le recibió el pueblo con aclamaciones y las señales mas patentesrde alegría. Desde la playa hasta su alojamiento le es</t>
  </si>
  <si>
    <t>tenían dispuesta, y i las 10 pasó á visitarle el ciud. Otto. Un poco después comunicó de oficio el General Andreosi su llegada al Lord Hawkesbury, Secretario de Estado , á cuya'secretaría pasó luego el Embaxador con el ciud. Otto, quien le presentó al Ministro. Era grandísimo el.gentío que acud</t>
  </si>
  <si>
    <t>14 de diciembre de 1802</t>
  </si>
  <si>
    <t>uienes se contesta la legitimidad de su nombramiento , y. en tomar el juramento á los demás.. -r El General Andreosi, Embaxador de Francia,dió el viérnes último una espléndida comidaú Jos Lores Hawkesbnry y Pelbanj ry &amp; gran número, de personas de la mayor distiocion. Mañana le paga 'el convite</t>
  </si>
  <si>
    <t>recobro de su salud. o * Por la mañana fué introducido en la corte por el Maestro de ceremonias el General Andreosi» á quien acompañaba el ciud. Gtto.» y en una audiencia particular que el primero tuvo del ¡Rey» presentó. §us credencia^ les.—_ El pueblo 9 que mira la llegada del Embaxadór -fran</t>
  </si>
  <si>
    <t>24 de diciembre de 1802</t>
  </si>
  <si>
    <t>d^ílat Sfi^-néSrpaftoie.ntári^s. ^erca'id^j^inauiptéíitado^á^sji.junaiúeóto^fc c-ri^ Db mbncu r? El General Andreosi concnrrÍQ¿$fdiai |$ vo la Reyna , á la qual fué presentado.</t>
  </si>
  <si>
    <t>Andreu y Viciana, Juan</t>
  </si>
  <si>
    <t>Juan Andreu y Viciana</t>
  </si>
  <si>
    <t>Rey se ha servido nombra* para una Canongía Lectoral de nueva erección en la catedral de Tortosa á D. Juan Andreu y Viciana: para otra de la colegial de la ciudad de S. Felipe, diócesis de Valencia, vacante por fallecimiento de D. Juan Lledó, á D. Luciano Gabanes: para otra de la de Manresa, diócesis d</t>
  </si>
  <si>
    <t>Andreu, Juan</t>
  </si>
  <si>
    <t>Juan Andreu</t>
  </si>
  <si>
    <t>24 de agosto de 1802</t>
  </si>
  <si>
    <t>se ha servido nombrar para un Beneficio de la metropolitana de Tarragona, vacante por promoción de D. Juan Andreu á la Canongia Lectoral de Tortosa, á D. Joseph Marti: para una Capellanía de la Real capilla de Granada, vacante por fallecimiento de D. Joseph Diaz Bardera, á D. Domingo Valdés;</t>
  </si>
  <si>
    <t>Ánet, Felipe</t>
  </si>
  <si>
    <t>Felipe Ánet</t>
  </si>
  <si>
    <t>ha la graduación de estos alumnos, se consideraron en la clase de sobresalientes á D. Joaquín Royo, D. Felipe Ánet, D. Jacinto Munárriz , D. Juan Antonio Comat y D. Vicente Royo; en la de buenos á D. Eusebio María Urróz, p. Ildefonso González,- £)- VicenteXimenee y D. Francisco Rimont; y en la</t>
  </si>
  <si>
    <t>Angela</t>
  </si>
  <si>
    <t>r perpetuo de esta villa, perteneciente al mayorazgo fundado por D.Gregorio Cariga de la Quintana y Doña Angela deVillégas Puente, su muger, el qual se vende á instancia de su poseedora , regulado en 2$$,002 rs. , al qual se ha hecho postura en la misma cantidad á pagar en vales Reales. Quien</t>
  </si>
  <si>
    <t>Angelón y Arhueso, Manuel Gregorio</t>
  </si>
  <si>
    <t>Manuel Gregorio Angelón y Arhueso</t>
  </si>
  <si>
    <t>lara de la villa de Tordesillas y obispado de Valladolid, vacante por muerte de D. Nicolás Merlo, á D. Manuel Gregorio Angelón y Arhueso. En el regimiento rde Reales Guardias Españolas se ha servido promover S*» M: ¿-'Sargento mayor al Comandante'de batallón, graduado de Brigadier, D. Ramón de Mar i moa: en el de R</t>
  </si>
  <si>
    <t>Angoleti, Pedro</t>
  </si>
  <si>
    <t>Pedro Angoleti</t>
  </si>
  <si>
    <t>D. Antonio Plernandez: en el de Granaderos Voluntarios de Estado á segundo 1 eniente al Subteniente D. Pedro Angoleti , y á Subteniente al segundo Subteniente del de infantería de Navarra D. Juan Antonio López: en el de Ñapóles á Capitán al primer Teniente de granaderos D. Luis Basincourt: en el</t>
  </si>
  <si>
    <t>Anguiano, Joaquín</t>
  </si>
  <si>
    <t>Joaquín Anguiano</t>
  </si>
  <si>
    <t>Supl., p. 13</t>
  </si>
  <si>
    <t>...... IS3. 16. Id. Joaquín Anguiano............... Isidro , Francisca Ruiz....... Portilla....... . Vitoria.......... 24. 32. Id. Josef Aguirre................... Manuel, Margarita Olivar.</t>
  </si>
  <si>
    <t>Angulo, Agustín</t>
  </si>
  <si>
    <t>Agustín Angulo</t>
  </si>
  <si>
    <t>17* 3°* Id. Agustín Angulo................... Dionisio, Casilda Catalina.. Soloraua........ Aranda........ 107. 21. Licenciado. ]osel Sillero......................... Josef, Francisca Lara........ Cigales.</t>
  </si>
  <si>
    <t>Angulo, Fernando</t>
  </si>
  <si>
    <t>Fernando Angulo</t>
  </si>
  <si>
    <t>20. 18. Licenciado. Fernando Angulo................ Antonio, María Briones... Briones........ StoDomingo.. too. 5. Id. Xavier Perez..................... Xavier, Micaela Larrea..* Briones......... Sto.Domingo..</t>
  </si>
  <si>
    <t>Angulo, Joseph</t>
  </si>
  <si>
    <t>Joseph Angulo</t>
  </si>
  <si>
    <t>; Diego de^Obando y Adorno, D. Francisco Feruandez de Miran?* qa ,/Di FranciS|cqrIJÍioa y Ramírez , D. Joseph Angulo é Idiáquez, D. Raiñpn Trapero y (pabrero, D.’ Tédro feucheli y Carleti, D. Pedro Porri|ta;y Otalora, D. Joseph Andrade y/Cendrera,, p, Julián íacón D.- Antonio Gastón y :Navarrete</t>
  </si>
  <si>
    <t>Anhalt-Salm, Príncipe</t>
  </si>
  <si>
    <t>Príncipe Anhalt-Salm</t>
  </si>
  <si>
    <t>inistres francés y tuso con nuevas notas explicativas. Francfort 25 de Noviembre’.:-i • 4 ; . / E 1 Príncipe Anhalt-Salm y que. había enviado eoroisarios á varias plazas del obispado: de Munster que le corresponden por el plan de inglenmizacicne^, ha tenido que mandarles, retirarse yopor haberio'&lt;ex?g</t>
  </si>
  <si>
    <t>Aniceto de la Bodega, Tomás</t>
  </si>
  <si>
    <t>Tomás Aniceto de la Bodega</t>
  </si>
  <si>
    <t>vido nombrar para la Canongía Docto** ral de la metropolitana de Lima, vacante por fallecimiento de D. Tomas Aniceto de la Bodega, á D. Joseph Antonio Cevalios, Cura propio de la D cetrina de Caraba lio. S. M. se ha dignado promover én el segundo batallón del regimiento de infantería de Voluntarios de Cartag</t>
  </si>
  <si>
    <t>Anicetó Quixano y Arce</t>
  </si>
  <si>
    <t>dillo, D» Benito Basabe y UJente, Dón Francisco Toubes y Ordoñez, D. Antonio de Aiscar y Piedrola , D. Anicetó Quixano y Arce, D. Fernando Ordoñez, D. Joseph de Salas Boxadors, Don Alonso Yusti y Herrera, D- Torquato Piedrola y Verdugo, D. Luis Cris y Sansón, D. Francisco Mendinueta, D. Joseph Orozco, y</t>
  </si>
  <si>
    <t>Anillo, Joseph</t>
  </si>
  <si>
    <t>Joseph Anillo</t>
  </si>
  <si>
    <t>a, D. Joseph Rivera, D. Joseph Cabrera, D. Ignacio Salens , D. M.a-. nuel Vázquez, D. Juan Vidaror, D. Joseph Anillo, D. Mauricio Alva-, rez, D, Manuel Hinojosa, D. Joaquín Luyando, D. Juan Bosa, D. Bas^ cual Martinez, D. Juan Menendez,' D. Baltasar García Galio, D. Francisco Perea, D. Francisco</t>
  </si>
  <si>
    <t>Anisa, Christobal</t>
  </si>
  <si>
    <t>Christobal Anisa</t>
  </si>
  <si>
    <t>usileros D. Fernando de la Puente y D. Pedro Santacilia; á Tenientes los Subtenientes de granaderos D. Christobal Anisa, D. Joseph Eligió y D. Miguel Valera; á Subtenientes de granaderos los de fusileros D. Manuel María Perez, D. Jorge Vi«* llers y D. Joseph Recio ; á Subtenientes de compañía los d</t>
  </si>
  <si>
    <t>Anr</t>
  </si>
  <si>
    <t>olegial de Logroño, diócesis deCalahorra, vacaiitf por failecimiento de D. Mateo Vicente Ximenez, á D. Anr tonio Cruz Gpnzalez. - . t ^ , En América. El Rey se ha dignado conferir la Sargentía mayor vete-» rana del batallón de milicias disciplinadas de blancos de Mérida al Teniente Cor</t>
  </si>
  <si>
    <t>Ansdtegul, Bernardo</t>
  </si>
  <si>
    <t>Bernardo Ansdtegul</t>
  </si>
  <si>
    <t>...... 143. 17. Id. Sargento 3.° Bernardo Ansdtegul ............................. Andrés, María Viana......... Urantevilía.. Vitoria.......... 305. 27. Muerto. Josef Ferreyro...................... Juan, AntoniaUnteyro.... Sta. María... Santi</t>
  </si>
  <si>
    <t>Anselmo Benedicto</t>
  </si>
  <si>
    <t>ertámen entre sí de 200 preguntas de doctrina christiana de las Escuelas pias,en que quedó vencedor D. Anselmo Benedicto, todo á satisfacción del concurso compuesto de ambos cabildos , comunidad de Agustinos, y muchas personas de pueblos distantes, que admiraron los progresos de los niños, á quienes</t>
  </si>
  <si>
    <t>Anselmo Martínez</t>
  </si>
  <si>
    <t>Felipe Sicre, D. Baltasar Alvarez, D. Joseph Antonio de Calzada, D. Luis Calvo, D; Joseph Astraudi, D. Anselmo Martínez,_D. Rayníundo Carbonell,* D. Rodrigo •Aívarez, D. Ignacio Sandoval, D¿ Nicolás Pastor, D. Joseph Abarca, Don Jdseph Díaz, D. Ignacio Luzon¿ D. Mariano Merchante, D. Christóbal Man</t>
  </si>
  <si>
    <t>Anselmo Ortigosa</t>
  </si>
  <si>
    <t>21 de mayo de 1802</t>
  </si>
  <si>
    <t>rs. Quien quisiere tratar de su ajuste acudirá en dicho sitio al oficio y escribanía de gobierno de D. Anselmo Ortigosa , y en esta corte al oficio y escr ibanía de provincia de X). Domingo Rodríguez. Un sugeto tiene facultad lleal para imponer sobre sus mayorazgos, que son libres y pingües, 8c- rs</t>
  </si>
  <si>
    <t>Anselmo Plaza</t>
  </si>
  <si>
    <t>n Alonso, D. Rafael Nestares, D. Joaquín Ruiz, D. Miguel Aguirre, Don JuanNuñez , D. Juan Navarro , D. Anselmo Plaza , D. Francisco González de la Vega, D. Joseph Antonio de Terán, D. Vicente Vázquez, Don Juan Vázquez, D. Manuel Quiroga y Cornide, D. Gonzalo4H¿1 Lema, D. Xavier García Flores, D.</t>
  </si>
  <si>
    <t>Ansey, General</t>
  </si>
  <si>
    <t>General Ansey</t>
  </si>
  <si>
    <t>a. Ayer llego aquí el General Lecourbe ; y también se ignora la causa de Sti venida. Igualmente, el General Ansey transitó antes de ayer por esta ciudad para Thun, en donde hay 4 compañías de tropas francesas. Se asegura que se enviarán otros cuerpos á los cantones pequeños. El ciud. Rfister,</t>
  </si>
  <si>
    <t>Ántbníó, Manuel</t>
  </si>
  <si>
    <t>Manuel Ántbníó</t>
  </si>
  <si>
    <t>19 de noviembre de 1802</t>
  </si>
  <si>
    <t>le Ozores. ’ ■ En Ciudad-Real... D. Ramón Antonio Pico. v En Córdoba...:..^.. En, la Córuñd........ D. Manuel Ántbníó^ EÍzatirdir^ , .En Cttenqa............ D. Mznuel Escolary Noriega.. r^T., En Granada........ D. Francisco Üftzaga. En Guadalaxara. D, Isidoro García Plaza. • En Jaén..............</t>
  </si>
  <si>
    <t>Ante</t>
  </si>
  <si>
    <t>17 de agosto de 1802</t>
  </si>
  <si>
    <t>r de humanidades D. Pedro ^ M- -Ipseph María Kindelan , los Cadetes P, Manuel cleJa I^iya-:Agüero y D. Ante nio Gilman, D. permin Cia, D. Antonio, D¿;Kpdngo y D. PedróTaviira, D. Manuel_Ciaeesspns: ,Áqj^||ip|ü¿áRte$Jp^eph Mir P. Leopoldo Menendez. En Ja Ltstqrta, af cargo peí imwmp^qs^o</t>
  </si>
  <si>
    <t>Antelo, Joseph</t>
  </si>
  <si>
    <t>Joseph Antelo</t>
  </si>
  <si>
    <t>as clases de álgebra , navegación y dibuxo; en D. Pascual López Villapol, por la de cosmografía; en D. Joseph Antelo y D. Agustín Mollon, por la de geometría, y en D. Rafael Cobian, Don Pedro Gómez y D. Joseph Rivadulla, por la de aritmética. Estas circunstancias, y la confianza pública que va adqui</t>
  </si>
  <si>
    <t>Anto'nió Díaz Noriega, Juan</t>
  </si>
  <si>
    <t>Juan Anto'nió Díaz Noriega</t>
  </si>
  <si>
    <t>uel Munarriz,'dcl Consejo de S. m! su Alcalde de casa y corte , y por la escribanía de provincia de D. Juan Anto'nió Díaz Noriega, se están subastando dos pedazos de tierra sitos en término de la vi'l» d. Viiialuenga de la Sagra; el uno al sitio que llaman Valhondo, de caber ivoi estadales , y el otro ai que</t>
  </si>
  <si>
    <t>Antodo Santa María, Juan</t>
  </si>
  <si>
    <t>Juan Antodo Santa María</t>
  </si>
  <si>
    <t>ro de D. Vicente de la Costa. A vol untad de su duefio y por providencia de J 2 de este mes del Sr. D. Juan Antodo Santa María, se vende un huerto sito en Villaviciosa, distante 3 leguas de Madrid, y se ha sefíalado para su remate el ~3 del corriente á las 12 de su mafíana en la audiencia de dicho SeI5.or</t>
  </si>
  <si>
    <t>Antojpo Canosa, Joseph</t>
  </si>
  <si>
    <t>Joseph Antojpo Canosa</t>
  </si>
  <si>
    <t>e qualquiera «tro negocio; sino que layan de acudir personalmente á su juzgado por la escribanía de D. Joseph Antojpo Canosa, para que legitimando su derecho se les satisfaffi en el caso, y lugar «ue les corresponda: «tendidos que de lo contrario, averiguado qualquier fraude de dicha especíense proceder</t>
  </si>
  <si>
    <t>Antolih Baxo y Ocerin, Tomás</t>
  </si>
  <si>
    <t>Tomás Antolih Baxo y Ocerin</t>
  </si>
  <si>
    <t>o de D. Manuel Domingo de la Fuente; y para la Canongía Magistral de Panamá, vacante por ascenso de D. Tomas Antolih Baxo y Ocerin á la Tesorería ce la misma iglesia, á D. Juan Joseph Cavarcas. En el regimiento de milicias disciplinadas de infantería de Puerto-Rico se ha servido promover el Rey á Capitán al T</t>
  </si>
  <si>
    <t>Antolin Santa María</t>
  </si>
  <si>
    <t>3. 6. Id. Antolin Santa María........... ....... . _ _ ................... 14. II. Id. Miguel Carnicero........ .. Migue||(jMaría Carnic</t>
  </si>
  <si>
    <t>Antolin, Gregorio</t>
  </si>
  <si>
    <t>Gregorio Antolin</t>
  </si>
  <si>
    <t>603. 31. Presidio. Gregorio Antolin...... .........Padres incógnitos............... .. Palencia........ Palencia........ IIO. 14. Muerto. Gregorio Alvarez..... ......... Antonio, Josefa Borbon.. .. Los</t>
  </si>
  <si>
    <t>Antolinez y Salazar, Gabriel</t>
  </si>
  <si>
    <t>Gabriel Antolinez y Salazar</t>
  </si>
  <si>
    <t>no, D. Francisco Luis del Castiho , D. Juan v.anz, D.Franciscó Matheus, D. Angel Laborde y Navarro, D. Gabriel Antolinez y Salazar, D. Fernando Govantes y Valdivia,.D..Joaquín de Arce y Fronce-, da , D. Toaquin Mella y Barbeyto, D. Joíeph Manuel Bilbao, D. Tuis; Tabón v Ro&lt;icme, D. Juan Dameto y,Sureda, D. Sa</t>
  </si>
  <si>
    <t>AntoMé-CEha</t>
  </si>
  <si>
    <t>rsatites dé tercer añó, y D. Vicente^asanóv^, Di'Anastasio Lenguas» Bachilleres, £). Antonio Bea, y D. AntoMé-CEha^a^ríav Be segundó kñó", a éxámeses públicos en ca stéfiánó V ;qéeí: sé ordéfláíóibeti lai¡f©¡[%W siguienteé se distribuíéfon las dos física^en? dié¥ tratador% ■ 'sé^sortéátón tres</t>
  </si>
  <si>
    <t>Antonelli, Cardenal</t>
  </si>
  <si>
    <t>Cardenal Antonelli</t>
  </si>
  <si>
    <t>tenia él difunto. La gran Penitenciaría y el Arciprestazgo de la Basílica dé S. Juan de Letran, al Cardenal Antonelli: él empleo de Bibliotecario de la santa Iglesia, al Cardenal “Valenti: el de Prefecto de los estudios del Colegio romano, al Cardenal Borgia : el de Ecónomo dél propio Colegióla!</t>
  </si>
  <si>
    <t>.. A las 9 se trasladó el Papa á la basílica con 31 Purpurados, y asistió al responso que emon(&gt; el Cardenal Antonelli. Monseñor Tosí dixo la oración fúnebre; y las tropas hicieron tres descargas de fusilería» Géno-va i.° de Marzo.. Ajíates de ayer noche llegáron aquí dos correos de París con plie</t>
  </si>
  <si>
    <t>Antonia Fernanda de Totdesilla Cepeda y Sada, María</t>
  </si>
  <si>
    <t>María Antonia Fernanda de Totdesilla Cepeda y Sada</t>
  </si>
  <si>
    <t>=Ínstruccioo de una señora christiana para vivir en el muiido santamente: traducida del francés por Doña María Antonia Fernanda de Totdesilla Cepeda y Sada: un tomó en 8.°=Tercera impresión de las Visitas al Saao,</t>
  </si>
  <si>
    <t>Antonia Gramino, María</t>
  </si>
  <si>
    <t>María Antonia Gramino</t>
  </si>
  <si>
    <t>nde ¿«31 pies de sino, está tasada en ig,018 rs., v pertenece á la memoria que en dicho Jugar fundó Doña María Antonia Gramino.Dtra casa sita «n el lugar de Villaverde, comprehensiva de 67gr pies, de sitio ’ ra da en acioso, perteneciente á la memoria fundaoa por Doña Catalina Reínoso; y tres pedazos de t</t>
  </si>
  <si>
    <t>Antonia Liroq de Robles, María</t>
  </si>
  <si>
    <t>María Antonia Liroq de Robles</t>
  </si>
  <si>
    <t>9 de febrero de 1802</t>
  </si>
  <si>
    <t>zobispado de Toledo, hija legítima de D. Luis Fernandez Guerra, natural de dicho Cienpozuelos, y de Doña María Antonia Liroq de Robles , natural de Escalonjl^,, en el iqismo arzobispado,, se cita*..y emplaza á Los interesados, en Jos.bienes que han fincado por ipuer te-de la expresada Dona diaria Benita, para que</t>
  </si>
  <si>
    <t>Antonia Miranda, Domingo</t>
  </si>
  <si>
    <t>Domingo Antonia Miranda</t>
  </si>
  <si>
    <t>y en los diarios. Para todas las diligencias' de esta rifa ha sido especialmente comisionado el Sr. D. Domingo Antonia Miranda, del Consejo de S. M., y Alcalde de su Real casa y corte. Todo lo que se anuncia al público, para que con plena confianza se interese en esta rifa, dirigida á rehabilitar los tond</t>
  </si>
  <si>
    <t>Antonia, María</t>
  </si>
  <si>
    <t>María Antonia</t>
  </si>
  <si>
    <t>e la Reyna Ntra. Sra., el Príncipe de Asturias Ntro. Sr. con la Serenísima Sra. Princesa de Ñipóles Doña María Antonia,: hija de los Reyes de las Dos Sicilias, y la.Sra.. Infanta Doña María Isabel con el Serenísimo Sr. Principe D. Francisco, heredero de,las Dos Sicilias, hijo 'de SS. MM. Siciliana</t>
  </si>
  <si>
    <t>ias la idea de unir en matrimonio , al ^Príncipe Ntro.'Sr.con laSérénísima Sra. Princesa de Ñapóles Doña María Antonia, hija de SS. MM. Sicilianas; y á la Serenísima Sra. Infanta Doña María Isabel con el Serenísimo Sr. Príncipe D. Francisco , heredero de las Dos Sicilias, hijo de los mencionados R</t>
  </si>
  <si>
    <t>Antonia, María (princesa)</t>
  </si>
  <si>
    <t>Princesa María Antonia</t>
  </si>
  <si>
    <t>s del Príncipe heredero de Ñapóles coa la Infanta de España Doña María Isabel, y se harán los de la Princesa Dona María Antonia con el Príncipe de Asturias. No han salido todavía de aquí las tropas rusas. En breve se embarcarán en este puerto 2® hombres de tropas sicilianas que van á relevar la guarnición</t>
  </si>
  <si>
    <t>Antonino de Sentmanat</t>
  </si>
  <si>
    <t>, se siguió inmediatamente el desposorio. Se habia remitido con anticipación al Emmo. y Excmo. Sr. D. Antonino de Sentmanat, Cardenal Patriarca de las Indias, Pro-Capellan mayor del Rey , Prelado del Real Palacio, Gran Canciller de la orden de Cárlos iii , el breve en que N. M. S. P. el Papa dispensa l</t>
  </si>
  <si>
    <t>Antonio'Caballero, Joseph</t>
  </si>
  <si>
    <t>Joseph Antonio'Caballero</t>
  </si>
  <si>
    <t>10 de agosto de 1802</t>
  </si>
  <si>
    <t>Afadrid 10. de Agosto. C on fecha de 4 de este mes ha comunicado el Rey el decreto siguiente ai Sr. D. Joseph Antonio'Caballero. ,,No hay estado feliz ni tranquilidad para un Rey mientras la justicia no vaya exercida con la brevedad que ella impone. Él entorpecimiento de las causas, el retraso de ellas en</t>
  </si>
  <si>
    <t>Antonio, Archiduque</t>
  </si>
  <si>
    <t>Archiduque Antonio</t>
  </si>
  <si>
    <t>, Dícese que el Emperador ha consentido en. que se indemnice al Stathouder en Alemania, y en que el Archiduque Antonio renuncie los obispados de Colonia y Munster. Lo</t>
  </si>
  <si>
    <t>22 de enero de 1802</t>
  </si>
  <si>
    <t>ermanece en el castillo, porque no quiere pedir permiso para salir.. Expresan varias gazetas que el Archiduque Antonio enviara quanto antes un correo al Papa pidiéndole confirme su elección y nombramiento de Arzobispo de Colonia. A esto añaden que varios regimientos austríacos, inclusos algunos cuer</t>
  </si>
  <si>
    <t>en sus negociaciones con la corte de Viena, al cambio de una parte de Baviera. Se ha notado que el Archiduque Antonio en una carta que ha escrito al Cabildo de Arensberg toma el título de Arzobispo electo de Colonia y Príncipe Obispo de Munster. En el Brisgaw ha mandado el comandante publicar á son</t>
  </si>
  <si>
    <t>corte otro para aquel gobierno. Créese que el objeto de esta correspondencia es la confirmación del Archiduque Antonio en calidad de Elector de Colonia. El Arzobispo de Salzburgo y et Obispo de Passan han hecho su resignación ó renuncia en manos del Emperador. El primero será promovido á Pii nado de</t>
  </si>
  <si>
    <t>• 14° diocesanos en la izquierda del Rhin hasta que el Archiduque Antonio convenga en ello. Ha habido en VIena un altercado entre el ciud. Champagni, Embaxador de Francia, y el Conde de Razowmosky , Embaxador ruso , con motivo de una preferencia ó etiqu</t>
  </si>
  <si>
    <t>esta Cámara imperial contra loj tres Príncipes que componen ei Círculo de Westphafia, se nombra ¿1 Archiduque Antonio como Príncipe Obispo actual de Munster. El Rey de Prusia., que es uno de los tres Príncipes de aquel Círculo, envió inmediatamente su protesta contra dicho rescripto. A Aschaflemb</t>
  </si>
  <si>
    <t>dicción espiritual en los países cedidos á la Francia; sino que ha pedido se trate el asunto con el Archiduque Antonio “Víctor, á quien mira como su xefe, declarando al mismo tiempo que no podía dar respuesta hasta pasados 10 -dias. El Elector de Tré veris-, al hacer su dimisión por lo tocante á t</t>
  </si>
  <si>
    <t>iones. Aun no se sabe lo que han conseguido, ni si este Principado eclesiástico se secularizará. El Archiduque Antonio re</t>
  </si>
  <si>
    <t>N o se sabe hasta ahora quien será el sucesor del difunto .Elector de Maguncia: si será elegido el Archiduque Antonio ó Mr. de Halberg, su Coadjutor actual. - j*. of í.-- *' . ' •&gt;. r , • r. Se asegura que uiiQ.de los -ma^ores estados del Imperio está compren hendido en el tratado qué se firmo en</t>
  </si>
  <si>
    <t>Antonio, Príncipe</t>
  </si>
  <si>
    <t>Príncipe Antonio</t>
  </si>
  <si>
    <t>ó á principios dei último siglo } habia dexado en Moscow, y ahora la han devuelto á esta nación. El Príncipe Antonio, Patriarca del país, fué con toda la clerecía á recibir la Santa á 4 leguas deTa capital, y dió públicamente gracias al cielo por haberla recobrado. Acompaño ai General hasta la c</t>
  </si>
  <si>
    <t>Antonio- Santa María, Juan</t>
  </si>
  <si>
    <t>Juan Antonio- Santa María</t>
  </si>
  <si>
    <t>23 de febrero de 1802</t>
  </si>
  <si>
    <t>a en 1.267,444 rs. 20 mrs. Quien quisieie hacer postura* acuda en el término de 30 dias ante el Sr. D. Juan Antonio- Santa María,, Teniente Corregidor de esta villa, por la escribanía de su numero que regenta Donjuán de Repide. , ... Por la audiencia del Sr. D. Manuel de Torres Cónsul , Teniente Corregidor</t>
  </si>
  <si>
    <t>AntonioMaríaHidalgo</t>
  </si>
  <si>
    <t>ulos C .* m "Ibs ¿áite¡ ‘ festtídíos dé S. Tsidro; dé esta corfce -D.r‘ AdtoaioRamon de 1 Azcáráté ,D. AntonioMaríaHidalgo 1G. Agustín de- Sojó ,«$}. Antonio AlJsiha y D. Trifon Antonio de íbárrqla, Subteniente ciei régimiéíito provincial de Avila/fuéron examinados públicamente acerca de la aplicación</t>
  </si>
  <si>
    <t>Antoniq Goycoechea</t>
  </si>
  <si>
    <t>aste de oro y plata, calle dé la AImude4 na: D. Felipe Paredes, Tasador de joyas, en las Platerías: D. Antoniq Goycochea, calle de Fuencarral, esquina á la de las Infantas: viuda de Gilí, hijos y sobrino, calle Imperial: D. Rafael Robina, plazuela de la Cebada: viuda de D. Julián dé Usátegui, plazue</t>
  </si>
  <si>
    <t>AntOnlo Mazo</t>
  </si>
  <si>
    <t>21 de septiembre de 1802</t>
  </si>
  <si>
    <t>. Franciscp Xavier \£yrHejb: para una Media-Ración"¿té la catedral déCuehcá, vacanté póf^miíéíte de D, AntOnlo Mazo de -la VegadaD.Pe&lt;3ró I.qpéz'’faláviwraíí^ára'cié’Ja .parro» de la villa de Buendia de/aquel pbispado i p^a ptra de la de Segovia^va</t>
  </si>
  <si>
    <t>Antopiq Inguanzo, Juan</t>
  </si>
  <si>
    <t>Juan Antopiq Inguanzo</t>
  </si>
  <si>
    <t>merario de la Chancillería de Valladolid; y para dos plazas de Alcaldes de su Real, casa, y corte á D. Juan Antopiq Inguanzo, Oidor de lá~ Audiencia de Extremadura, y D. Ramón Navarro Pingar ron, Fiscal del Crimen de la de Sevilla. Asimismo h$f .nombrado el Rey para el Corregimiento de Guipuzcoa, que re</t>
  </si>
  <si>
    <t>Antoqio Ramón de Sobrado</t>
  </si>
  <si>
    <t>la catedral de Lugo , vacante por fallecimiento de D. Pedro Bahamon-r de, á I). Antoqio Ramón de Sobrado, Canónigo doctoral segundo de 1* misma iglesia: para una Canongía de la propia catedral, vacante por miie*. te del dicho D. Pedro Bahamonde, á D. Vicente López Somoza, Cura de la parroquia</t>
  </si>
  <si>
    <t>Antoríio Serrano del Rey, Joséph</t>
  </si>
  <si>
    <t>Joséph Antoríio Serrano del Rey</t>
  </si>
  <si>
    <t>por ej Cura párroco.de la villa D. Antonio Pastor y lirado y con el auxilio de Joséph Antoríio Serrano del Rey, Presbítero, que toda costa pudo lograrla, na envacunado hasta el número de 200 niños</t>
  </si>
  <si>
    <t>Antorio</t>
  </si>
  <si>
    <t>es, honores del Consejo de Indias. A D. Miguel Bachiller y Meoa,Asesordel Vireyrtato de México, y á D. Antorio.Ponce de Lepnj Auditor de Guerra de Marina en la Havana, honores de Alcalde del Crimen de la Audiencia de México. Y á D. Joseph Medeiros, Asesor del Gobierno é Intendencia de la c</t>
  </si>
  <si>
    <t>Antunez y Acevedo, Rafael</t>
  </si>
  <si>
    <t>Rafael Antunez y Acevedo</t>
  </si>
  <si>
    <t>22 de junio de 1802</t>
  </si>
  <si>
    <t>comercio de los espafiÓles cóar sus colonias en íasr Indias occidentales, recopiladas por eí ‘ Sr. D. Rafael Antunez y Acevedo ,1 Ministro togado deí supremo Consejo de Indias : lili' tomé en' 4^ Véndese en las librerías de Ramos , dalle de las Carretas, y carrera de San Gerónimo; - - ¡ ; Retiro espiritua</t>
  </si>
  <si>
    <t>Anuncibay, Ignacio</t>
  </si>
  <si>
    <t>Ignacio Anuncibay</t>
  </si>
  <si>
    <t>érez D. Juan de Torres; y en el de dragones de Numancia á Capitán al Ayudante, graduado de Capitán, D. Ignacio Anuncibay. También ha provisto S. M. la Capellanía del segundo batallón del regimiento de infantería suizo de Rutiman en Fr. Hilario de Barcelona, presbítero , del orden de Capuchinos. S. M</t>
  </si>
  <si>
    <t>Aovare, Antonio</t>
  </si>
  <si>
    <t>Antonio Aovare</t>
  </si>
  <si>
    <t>da y Santander y D. Antonio Aovare* Contreras. _ 939 Asimismo ha nombrado S. M. para la plaza de Alcalde de su Real casa V corte, vacante por la citada promoción del Sr, D. Joseph Navarro Vidal al Alcalde supernume</t>
  </si>
  <si>
    <t>Aparici, Joaquín</t>
  </si>
  <si>
    <t>Joaquín Aparici</t>
  </si>
  <si>
    <t>a á primer Subteniente al segundo D.-Joseph Garcini: en e’l de Aragón á Ayudante al primer Teniente D. Joaquín Aparici: en el dé la Princesa á primer Subteniente al segundo D. Mariano Díaz Capilla: en el ^dé Malaga^1 sé¿undo Subténiénté; al Sargento primero D. Joseph Guillen* y én él batallón dé .</t>
  </si>
  <si>
    <t>Aparicio, Francisco</t>
  </si>
  <si>
    <t>Francisco Aparicio</t>
  </si>
  <si>
    <t>..... . 414. 2. Id. Francisco Aparicio...............Felipe, Teresa González... Pobladura.... León............... 430. «2. Id. Josef Guerrero.................... Salvador, Ana Beteta..*,. . Arpio............... Mu</t>
  </si>
  <si>
    <t>Aparicio, Jacinto</t>
  </si>
  <si>
    <t>Jacinto Aparicio</t>
  </si>
  <si>
    <t>107. 10. Id. Jacinto Aparicio.......... Ramón, Juliana Ortega.... Santibañez... Búrgos........... 52. 2. Muerto. Donato Espinoso.......... Juan, Francisca Roca</t>
  </si>
  <si>
    <t>Aptonio Vicente Yañez</t>
  </si>
  <si>
    <t>resulta vacante por acenso del referido D. Juan Benito Hermos¡lÍa ,; al supernumerario de la misma D. Aptonio Vicente Yañez ■1' í'* -.-i '■ ; ■’ .--.s - '■■i-' ; En América. S.M. se ha dignado nombrar ^para Ja Dignidad de Dean de la catedral del Cuzco, vacante por failefcftnieiito de D. Felipe Unieres,</t>
  </si>
  <si>
    <t>Aquenza, Francisco</t>
  </si>
  <si>
    <t>Francisco Aquenza</t>
  </si>
  <si>
    <t>Cabrejano: para una Ración de Maestro de-Ceremonias de la catedral de Ibiza, vacante por muerte de D. Francisco Aquenza, &gt;á De Francisco Blancher: para una Ración de la colegial de Bayona, diócesis de Tuy, vacante por fallecimiento de Don Casimiro ligarte,, á D. Pedro Barreyro, Cura de la misma col</t>
  </si>
  <si>
    <t>Aragonés, Manuel</t>
  </si>
  <si>
    <t>Manuel Aragonés</t>
  </si>
  <si>
    <t>, á D. Manuel de Ayuso: para ou*a de la colegial de Soria, diócesis de1 Osma, vacante por muerte de Don Manuel Aragonés, á D. JLosephifiíonzález, Racionero de ella: para la Raí</t>
  </si>
  <si>
    <t>Aragonés, Marcos</t>
  </si>
  <si>
    <t>Marcos Aragonés</t>
  </si>
  <si>
    <t>a á primer Teniente al segundo de gastadores D. Juan Rancourt, y á esta resulta al segundo Teniente D. Marcos Aragonés; y en el de Suizos de Betschart á Subteniente al Cadete D. Martin Hartmann. En el Real cuerpo de Artillería ha nombrado el Rey Capitán al Teniente D. Domingo Gómez Cuesta; y Tenie</t>
  </si>
  <si>
    <t>Araiz, Gabriel</t>
  </si>
  <si>
    <t>Gabriel Araiz</t>
  </si>
  <si>
    <t>l partido de Muño;/en la diócesis-de iRúrgos^ vacante por fallecimiento de D.. Manuel Antigüedad, á D. Gabriel Araiz. ^ v V h En! virtud dé la\ comisión qué está Conferida aí Excmó. Sr. I&gt;v Jpséph‘Eustáquío Moréñó, deV Consejó c!e.Estado;, Colector general de espolios y vacantes ¿tét leyno, y Go</t>
  </si>
  <si>
    <t>Aran, Juan</t>
  </si>
  <si>
    <t>Juan Aran</t>
  </si>
  <si>
    <t>ónimo: Real compañía de la Buena Fe, callé de la Montera: D. Andrés Alvarez, calle de S. Dámaso ; y D. Juan Aran, platería» calle de las Carretas, esquina á la de Majaderitos. También se despacharán los billetes en varias ciudades del Reyno, á fin de completar su importe á la mayor brevedad,</t>
  </si>
  <si>
    <t>Arana y Bustamante, Francisco</t>
  </si>
  <si>
    <t>Francisco Arana y Bustamante</t>
  </si>
  <si>
    <t>e granaderos al de fusileros D. Ambrosio Echevar. ía ; á esta Tenencia al Subteniente de granaderos D. Francisco Arana y Bustamante; á Subteniente de granaderos al de fusileros Don Joseph Moral, y á la Subtenencia de bandera que resulta al Cadete D. Antonio Tamayo : en el de infantería de Nüeva-España á Capitá</t>
  </si>
  <si>
    <t>Arangunde, Cayetano</t>
  </si>
  <si>
    <t>Cayetano Arangunde</t>
  </si>
  <si>
    <t>20. 31. Id. Cayetano Arangunde...... Cayetano, Josefa Martínez. S. Pedro....... Santiago.......... 61. 6. Id. Josef Chautada.................. Manuel, Josefa Laredo..., S. Adrián.... Santiago....</t>
  </si>
  <si>
    <t>Aranzabal, Francisco</t>
  </si>
  <si>
    <t>Francisco Aranzabal</t>
  </si>
  <si>
    <t>Juan Bautista Cerain y D. Joaquín Fernandez Medrano. En gramática castellana, baxo la dirección de D. Francisco Aranzabal, D. Bernardino Echagfte, el Marques de Iranda, D. Luis Vidarte, D. Toribio Olalde, D. Valentín Martínez, D. Ramón Carrillo, D. Ceferino Carrillo y D. Manuel Carnara. En matemática</t>
  </si>
  <si>
    <t>Arauco</t>
  </si>
  <si>
    <t>espera en breve al primer Cónsul, y será recibido con la mayor ostentación. El ciud. Arauco,'Ministro que fué de Hacienda en la República cisalpina, y actualmente era uno de los diputados de la Consulta extraordinaria, murió aquí el 31 del mes último</t>
  </si>
  <si>
    <t>Arauco, Matías</t>
  </si>
  <si>
    <t>Matías Arauco</t>
  </si>
  <si>
    <t>e León y Morejon, D. Juan Navarro y Pinillos, D. Rafael del Castillo y Rada, D. Juan Muñoz y Abreu, D. Matías Arauco, D.. Antonio de Lema,D. Joseph López, D, Joseph de Piles,D. Martin de Jáuregui, D. Cayetano Muller, D, Juan Romay, D. Felipe del Saso , D. Carlos Calvo, D. Joaquín Aldecoa, D. Ant</t>
  </si>
  <si>
    <t>Arcángel Cacau, Capitán</t>
  </si>
  <si>
    <t>Capitán Arcángel Cacau</t>
  </si>
  <si>
    <t>. Por ahora no se sabe el encargo que lleva. En Genova ha entrado un barco liguriano mandado por el Capitán Arcángel Cacau, procedente de Túnez. Trae la noticia de que el gobierno francés ha intimado á las Regencias de Africa que en el término de 40 dias restituyan y den libertad á los cautivos de tod</t>
  </si>
  <si>
    <t>Arcavna y Ximenez, Manuel</t>
  </si>
  <si>
    <t>Manuel Arcavna y Ximenez</t>
  </si>
  <si>
    <t>ja y Tortolero,D. Joseph Labayen, Don Domingo de Paz, D. Aiexandro Morales,D.Pedro Joseph de Lemus, Don Manuel Arcavna y Ximenez, D. Francisco Meñaca y Arechaga, D. Justo Arison yRooaud, D. Pedro Iriarte y Zerezera, D. Joseph Sáavedra y Chaves, D. Miguel Basabru, £&gt;. Ramón Pardo y Lama, D. Francisco Ruiz de</t>
  </si>
  <si>
    <t>Arcega, Joseph</t>
  </si>
  <si>
    <t>Joseph Arcega</t>
  </si>
  <si>
    <t>elló, D. Miguel Valcarcel, D. Martin de la Carrera^ D. Jayme Garrofa, y D. Joseph Rich. En América. D. Joseph Arcega, D. Filomeno Cendrera, D. Antonio Figueroa, Don Diego Calvo, D. Manuel Antonio de Mora y Ramos, D. Francisco Campos, D. Joaquín Langelé, D. Juan Caequillo, D. Pedro Barat, D. Anto</t>
  </si>
  <si>
    <t>Archiduquesa Carolina Fernanda</t>
  </si>
  <si>
    <t>l Imperio á las tropas austríacas durante la guerra. El 5 de este- mes murió la Archiduquesa Carolina Fernanda, hija del</t>
  </si>
  <si>
    <t>Arcos, Joachín</t>
  </si>
  <si>
    <t>Joachín Arcos</t>
  </si>
  <si>
    <t>se ha servido el Rey promover á Brigadier al Subrigadier D. Luis Marquesi: á Subrigadier al Cadete D. Joachín Arcos: á Cadete de numero al supernumerario D. Vicente López del Prado; y á Cadete supernumerario al Guardia de la misma Compañía D. Joseph Losada. Asimismo se ha servido promover el Re</t>
  </si>
  <si>
    <t>Arden, Lord</t>
  </si>
  <si>
    <t>Lord Arden</t>
  </si>
  <si>
    <t>cuyos intereses miraré siempre como inseparables de los míos.” Luego que se retiró S. M. propuso el Lord Arden la acostumbrada respuesta de gracias , y le apoyó el Lord Nelson. Este en su discurso dixo: „La guerra no ha apurado nuestros recursos; y en medio de los embarazos de una paz, que qu</t>
  </si>
  <si>
    <t>Aréchávala, Manuel</t>
  </si>
  <si>
    <t>Manuel Aréchávala</t>
  </si>
  <si>
    <t>D. Salvador Vidart, 0.- Agustín Bocalán, D. Ramón .Martínez.* D. Gaspar Maguna, 0. Joseph Montalbo¿ D. Manuel Aréchávala, D.Matíaís Aldao,D.Josep]iZapiota, D. Ramón de Londoño, D. Ramón de Novoa, D. Francisco García Señeris, D. Tomas Seidel, D. Antonio Moragues, D. Gines Marsilia, D. Isidro Suquilvi</t>
  </si>
  <si>
    <t>Arecv, General</t>
  </si>
  <si>
    <t>General Arecv</t>
  </si>
  <si>
    <t>rpo bastante crecido que se ¡untó aquí de orden suya. Luego irá á Thun para revistar la brigada del General Arecv , la qual al mismo tiempo se ex^rcitará en evoluciones y maniobras militares* Se ha comunicado á todas las tropas francesas que hay en Suiza la carta que el primer Cónsul escribió</t>
  </si>
  <si>
    <t>Arey</t>
  </si>
  <si>
    <t>cañones y 300 hombres de tripulación , ha entrado aquí procedente de Porto-Ferrayo. Venian en ella Mr. Arey , Comandante de la.plaza,y Mi'.Lillidedey, vice-Cónsul ingles, que marchárqn inmediatamente á Florencia. . , De Genova avisan que los.,griegos establecidos,en aquella ciudad han a</t>
  </si>
  <si>
    <t>Argamasilla, Joseph</t>
  </si>
  <si>
    <t>Joseph Argamasilla</t>
  </si>
  <si>
    <t>de la Corona D. Joseph Granados: en el de Sevilla á segundo Teniente de granaderos al de fusileros D. Joseph Argamasilla: en ei de Granada á Capitán de fusileros al primer Teniente de granaderos D. Agustín Tealdo, y á primer Subteniente al segundo D. Juan Dabalete: en el de Guadalaxara á primer Teni</t>
  </si>
  <si>
    <t>Argel Monasterio</t>
  </si>
  <si>
    <t>guiente: Primera cíate. Medallas de oro de tres onzas. Pintura, á D. Antonio Guerrero: escultura, á D. Argel Monasterio: arquitectura, ¿ D. Manuel Machuca. Segundos premios. Medallas dé oro de dos onzas. Pintura* á %</t>
  </si>
  <si>
    <t>Argentes, Francisco</t>
  </si>
  <si>
    <t>Francisco Argentes</t>
  </si>
  <si>
    <t>136. Id. Francisco Argentes........... . Francisco, Mariana Caballero................................... Chelva.......... Segorve......... Z15. *3. Id. Santiago Barreros................. Santiago,</t>
  </si>
  <si>
    <t>Argila y Taraval, Ramón</t>
  </si>
  <si>
    <t>Ramón Argila y Taraval</t>
  </si>
  <si>
    <t>a vez el honor de besar las manos á SS. MM., y de presentarles por medio de Francisco Mas Nararro y D. Ramón Argila y Taraval, de la misma comisiona el exemplar de la explicación de dicho festejo, y con este motivo de despedirse y expresarles el sentimiento por su ansencia , dándoles las mas rendidas gra</t>
  </si>
  <si>
    <t>Arguelles y Valdes, Bartolomé</t>
  </si>
  <si>
    <t>Bartolomé Arguelles y Valdes</t>
  </si>
  <si>
    <t>cente y Crespo, Don Joseph Bazan y Villaroel, D. Juan Septien y Salinas , D. Domingo^ Pavía y Seix, D. Bartolomé Arguelles y Valdes, D. Femando Becerra .y Solis, D. Rafael Bobadilla y Pery, D. Joseph Mendivil y Castañeda, Don Antonio Saavedra y Jofre, D. Vicente Valcarcel y Qconri, D. Joseph Primo de Rivera, D</t>
  </si>
  <si>
    <t>Arguelles, Bartolomé</t>
  </si>
  <si>
    <t>Bartolomé Arguelles</t>
  </si>
  <si>
    <t>Pedro Salcedo, D. Francisco de Torres, D. Cárlos Larras, D. Joseph del Castillo, D. César Baibiam, D. Bartolomé Arguelles, D. Casimiro Montero, D. Antonio Montaña, D. Joseph S?avedra, D. Joseph Sastre, D; Francisco Nuñez, D. Maximiliano Saut Maxent, D. Tadeo Muniesa, D. Fernando Bienpica, D. Juan O-S</t>
  </si>
  <si>
    <t>Arguelles, Joseph</t>
  </si>
  <si>
    <t>Joseph Arguelles</t>
  </si>
  <si>
    <t>y Abarca, y D. Ramón de Salas Boxádors. / . t . A Tenientes de IFragata los Alféreces de Navio , * D. Joseph Arguelles, D. Félix Pareja y Mesía, D. Francisco Espinóla yLiaño, D. Ignacio de RoóySmidts, D. Claudio Zulmezu y Palacioi D. Juan Ülloa y Be.betoros, D. Martin Oarrichena , D. Manuel Vacaro</t>
  </si>
  <si>
    <t>Arguelló, Francisco</t>
  </si>
  <si>
    <t>Francisco Arguelló</t>
  </si>
  <si>
    <t>io Asin , y D. Joseph Amador, Subteniente de fusileros; ¿ Subteniente de granaderos al de fusileros D. Francisco Arguelló, y á Subtenientes de bandera á los graduados I&gt;. Cbristóbal Perez, Sargento primero, y D. Francisco Robles y D. Joseph Bello, Cadetes del mismo regimiento. Asimismo ha conferido S</t>
  </si>
  <si>
    <t>Arias Beas, Manuel Antonio</t>
  </si>
  <si>
    <t>Manuel Antonio Arias Beas</t>
  </si>
  <si>
    <t>é instituido por herederos I los pobres de ella j y observando los comisarios de su última voluntad D. Manuel Antonio Arias Beas, D. Bernardo Perucho de Heredia, presbíteros, y"ei Lie. D. Manuel Antonio Moreno Muñoz, Abogado de los Reales Consejos, de aquella vecindad, varias informalidades'y omisiones en l</t>
  </si>
  <si>
    <t>Arias Gonzalo de Mendoza y Francia</t>
  </si>
  <si>
    <t>como legislador y moralista : por Mr. de Pastoret, indivi-. dúo de varias academias, traducido por D. Arias Gonzalo de Mendoza y Francia. Xa legislación de los hebreos es la fuente en que han bebido todos los legisladores. El autor de esta obra, después de presentar con.una erudición y crítica poco común las leyes</t>
  </si>
  <si>
    <t>Arias, Andrés</t>
  </si>
  <si>
    <t>Andrés Arias</t>
  </si>
  <si>
    <t>.. 3. 29. Id. Andrés Arias............ Medino, Josefa García...... Dorsango...... Oviedo......'. *40. 6. Dispersos, Antonio Arroyo..........</t>
  </si>
  <si>
    <t>Arias, Juan Antonio</t>
  </si>
  <si>
    <t>Juan Antonio Arias</t>
  </si>
  <si>
    <t>20. 21. Id. Sargento i.° Juan Antonio Arias.................................. Mauricio, Francisca Díaz.. Villamafian.. León............... 4*8. Licenciado. Josef Pascual....... ............... Roque , María Beresueta... L</t>
  </si>
  <si>
    <t>Arjona, Francisco</t>
  </si>
  <si>
    <t>Francisco Arjona</t>
  </si>
  <si>
    <t>Fiscalía del Consejo Real, vacante per fallecimiento del Sr. D. Juan Francisco de Cáceres., al Sr. Don Francisco Arjona; y para la Regencia de la Real Audiencia de Cataluña, que resulta vacante, á D. Adrián Marcos Martínez , Fiscal del Consejo de Navarra. En América. S. M. se ha dignado nombrar Sar</t>
  </si>
  <si>
    <t>Arjona, Manuel</t>
  </si>
  <si>
    <t>Manuel Arjona</t>
  </si>
  <si>
    <t>na á Portaestandarte al Cadete D. Ramón Collantes: en el del Principe á segundo Teniente al Alférez D. Manuel Arjona: en el de Borbon á primer Teniente al segundo de Carabineros D. Antonio Gonzale?: en el de Alcántara á segundo Teniente ü Alférez D. Joseph Barrachina: en el de Calatrava á Capitá</t>
  </si>
  <si>
    <t>Arjumariz, Manuel</t>
  </si>
  <si>
    <t>Manuel Arjumariz</t>
  </si>
  <si>
    <t>aulio Martínez, Don Vicente Heras y D. Valentín Gutiérrez. Y en la tercera D. Valentín Sa^ cristas, D. Manuel Arjumariz, D. Joseph Ruiz y D. Estiban de Estefanía. Barcelona zp de Setiembre. . : P ^ E 124 de este por la mañana estuvo el Rey Ntro. Sr. en la marina ; y por la tarde paseáron SS. MM. y</t>
  </si>
  <si>
    <t>Armando Duhart, Pedro</t>
  </si>
  <si>
    <t>Pedro Armando Duhart</t>
  </si>
  <si>
    <t>eates Guardias Walonas á primer Teniente de granaderos al pi-imer Teniente y primer; Ayudante mayor D. Pedro Armando Duhart, y á Alférez de granaderos al de fusileros £&gt;. Joseph María de Xado. El Rey se ha servido nombrar Coronel del regimiento de mi idas provinciales de Salamancar á D. Vicente Maldona</t>
  </si>
  <si>
    <t>Armildez, Conde</t>
  </si>
  <si>
    <t>Conde Armildez</t>
  </si>
  <si>
    <t>anio, D. Salvador del Toro, D. Joseph Ampudía, D. Francisco Gelabert, el Marques’de Viliadángos, el Conde Armildez, Marqués del Salar, D. Pedro Miguel Alvarez de Perea, D/Manuel Laguna y Moscoso, él Marques del Risco, D. Eugenio Duvermeill, D. Francisco Ignacio Rafols, D. Francisco Nuñez Roble</t>
  </si>
  <si>
    <t>Arnaiz, Joseph</t>
  </si>
  <si>
    <t>Joseph Arnaiz</t>
  </si>
  <si>
    <t>gento del Real cuerpo de, Artillería D. Joseph Nava^ jas, y al Soldado distinguido del/mismo,cuerpo D. Joseph Arnaiz. ~. .£n America, fil Rey se há dignado promover; en él regimiento de infantería íixo de Cartagena á Capitán de granaderos aí de fusileros D. Joaquín .Velazquez; á Capitán dé fusil</t>
  </si>
  <si>
    <t>Arnaiz, Luis</t>
  </si>
  <si>
    <t>Luis Arnaiz</t>
  </si>
  <si>
    <t>D. Joseph y D. Pedro Sánchez Griñan, de granaderos ; á Subtenientes de granaderos los de fusileros D. Luis Arnaiz y D. Manuel Alonso; á Subtenientes de compañía los de bandera D. Juan Sánchez Griñan y D. Manuel de Vera , y á Subtenientes de bandera al Sargento primero de granaderos D. Bernardo Es</t>
  </si>
  <si>
    <t>Arnaiz, Márcos</t>
  </si>
  <si>
    <t>Márcos Arnaiz</t>
  </si>
  <si>
    <t>28 de mayo de 1802</t>
  </si>
  <si>
    <t>en, el regimiento de infantería Inmemorial del Rey á segundo Teniente de granaderos al de fusileros D. Márcos Arnaiz, y á segundo Teniente al Subteniente de granaderos D. Elias Ayllon: en el de España a segundo Subteniente al Cadete D. Pablo Hermenegildo Casaus : en el de León á segundos Subteni</t>
  </si>
  <si>
    <t>Arnedo, Francisco</t>
  </si>
  <si>
    <t>Francisco Arnedo</t>
  </si>
  <si>
    <t>an Antonio Heredia, D. Joseph de Chastre, D. Manuel Astor, Don Ramón Mijares, D. Francisco Alegría, D. Francisco Arnedo, D. Joseph de Zúñiga, D. Alberto Maynes, D. Joseph. de Tona, D. Juan Joseph de Fierro, D. Pedros Salcedo, D. Ignacio Muñoz de Cedenilla, D. Pedro de Tagle y D. Atanasio Sotelo. ,</t>
  </si>
  <si>
    <t>Aróspide, Rafael</t>
  </si>
  <si>
    <t>Rafael Aróspide</t>
  </si>
  <si>
    <t>, á D. Rafael Cornejo y D. Mariano Briones y Barrera, que obtuvieron el primer lugar en su clase, á D. Rafael Aróspide y D. Francisco de la Dehesa el mismo en la suya, á D. Manuel de Figueroa, D. Manuel Alvarez y D. Pedro de Orille: también se mandó darles certificaciones, como igualmente á D. Félix d</t>
  </si>
  <si>
    <t>Aróstegni, Joaquín</t>
  </si>
  <si>
    <t>Joaquín Aróstegni</t>
  </si>
  <si>
    <t>Venegas y Aguilar, D. Manuel Murga, *p. Ventura Gutiérrez de Bustillo, D.: Joseph Roso y González, D. Joaquín Aróstegni, Don Joaquín Ibañez dé Corbera, D. Joseph Valdasano y Ros, D. Joseph del Rio Noguerido , ; D¿ Joseph Diaz Melendez, D. Manuel de Cañas Truxillo, D. Joseph del Castillo y Armenia,</t>
  </si>
  <si>
    <t>Arquiaga, Manuel</t>
  </si>
  <si>
    <t>Manuel Arquiaga</t>
  </si>
  <si>
    <t>gial de? Soria, en la diócesis de Qsiúa, vacante por renuncia de D. Francisco Gutiérrez de Vegas, á D. Manuel Arquiaga: para la segunda Ración1 de la villa- de la Hinojosa j én 'la.dióé'esis de Ciudad-Rodrigo , vacante por muerte de D. Jadobó* dé NaVia p z- :D.V;Vicente Martin de las Héras y .^fle</t>
  </si>
  <si>
    <t>Arredondo, Joseph</t>
  </si>
  <si>
    <t>Joseph Arredondo</t>
  </si>
  <si>
    <t>rancisco Oviedo,D. Joseph Jubert, D. Ramón Figueroa, D. Francisco Uztariz, D. Juan de Dios Cabrera, D. Joseph Arredondo, D. Luis María Bonsteten, D. Luis Aygremont, D. Cárlos VauverdenyD. Aüigei Foxá, D. Joaquín de Cea, Don Joseph Éscovedoj Di Pedro Linares, D. Manuei^le San Pedro, D. Ramón de la C</t>
  </si>
  <si>
    <t>Arredóndo, Nicolas</t>
  </si>
  <si>
    <t>Nicolas Arredóndo</t>
  </si>
  <si>
    <t>io* último. El 4 dé Abril'liflíécí^en ésta córte á^los 57 ~a||0s tio cumplidos de edad eVExcmo. Sr. D. Nicolas Arredóndo^ Pélegrtn, Haedo &amp;c. , cabalIero dé la érden de Calatráva , Comcndador de Puertoílaao , Teniente General dé</t>
  </si>
  <si>
    <t>Arriaza, Juan Bautista</t>
  </si>
  <si>
    <t>Juan Bautista Arriaza</t>
  </si>
  <si>
    <t>ador de la República francesa en celebridad del restablecimiento del Rey Ntro. Sr. : composición de Don Juan Bautista Arriaza. Dos célebres sonatas de Laporta y 4 de Abreu para gnitr.rra: 6 minuetes también para guitarra, de gusto y fáciles para principiantes,én nota ó cifra, á 4 rs. : 4 contradanzas, mú</t>
  </si>
  <si>
    <t>Arricado, Pedro</t>
  </si>
  <si>
    <t>Pedro Arricado</t>
  </si>
  <si>
    <t>...... 160. 24. Id. Pedro Arricado................... Juan, Juana Linea............. Santander.... Santander.... 440. %t Id.</t>
  </si>
  <si>
    <t>Arrióla, Mateo</t>
  </si>
  <si>
    <t>Mateo Arrióla</t>
  </si>
  <si>
    <t>, el Conde de la Torre del Freino, *DY Casimiro BofaruÜ, D."AntonioCorrea, D. Joseph Joaquín Martí, D. Mateo Arrióla, D. Gerónimo Verde, D. Juan Kindelan, D. Juan O-Neilie, el Conde de Castrillo y Orgaz, D. Joseph Casamayor , D. Joseph GenaroSa-? lazar, D. Gerónimo la Grúa* D. Joaquín Manuel de</t>
  </si>
  <si>
    <t>Arroyo, Antonio</t>
  </si>
  <si>
    <t>Antonio Arroyo</t>
  </si>
  <si>
    <t>0. 6. Dispersos, Antonio Arroyo.......... Ventura, Rita Gutiérrez... Castro Cabeza................ Valladolid... 85. 5. Licenciado, Josef Forcen...............</t>
  </si>
  <si>
    <t>Arroyo, Félix</t>
  </si>
  <si>
    <t>Félix Arroyo</t>
  </si>
  <si>
    <t>ribano, calle de las Carretas: puede remitirse en carta. Tratado de las operaciones de la boca, por D. Félix Arroyo. Véndese en Jas librerías de Castillo, de Hurtado, y en casa del autor, calle de la Visitación, núm. «j, donde se hallan algalias de goma elástica de todos tamaños y candelillas d</t>
  </si>
  <si>
    <t>Arroyo, Lorenzo</t>
  </si>
  <si>
    <t>Lorenzo Arroyo</t>
  </si>
  <si>
    <t>aquín de Cea, Don Joseph Éscovedoj Di Pedro Linares, D. Manuei^le San Pedro, D. Ramón de la Cuesta, D. Lorenzo Arroyo, D. Manuel Meneos, D. Joseph Imaz, D. Joseph Martínez, D. Rodrigo Medrano, D. Bartolomé Monta! ño, D. Joseph Gómez deLatorre, D. Antonio Sarmiento, D. Antonio Hermosiíla, D. Josep</t>
  </si>
  <si>
    <t>Arroyuelo, Henrique</t>
  </si>
  <si>
    <t>Henrique Arroyuelo</t>
  </si>
  <si>
    <t>iente de granaderos al de fusileros D. Ensebio Navarro; á Subteniente de Artillería al de fusileros D. Henrique Arroyuelo; á Subtenientes de fusileros á los Cadetes D. Francisco Xavier Díaz Granados y á D. Félix Díaz Granados, y á Subtenientes de bandera al Cadete D. Joseph Ignacio Díaz Granados y á</t>
  </si>
  <si>
    <t>Artacho, Diego</t>
  </si>
  <si>
    <t>Diego Artacho</t>
  </si>
  <si>
    <t>aymundo Capece Minutólo, D. Joseph Zarauz , D. Francisco- Salinas Moñino, 0. Pedrd Buch y O-Donell, D. Diego Artacho, D. Joseph Navarro Sangran, ,Don Mateo Perez, D. Francisco Réqu'ená, D. Antonio Parxearroyo, 0; Joseph Molina* 0. Joseph Urbtua, D. Antonio Samper, D, Joaquín dé Mendoza* D. Ferna</t>
  </si>
  <si>
    <t>Arteaga, Antonio</t>
  </si>
  <si>
    <t>Antonio Arteaga</t>
  </si>
  <si>
    <t>9 de marzo de 1802</t>
  </si>
  <si>
    <t>222 chin Muñoz; y á Cadetes supernumerarios á los Guardias Marques de Palacios y D. Antonio Arteaga : y en la Compañía Italiana á segundo Teniente ai Alférez D. Ramón de San Martin; á esta resulta al Exento Don Carlos Cataneo; á Exento de número al supernumerario D. Christóbal M</t>
  </si>
  <si>
    <t>Arteaga, Joseph</t>
  </si>
  <si>
    <t>Joseph Arteaga</t>
  </si>
  <si>
    <t>ente confiere á los niños de sus escuelas de costura y primeras letras. Dio principio el Excmo. Sr; D. Joseph Arteaga, primer director, con un discurso en que indicó quanto debía el pueblo á las tareas y desvelos de ía sociedad, y quanto mas haría esta si tuviese mayores fondos. Continuó el prime</t>
  </si>
  <si>
    <t>Arteaga, Juan</t>
  </si>
  <si>
    <t>Juan Arteaga</t>
  </si>
  <si>
    <t>Subteniente de granaderos al de fusileros D. Rafael del Campo, y á Subteniente al Sargento primero D. Juan Arteaga. En el Real cuerpo de Artillería ha promovido S. M. á. Teniente Coronel al Sargento mayor del sexto batallón D. Martin García Loigorri, graduado de Teniente Coronel; y á Teniente</t>
  </si>
  <si>
    <t>Arturo O-Connor</t>
  </si>
  <si>
    <t>rional de Éí cocía, han conseguido su libertad, y los han traído á la Baxa-Saxonia. Uno de ellos es Mr. Arturo O-Connor, que ya á Francia. Los demás están en ánimo de transferirse á los Estados-Unidos de América. Presbnr¿*o ist de Julio* L * ' a Reyna de Ñapóles vino aquí el día 9, asistió él 10 co</t>
  </si>
  <si>
    <t>Arturo O-Neille</t>
  </si>
  <si>
    <t>D. Melchor Calatayud, D. Manuel Lapeña, D. Joseph Bureau, D. Juan Carrafa, el Marques de la Solana, D. Arturo O-Neille, Duque de San Carlos, D. Francisco Xavier Castaños, D. Francisco Ta— raneo, el Marques de Alcocebar, D. Francisco Fguia, Duque de Frías, Duque del Infantado, D. Juan Ordoñez, D. F</t>
  </si>
  <si>
    <t>Arturo Paget</t>
  </si>
  <si>
    <t>es. La enagenacion se hará por medio de una lotería, cuyos billetes serán de 500 florines cada uno. Mr. Arturo Paget, Embaxador de Inglaterra, ha recibido estos dias un correo de Constantinopla, que según se dice trae el aviso de que las desavenencias movidas en Egipto entre ingleses y turcos, s</t>
  </si>
  <si>
    <t>Arzobispo de Malinas, Cardenal</t>
  </si>
  <si>
    <t>Cardenal Arzobispo de Malinas</t>
  </si>
  <si>
    <t>19 de enero de 1802</t>
  </si>
  <si>
    <t>ras en virtud del breve del Papa de 15 de Agosto, se cuentan los Sres¿ Juan Henr-ique Frankemberg , Cardenal Arzobispo de Malinas: Fernando Maximiliano Meriadec, Príncipe de Rohan-Guemené, Arzobispo de Cambray; y Clemente Wenceslao de Saxonia, Príncipe Real de Polonia , Arzobispo Elector de Tréveris, Obispo</t>
  </si>
  <si>
    <t>Arzobispo de Toledo, Cardenal</t>
  </si>
  <si>
    <t>Cardenal Arzobispo de Toledo</t>
  </si>
  <si>
    <t>dores de los divinos misterios. Está dedicada por el autor al Emo. y Excmo. Sr; D. Xuis de Borbon , Cardenal Arzobispo de Toledo , y recomendada su lectura en una Carta pastoral de su Eminencia, que se pone al frente con su retrato, dibuxado y grabado por profesores de acreditada habilidad. Se vende en dos</t>
  </si>
  <si>
    <t>Arzobispo, Cardenal</t>
  </si>
  <si>
    <t>Cardenal Arzobispo</t>
  </si>
  <si>
    <t>Cónsul, el decreto de elección del Dux , y la respuesta de Eonaparte al Senado. Ayer mañana pasó el Cardenal Arzobispo á cumplimentar al Senado y al Dux, y pronunció el siguiente discurso: ,,Destinado por la Providencia, aunque sin mérito alguno, al gobierno espiritual de esta ilustre iglesia metr</t>
  </si>
  <si>
    <t>Asaillit, Joseph</t>
  </si>
  <si>
    <t>Joseph Asaillit</t>
  </si>
  <si>
    <t>ndo Teniente al Subteniente de granaderos J)..Santiago Noguer; á esta resulta al primer Subteniente D. Joseph Asaillit; á la de este al segundo D. Henrique Roger de Caux, y á segundo Subteniente al Sargento primero I&gt;. Bartolomé Estellez; y en el suizo de Courten á Subteniente al Cadete D. Juan Fr</t>
  </si>
  <si>
    <t>Ased, Manuel</t>
  </si>
  <si>
    <t>Manuel Ased</t>
  </si>
  <si>
    <t>86i . éii leyes D. Manuel Ased, de primer año , sobré las leyes agrarias dirigidas á igualar las condiciones, y la diversidad de circunstancias particulares que hacen incompatible está igualdad con ei estableci</t>
  </si>
  <si>
    <t>Asensio Rosique</t>
  </si>
  <si>
    <t>año y Romero , !). Ale*xandro Monfort, D. Manuel Piñeyro, D. JosepK Siiarez, D. Alfonso Gutiérrez , D. Asensio Rosique y D. Cáelos López Vidal * fuéron ¡examinados de ordenanza, aritmética y principios de geometría, y lo continuó D. Do» .mingo de lá Iglesia en el completo de la geometría especulativa</t>
  </si>
  <si>
    <t>Asensio, Blas</t>
  </si>
  <si>
    <t>Blas Asensio</t>
  </si>
  <si>
    <t>conferir el empleo de Tesorero de las Caxas principales de Carácas, en la provincia de Venezuela, á D. Blas Asensio, Capitán del regimiento de caballería de Calatrava. En la sala de Comendadoras de Caiatrava de esta corte se tuvo el 2 f de Marzo el 8.° exámen publico de los alumnos del curso de</t>
  </si>
  <si>
    <t>Asensio, Francisco</t>
  </si>
  <si>
    <t>Francisco Asensio</t>
  </si>
  <si>
    <t>...... si*- 18. Id. Francisco Asensio............ . Francisco,Manuela Delgado. Villamayor.. León............. 466. &lt;1. Id. Manuel* Prieto.-................. • Manuel,AngelaPapalachala.Villanueva... León.......</t>
  </si>
  <si>
    <t>Asensio, Manuel</t>
  </si>
  <si>
    <t>Manuel Asensio</t>
  </si>
  <si>
    <t>102 J D. Lorenzo Molina, D. Tomas López, DI Joseph González, D. Manuel Asensio, D. Joseph Francisco Díaz, D. Juan Afán de Rivera, D. Ramón María de Utrilla, D. Juan Antonio Cosío , D. Joseph Vaca, D. Francisco Man glano, D. Miguel García Sacristán , D. Barto</t>
  </si>
  <si>
    <t>Asin, Ignacio</t>
  </si>
  <si>
    <t>Ignacio Asin</t>
  </si>
  <si>
    <t>es; á Tenientes dé fusileros al Subteniente de 1.a propia clase D. Pedro Manrique, al de granaderos D. Ignacio Asin , y D. Joseph Amador, Subteniente de fusileros; ¿ Subteniente de granaderos al de fusileros D. Francisco Arguelló, y á Subtenientes de bandera á los graduados I&gt;. Cbristóbal Perez</t>
  </si>
  <si>
    <t>Asiutin Maldonadoy Piméntel</t>
  </si>
  <si>
    <t>ea y Mayora, D. Martín Lazaga ys Uria , D. Manuel- de Camba -y Leys, D. Salvador Escandon y Antayo, D. Asiutin Maldonadoy Piméntel,:D. Miguel del Busto, D. Manuel Fu-* ne?&gt;, IX Vicente Burragi, D. Manuel Echevarría, D. Miguel Tacón, Don ~ T' ^ ü*t:—Ívnr/lííín . h/Hípon flp TnrD. Meliton Fere* del tamino, u. I</t>
  </si>
  <si>
    <t>Asnn, Joaquín</t>
  </si>
  <si>
    <t>Joaquín Asnn</t>
  </si>
  <si>
    <t>Joseph QueVedo y Hoyos, D. Luis Zuazo Ximentz, D. Bernardo Bonávia, D. Manuel de Novales é Iruegas, D. Joaquín Asnn«ulo,D. Pedro de Mesa Baulen, D. Andrés Orive y Quiutano, D. Jo•seph Pascual de Vivero ,- D..t Francisco Mlllau y Merlo, D« Manuel Díaz Herrera, D. Joseph Salomón, D. Joseph de Lla</t>
  </si>
  <si>
    <t>Asprer y Janer, Rafael</t>
  </si>
  <si>
    <t>Rafael Asprer y Janer</t>
  </si>
  <si>
    <t>ente Bernabeu, D. Mariano Segovia, Don Francisco Colmenares y Lastiri, D. Joaquín Bilbao y Angosto, D. Rafael Asprer y Janer,D.Francisco Pareja y Tortolero,D. Joseph Labayen, Don Domingo de Paz, D. Aiexandro Morales,D.Pedro Joseph de Lemus, Don Manuel Arcavna y Ximenez, D. Francisco Meñaca y Arechaga, D</t>
  </si>
  <si>
    <t>Astor, Manuel</t>
  </si>
  <si>
    <t>Manuel Astor</t>
  </si>
  <si>
    <t>el Texedor, D. Joseph de los Ríos, D. Guillermo Roo, IX Juan Antonio Heredia, D. Joseph de Chastre, D. Manuel Astor, Don Ramón Mijares, D. Francisco Alegría, D. Francisco Arnedo, D. Joseph de Zúñiga, D. Alberto Maynes, D. Joseph. de Tona, D. Juan Joseph de Fierro, D. Pedros Salcedo, D. Ignacio</t>
  </si>
  <si>
    <t>Astorga, Manuel</t>
  </si>
  <si>
    <t>Manuel Astorga</t>
  </si>
  <si>
    <t>14- *4. Id. Manuel Astorga................ Antonio,IsabelFuentes... Villanueva... León......... *49- 30. Id. Pedro Rancafio....... ........... Josef, Isabel Varda.......</t>
  </si>
  <si>
    <t>Atanasio Puyal y Poveda</t>
  </si>
  <si>
    <t>co de la Cuerda^ Obispo que fue de Puerto Rico, del Consejo de la suprema y general Inquisición , y D. Atanasio Puyal y Poveda, Obispo de Caristo y Auxiliar de Madrid; y Padrino el Cabildo de la santa iglesia de Toledo, primada de las Españas,representado por los Sres.D. Francisco Acedo Torres, Dignidad o</t>
  </si>
  <si>
    <t>Atexandro Suzzo, Príncipe</t>
  </si>
  <si>
    <t>Príncipe Atexandro Suzzo</t>
  </si>
  <si>
    <t>s que se cometen diariamente contra los habitantes del campo. Despachóse desde luego este oficio al Príncipe Atexandro Suzzo, que estí . en Buchárést; y como este tardase en responder, declaro el Cónsul por segundo oficio que si no sedaba priesa en cumplir lo qus; había pedido, tomaría él á su cargo el</t>
  </si>
  <si>
    <t>Atienza de Huarte, Pedro Gerónimo</t>
  </si>
  <si>
    <t>Pedro Gerónimo Atienza de Huarte</t>
  </si>
  <si>
    <t>, se dibuxará la colgadura , para que sirva de gobierno en su colocación. Los hijos y herederos de D. Pedro Gerónimo Atienza de Huarte , Jurado de Anguita, que justifiquen ser descendientes de D. Salvador Atienza de Huarte , acudirán á la ciudad de Almansa , Reyno de Murcia , á deducir el derecho que tienen á 4 v</t>
  </si>
  <si>
    <t>Atienza de Huarte, Salvador</t>
  </si>
  <si>
    <t>Salvador Atienza de Huarte</t>
  </si>
  <si>
    <t>os de D. Pedro Gerónimo Atienza de Huarte , Jurado de Anguita, que justifiquen ser descendientes de D. Salvador Atienza de Huarte , acudirán á la ciudad de Almansa , Reyno de Murcia , á deducir el derecho que tienen á 4 vínculos que poseia D. Nicolás de Atienza y Ochoa , presbítero ya difunto: y lo dexó decl</t>
  </si>
  <si>
    <t>Aude, Alexo</t>
  </si>
  <si>
    <t>Alexo Aude</t>
  </si>
  <si>
    <t>....,.,.aso. 4. Id- Alexo Aude....................... .. Manuel, Rosa Lazan......... Alagon......... Aragón......... iro. 14. Id. Juan de Ribas.................. .. Pedro, María López........... Montejo........ Ar</t>
  </si>
  <si>
    <t>Audiencia de Canarias</t>
  </si>
  <si>
    <t>^Perez de RolJíy para D.laTomas que seMoyano. halla vacante Para por jubilación lá Regencia dedé la Don Audiencia de Canarias, que resulta vacante por la promoción de dicho Señor D. Antonio Alvarez Contreras, á D. Juan Benito Hermosilla; y para la de la Audiencia de Oviedo, por igual promoción del Sr. D.</t>
  </si>
  <si>
    <t>Áuersperg, Carlos (príncipe)</t>
  </si>
  <si>
    <t>Príncipe Carlos Áuersperg</t>
  </si>
  <si>
    <t>conferencia de estado, celebrada el día 22 del mes Ultimo á presencia de S. M. I. , se dió orden al Príncipe Carlos Áuersperg, Capitán del cuerpo de Guardias de la nobleza alemana, para que marchase inmediatamente á París con' representaciones sobre la cortedad de los resarcimientos señalados para el Arc</t>
  </si>
  <si>
    <t>Aufder Maur, General</t>
  </si>
  <si>
    <t>General Aufder Maur</t>
  </si>
  <si>
    <t>para entrar y ocupar aqüeLpueblo ; pero parece que luego mudáron de fesóluciotf. Se¡ asegura que^ef General Aufder Maur -se proponía hacer uña tentativa contra Berna v y que la llegada de los franceses le ha contenido. Otro cuerpo de contrarevolucionarios intentó oponerse en él país dé Brugg al pat</t>
  </si>
  <si>
    <t>Aüfder-Maur, General</t>
  </si>
  <si>
    <t>General Aüfder-Maur</t>
  </si>
  <si>
    <t>1090 El referido General Aüfder-Maur volvió aquí de Berthoud el día 24 después de hacer prisioneros los 500 hombres de la guarnición de Lucerna, que se retiraban baxo la seguridad del armisticio. Láiisana jo de Setie</t>
  </si>
  <si>
    <t>Aufder-Maur, General</t>
  </si>
  <si>
    <t>General Aufder-Maur</t>
  </si>
  <si>
    <t>y que temer de parte de esta coluna ; pero se asegura que otro cuerpo de insurgeotes mandado por el General Aufder-Maur marcha contra .nosotros por el camino de Echaliene.__ Antes de ayer á las cinco de la mañana .se tocó aquí la generala , por haberse divulgado esta noticia ; pcío.ha^ta ahora mo s</t>
  </si>
  <si>
    <t>gentes, y que solo tenia un batallón para su defensa, capituló el dia 5 por la mañana; pero como el General Aufder-Maur pudo saber ántes de la entrega de la jplaza que se había firmado un armisticio entre unas y otras tropas , envió al General helvético un parlamentario pidiendo la restitución de F</t>
  </si>
  <si>
    <t>á favor de la, igualdad ppUtica de lps habitantes de 1 aí ciudades y del campo. Por otra, parte el General Aufder-Maur manifestó su desaprobación contra los berneses, porque resolviéron enviar un diputado á Paris en su nombre, y sin haberío tratado con los cantones pequeños. En todas partes quería</t>
  </si>
  <si>
    <t>16 de noviembre de 1802</t>
  </si>
  <si>
    <t>orden que se había dado para que los camones enviasen gente armada á favor de los insurgentes. ~ El General Aufder-Maur se ha trasladado de aquí L Schwitz,; pero el General en xefe Bachman permanece en esta ciudad con su estado mayor y su qUartel general. Acaba la junta de los Diez de dirigir una p</t>
  </si>
  <si>
    <t>* 1. , Se asegura que habiendo vuelto á Lucerna las tropas de los cantones pequeñas mandadas por el General Aufder-Maur, recibiéron orden de la ■Dieta de Schwitz para que volviesen contra Berna y renovasen las hostilidades con las tropas helvéticas. Añaden que en vez de atender á semejante orden» s</t>
  </si>
  <si>
    <t>Augustini</t>
  </si>
  <si>
    <t>elegir el Consejo de Estado, que forma el Poder executivo;; y se componé de los ciudadanos Augustini, Gran Baylío ó,Presidente , Stockalper y Derivaz. El ciud. Muller-Fredberg, que desempeña interinamente las funciones de Comisario extraordinario helvético en</t>
  </si>
  <si>
    <t>Ausin, Manuel</t>
  </si>
  <si>
    <t>Manuel Ausin</t>
  </si>
  <si>
    <t>243. 18. Id. Manuel Ausin.................... Pedro, María González.... Reviliaruz... Búrgos............ 244. 7. Id. Diego Alonso.............*......... DÍegc, Josefa Prado....... Melgar........ Palencia..</t>
  </si>
  <si>
    <t>Auté, Ventura</t>
  </si>
  <si>
    <t>Ventura Auté</t>
  </si>
  <si>
    <t>úm. i8,quarto 2.0 . . , Dos Sres. Forest hermanos, de esta corte, re mi ti¿ron el de Junio último % D. Ventura Auté,de Córdoba , los réditos dé vales Reates siguientes : 902 rs. 17 rors. réditos de 5 rales de 300 petos , de Abril de iBoo; 270 25J por 3 de á</t>
  </si>
  <si>
    <t>Autonelli y Monseñor Spina, Cardenal</t>
  </si>
  <si>
    <t>Cardenal Autonelli y Monseñor Spina</t>
  </si>
  <si>
    <t>que de Braschí, y el dia 18 lo trasladaron á la basílica del Vaticano, dirigiendo esta ceremonia el Cardenal Autonelli y Monseñor Spina. El acompañamiento se componía de íos alumnos de S. Miguel , de los huérfanos , de todos los criados de los Cardenales , del clero secular y regular , gran número de sacerdotes de</t>
  </si>
  <si>
    <t>Autor, Joseph</t>
  </si>
  <si>
    <t>Joseph Autor</t>
  </si>
  <si>
    <t>or la sociedad; á saber, el Exc. Sr. Duque de Híjár, Presidente, Exc. Sr. Conde de Buñol, limo. Sr. D. Joseph Autor»»</t>
  </si>
  <si>
    <t>Autran, Joseph María</t>
  </si>
  <si>
    <t>Joseph María Autran</t>
  </si>
  <si>
    <t>Guillen y Busaran, D. Antonio Leal de Ibarra, D. Juan de Vivero y Silva, D. Angel Texeyro y Zafra, D. Joseph María Autran, D. Joseph de Varas Barnóla, D. Bartolomé Pose Valledor, D. Juan Orozco y Herrera, D. Alexo Gutiérrez de Rubalcava, D. Martin Olavidey Andrade,D. Fernando Zambrano,D. Joseph Verti</t>
  </si>
  <si>
    <t>Autran, Pedro</t>
  </si>
  <si>
    <t>Pedro Autran</t>
  </si>
  <si>
    <t>)d^Eíquad&amp;t. ortoinA Xl D¿ Antonio Luis del Real, D, Miguel &gt;de J&gt;óUs&amp;Di-rLuiCIfyta'ñoáide .Guzman, D. Pedro Autran, D. Pedro, de Cárdenas£&gt;. Frandscó Xavier Muñoz, D. Manuel Ñoñez Gaona,, D. A¿ntoni© de Córdpbay Raso * Dóá DOmángo de^ Nava , D. Ignacio Maná de. Alaya ,.D. Tomas iMuñók * Do* JJ</t>
  </si>
  <si>
    <t>Autumuro, Juan</t>
  </si>
  <si>
    <t>Juan Autumuro</t>
  </si>
  <si>
    <t>t6o. 15. Id. Juan Autumuro.............. . Martin, Agueda Fernandez. Parderubias.. Sobrado.'..... a4i. 1*. Id. Josef Fernandez.............. . Josef, María Cástrelo......... S. Pelayo......... Salvati</t>
  </si>
  <si>
    <t>Auxiliar, Obispo</t>
  </si>
  <si>
    <t>Obispo Auxiliar</t>
  </si>
  <si>
    <t>erced de la catedral de la Havana, vacante por fallecimiento del Dr. D. Joseph González de Candamo, Obispo Auxiliar que fue de aquella diócesis al Racionero D. Christóbal Ramirez; y para esta Ración al Canónigo Lectora! que fue de la metropolitana de la ciudad de Sto. Domingo, en la Isla. Españ</t>
  </si>
  <si>
    <t>Avalde, Tomás</t>
  </si>
  <si>
    <t>Tomás Avalde</t>
  </si>
  <si>
    <t>ón, D. Antonio García' de Quesada, D. Joseph Manuel de Goicoa, D. Miguel Irigoyen, D^Joan Mesías* y D. Tomas Avalde. ' A Capitanes de Fragata los Tenientes de Navio D. Joseph Meneses, D. Juan Antonio Careaga, D. Vicente Foxa y Montúfar, D. Rosendo Porlier, D. Joseph Iturrigaray, D. JuanBernazi</t>
  </si>
  <si>
    <t>Avilés, Joseph Joaquín</t>
  </si>
  <si>
    <t>Joseph Joaquín Avilés</t>
  </si>
  <si>
    <t>en de dragones Voluntarios de Guayaquil al Teniente D. Martin de Icaza; el que este dexa al Alférez D. Joseph Joaquín Avilés, y el de Portaguión al Cadete D. Joseph Cornejo. Se prorega hasta fin de Julio el término señalado para recibir memoriales de epositoresá la cátedra de latinidad vacante en la vil</t>
  </si>
  <si>
    <t>Aygremont, Luis</t>
  </si>
  <si>
    <t>Luis Aygremont</t>
  </si>
  <si>
    <t>ueroa, D. Francisco Uztariz, D. Juan de Dios Cabrera, D. Joseph Arredondo, D. Luis María Bonsteten, D. Luis Aygremont, D. Cárlos VauverdenyD. Aüigei Foxá, D. Joaquín de Cea, Don Joseph Éscovedoj Di Pedro Linares, D. Manuei^le San Pedro, D. Ramón de la Cuesta, D. Lorenzo Arroyo, D. Manuel Meneos,</t>
  </si>
  <si>
    <t>Ayóla, Francisco</t>
  </si>
  <si>
    <t>Francisco Ayóla</t>
  </si>
  <si>
    <t>onso Morales, D. Nicolás de Mora, D. Fermín Roméo, D. Francisco Merino, D. Manuel María Pus* terla, D. Francisco Ayóla, D. Juan Tarrius, D. Manuel de Miedes, Don Francisco Dionisio Vives, D. Joseph Canellas, D. Joseph García Orozco, D. Joaquín Regnart y Pont, D. Domingo Larripa, £&gt;. Juan Rayberte,</t>
  </si>
  <si>
    <t>Azabaí, Juan</t>
  </si>
  <si>
    <t>Juan Azabaí</t>
  </si>
  <si>
    <t>ntía al primer Teniente D. Juan Antonio Ponce, y primera Tenencia al segundo Teniente de granaderos D. Juan Azabaí: en el del Príncipe segunda Tenencia al Subteniente de granaderos D. Joseph Edrnandez de la Reguera: en el de Sevilla primera Tenencia de granaderos al primer Teniente D. Juan Xim</t>
  </si>
  <si>
    <t>Ázaola, Juan</t>
  </si>
  <si>
    <t>Juan Ázaola</t>
  </si>
  <si>
    <t>dinario y débil hacia tiempos, no se inoculó en la época de los seis; pero lo fue con la vacuna por D. Juan Ázaola en casa del Dr. D. Francisco Luzuriaga el dia 7 de Diciembre , siguiendo sus trámites de perfecta inoculación en los mismos términos que los demás, sin guardar cama. De aquí puede i</t>
  </si>
  <si>
    <t>Azara, Félix</t>
  </si>
  <si>
    <t>Félix Azara</t>
  </si>
  <si>
    <t>ntt% nlo Salinas, D. Salvador Chacoñ, D, FernaBdorValcárcel y Vargas , Doii Eelipe Villaviccricio, &gt;D. Félix Azara, D-: Juan ^Herrera: Dávilai, JÓ- Juan Suarez, D. Antonio Cañedo , D.Joseph Aramburu,D. Isidoro García del -Postigñ, D, Antonio García .-deh$oatig^ir{D;¿jQ$e|!bri’áe. Rqxas &gt; y Ari</t>
  </si>
  <si>
    <t>Azebpy, Joseph Antonio</t>
  </si>
  <si>
    <t>Joseph Antonio Azebpy</t>
  </si>
  <si>
    <t>reu: en el de Nápoles á segundo .Subteniente al Subteniente agregado á las milicias de Buenos-Ayres D. Joseph Antonio Azebpy; y eu ei de suizos de Rutiman á Subteniente al Cadete D. Chnstóbai Krucker. El Rey ha promovido á Capitán de la compañía fixa de Estepona, una de las de infantería de la Costa de</t>
  </si>
  <si>
    <t>Azlor, Joseph</t>
  </si>
  <si>
    <t>Joseph Azlor</t>
  </si>
  <si>
    <t>nte D. Guillermo Alcover; y en el de dragones de Pavía á Ayudante al Teniente, graduado de Capitán, D. Joseph Azlor. El Rey se ha servido conferir el gobierno militar y político de la plaza de Tarragona al Brigadier D. Antonio Samper, electo Capitán general de Puerto-Rico. $. M, ha nombrado Gua</t>
  </si>
  <si>
    <t>Azorin, Henríque Buenaventura</t>
  </si>
  <si>
    <t>Henríque Buenaventura Azorin</t>
  </si>
  <si>
    <t>sa de Moneda de México á D. Tomas Butrón: para Ensayador i.° supernumerario de la misma Real Casa á D. Henríque Buenaventura Azorin: para 2.0 de esta clase en ella á D. Joseph García Anzaldo: para Oficial mayor de la Contaduría de la citada Real Casa á Don Joseph Antonio Mauleon: para Oficial 2.0 de la Contadu</t>
  </si>
  <si>
    <t>Bache</t>
  </si>
  <si>
    <t>don^e visitará alóElector de Saxonia. : r. :i Ratis baria l(f de Agosto. t E l ciud. Bache* &gt; que acaba .de ser nombrado Ministro residente:4c la Répública francesa, entregó ayer al Ministro directorial-interino, ef senadoconsulto orgánico de la cons</t>
  </si>
  <si>
    <t>Bacher</t>
  </si>
  <si>
    <t>El día 11 debía convocarse la Diera de Ratisbona para seguir sus sesiones___ El ciud. Bacher, Ministro de Francia en aquella ciudad, ha recibido copia del nuevo proyecto de indemnizaciones formado en París entre los Ministros de Francia, Ruda y Prusia,</t>
  </si>
  <si>
    <t>a dieta germánica, sin embargo de haber concluido las vacaciones; de Pascua* El ciud. Bacher, Encargado de Negocios de la República francesa, tie-' ne abierta y corriente una capilla para el exercicio del culto católico, en la qual se dice misa desde e</t>
  </si>
  <si>
    <t>Birun.supleñietoto al plan dé dais indemnizaciones. ' •; . /' 1.: ''¿‘.M. .. El ciud. Bacher, Ministro'dé, Francia» ha comunicado á la Dieta los documentos concérnientesála paz con ila Püerta^yccon el Bey de Argel. JtXa accedido el Rey de ;Inglaterra:á</t>
  </si>
  <si>
    <t>Bachiller y Meoa, Miguel</t>
  </si>
  <si>
    <t>Miguel Bachiller y Meoa</t>
  </si>
  <si>
    <t>enito de la Mata Linares, Regente de la Audiencia de Buenos-Ayres, honores del Consejo de Indias. A D. Miguel Bachiller y Meoa,Asesordel Vireyrtato de México, y á D. Antorio.Ponce de Lepnj Auditor de Guerra de Marina en la Havana, honores de Alcalde del Crimen de la Audiencia de México. Y á D. Joseph Mede</t>
  </si>
  <si>
    <t>Bachman, General</t>
  </si>
  <si>
    <t>General Bachman</t>
  </si>
  <si>
    <t>o. El Ayudante General francés Rapp llegó el día,4 al quartel general ele los berneses: comunicó al General Bachman la proclama del primer. Cónsul, y ie intimó Suspendiese las hostilidades^. Lidió&gt;Üicho General media ho^ ra para responder; y luego ofreció suspender lasíhostilidades hasta.que recib</t>
  </si>
  <si>
    <t>satisfechos. Ayer dio una gran comida el Ayudante General Rapp: entre los convidados asistiéron el General Bachman y los oficiales de.su plana ma^or. El cuerpo franco de Berna servirá de guardia de honor al ciud. Rapp raiéiitras permanezca en esta ciudad. Basiiea 18 de Octubre* D ícese que la Dieta</t>
  </si>
  <si>
    <t>Bachmann, General</t>
  </si>
  <si>
    <t>General Bachmann</t>
  </si>
  <si>
    <t>mprenderán su viage hasta que lleguen los diputados de los demas cantones. . - Ha salido de aquí el General Bachmann con los oficiales superiores del ejército confederado. Estas tropas , al ausentarse , se llevaron quanto ha¡bia en los almacenes militares de la ciudad, excepto los cañones de gru</t>
  </si>
  <si>
    <t>te orden» se retiraron de Lucerna á sus hogares; no obstante los esfuerzos é instancias que hizo el General Bachmann para empeñarlas á que obedeciesen. Parece que la proclama del primer Cónsul no ha producido ei efecto que se esperaba en una parte de los cantones orientales. En Zurich»en los Gri</t>
  </si>
  <si>
    <t>hecho célebre por la Dieta que formáron en él los principales caudillos de la contrareve lucion. £1 General Bachmann, que era uno dé ellos, se ha retirado á Constanza. Hallaron los franceses en Sehwitz un crecido tren de artillería, y una cantidad considerable de municiones. Ademas de los cuerpo</t>
  </si>
  <si>
    <t>BadoÍ, Joseph</t>
  </si>
  <si>
    <t>Joseph BadoÍ</t>
  </si>
  <si>
    <t>28 de diciembre de 1802</t>
  </si>
  <si>
    <t>lespina, Teniente Coronel del de Pavía: el em&gt;leo de Teniente Coronel deí de caballería de España á D. Joseph BadoÍ ato, Comandante del de húsares, de María Luisa; y el de Teniente Coronel dé cazadores de Almansa á D.- Ignacio Araujo, Comandante del de caballería de Algarbe. . Asimismo se ha se</t>
  </si>
  <si>
    <t>Baeza y Alcalde, Pedro</t>
  </si>
  <si>
    <t>Pedro Baeza y Alcalde</t>
  </si>
  <si>
    <t>déi¡ Dí Joireph' dé li Muela‘;Gutierrez , D Pedro Marfand ^Gallego i D. Rafael Ximenez de Montalho, D. Pedro Baeza y Alcalde ,D. Modesto Ibañéz de Corbera, L&gt;: Pedro de Lamas y la Torre, D. ifulio Róco y Massopagano, D. Miguel Roco y Massopagano , D. Juan Pascual y AyeL, D. Joseph de Posada* y Castilla^</t>
  </si>
  <si>
    <t>Baeza, Agustín</t>
  </si>
  <si>
    <t>Agustín Baeza</t>
  </si>
  <si>
    <t>233. 14. id. Agustín Baeza..................... Francisco, Angela Quintanilla........................ ........ Orbígo............. león............... 3Í0. zo. Id. Vicente Rodríguez,.............. Pedro ,</t>
  </si>
  <si>
    <t>Bagge</t>
  </si>
  <si>
    <t>econocido como Comisario de Relaciones mercantiles ó Gónsúl de estaRepúblicá al ciud. Bagge. -Berna 14 de Eneró. ' ; H a resuelto el Senado én suquntá del dia 7 que él gobierno perciba sobre el producto de la venta de bienes nacionales, una súriiá que</t>
  </si>
  <si>
    <t>Bahamon-r, Pedro</t>
  </si>
  <si>
    <t>Pedro Bahamon-r</t>
  </si>
  <si>
    <t>nombrar para el Arcedianato de Deza, Dignidad de la catedral de Lugo , vacante por fallecimiento de D. Pedro Bahamon-r de, á I). Antoqio Ramón de Sobrado, Canónigo doctoral segundo de 1* misma iglesia: para una Canongía de la propia catedral, vacante por miie*. te del dicho D. Pedro Bahamonde, á D. V</t>
  </si>
  <si>
    <t>Bahamonde, Pedro</t>
  </si>
  <si>
    <t>Pedro Bahamonde</t>
  </si>
  <si>
    <t>gundo de 1* misma iglesia: para una Canongía de la propia catedral, vacante por miie*. te del dicho D. Pedro Bahamonde, á D. Vicente López Somoza, Cura de la parroquia dé Santiago de la referida dudad de Lugo, y como tal, Racionero titular de la misma catedral: para un Beneíicio de la parroquial d</t>
  </si>
  <si>
    <t>Bailtz, Conde</t>
  </si>
  <si>
    <t>Conde Bailtz</t>
  </si>
  <si>
    <t>49 ciudad yéfido á París. Entré Io$ últimos que han pasado se cuentan el Príncipe de Rohan, el Conde Bailtz, y el de Quinsonas, Coronel ruso, despachado por el Emperador al Conde de MarkofF con copia del tratado de comercio recien ajustado entre Rusia é Inglaterra. París 25 de Diciembre</t>
  </si>
  <si>
    <t>Baird, General</t>
  </si>
  <si>
    <t>General Baird</t>
  </si>
  <si>
    <t>en xefe, y el General Hope; en la misma plaza se aquartelarán todos los regimientos británicos. El General Baird mandará una brigada de cipayos, como también la ciudad y distrito de Roseta; y el General Stuard tendrá baxo sus órdenes todos los regimientos extrangeros con otro nacional de cab</t>
  </si>
  <si>
    <t>269 de Egipto. Los cuerpos extrangeros, que forman la guarnición de Alejandría, irán con el General Baird á la India, así que se arreglen los asuntos de Egipto. Según noticias de Amiens pide el gobierno de Holanda le indemnice la Gran Bretaña por la pérdida de los navios de la compañí</t>
  </si>
  <si>
    <t>Báird, General</t>
  </si>
  <si>
    <t>General Báird</t>
  </si>
  <si>
    <t>3 de septiembre de 1802</t>
  </si>
  <si>
    <t>n el Egipto-lnft*«o.r;.áe;gozaKa la .mayor tranquilidad,y ¿nuestras tropas habia pocos enfermos, rl General Báird habia' salido-de Alexa ndría á fin de disponer ,quanto se- necesitaba rara la mancha de las trompas asi iticas á Suez, en donde debía i hallare prontos.á mediados de Junio los tra</t>
  </si>
  <si>
    <t>r Roxo se observó este órdéo. La chalupa el Víctor salió de Suez ei 6 de Junio, llevando á bordó al General Baird y su comitiva: otro buque nombrado Babelmandel, debía salir el 7 con la última, división de transportes:.el Romney ,Sheernes y Wilhelmine saldrán igualmente con ciertos dias de inte</t>
  </si>
  <si>
    <t>.aí callo de h 25.-¿ías qan»gtt0lüfi t Jsevba sabido que eibexfreitá a«át?teoing]es manduvdo por el General Baird, .se détuvp álguuos dias en aquella ciudad para tdmar refrescos y víveres, y volvió a icontinuar su'yi^ge á;la!jlndiar&gt;f idias ántes de la salida de la embarcación Java. En el pas</t>
  </si>
  <si>
    <t>Baiseyro, Miguel</t>
  </si>
  <si>
    <t>Miguel Baiseyro</t>
  </si>
  <si>
    <t>a,servido el Rey promover á Capitán ¡al Teniente de carabineros Don Luis de Sola *, á esta clase á- D. Miguel Baiseyro; á Teniente á D. Bernardino de la Seda, y á la «resulta de: Alférez , -que este dexa, al Cadete D011 Alonso Dávila. • S. M. se ha dignado conferir el Gobierno del castillo y presi</t>
  </si>
  <si>
    <t>BaiTs, Benito</t>
  </si>
  <si>
    <t>Benito BaiTs</t>
  </si>
  <si>
    <t>. en rústica en el despacho de la imprenta Real. Diccionario de arquitectura civil: obra postuma de D. Benito BaiTs, primer director que fue de matemáticas en la'Real academia de nobles artes denominada de S. Fernando &amp;c. ; un tomo en 4.0 de marquida. Véndese á 7 rs. en papel, g en rústica y 13</t>
  </si>
  <si>
    <t>Bal, Alexandro</t>
  </si>
  <si>
    <t>Alexandro Bal</t>
  </si>
  <si>
    <t>quedan por ahora vacantes. Londres 8 de- Julia. H a nombrado el Rey para Ministro ingles en Malta á Mr. Alexandro Bal!. El Almirante Lord Keitlv, que, salió de Gibraitar el 2o de Junio en el navio Fqudroyant de 80 cañones, ancló el 3 dei corriente por la tarde en la rada de Sta. Elena. * En una-a</t>
  </si>
  <si>
    <t>Baldazo, Simón</t>
  </si>
  <si>
    <t>Simón Baldazo</t>
  </si>
  <si>
    <t>o Jayme de Oliver : para la Prestamera de Rus, en la diócesis de Jaén, vacante por fallecimiento de D. Simón Baldazo, á D. Manuel Antonio Escudero: para otra de la nutación ó despoblado de Alharo, en el obispado de Córdoba, vacante por muerte de D011 Francisco Xavier de Piedrola , á D. Simón de</t>
  </si>
  <si>
    <t>Baliña, Pedro</t>
  </si>
  <si>
    <t>Pedro Baliña</t>
  </si>
  <si>
    <t>.... 101. Id. Pedro Baliña....... .................Juan, Rosalía Tovar....... Sta. María... Santiago..... 163. 3. Id. Francisco Martinez.......... . Domingo, Ciprian</t>
  </si>
  <si>
    <t>Balitoro</t>
  </si>
  <si>
    <t>sica y moral de los niños.” Consiste el premio en una medalla de, oro de valor de 5 oo francos. _ ~ Mr. Balitoro acaba de publicar en la década filosófica una observación que ha hecho sobre el rayo , y se reduce á que jamas cae en las partes def norte y nordeste de los campanarios, torres y</t>
  </si>
  <si>
    <t>Ballano, Antonio</t>
  </si>
  <si>
    <t>Antonio Ballano</t>
  </si>
  <si>
    <t>ones siguientes D. Eutiquiano Martínez, Cirujano de esta ciudad. Habiendo pedido el fluido vacuno 4 D. Antonio Ballano, profesor de medicina y cirujía ehMadrid, se le remitió este por el correo el 21 de Diciembre del año último ; y ño obstante lo riguroso de la estación inoculó inmediatamente 4 un</t>
  </si>
  <si>
    <t>Ballesteras y Fermosel, Joseph</t>
  </si>
  <si>
    <t>Joseph Ballesteras y Fermosel</t>
  </si>
  <si>
    <t>oxadors, D. Pedro de vRueda )^á^raeErr&amp; Cayetano Lobaton y,Cerrión,. D. Vicente Menendez :Go yeil*. D. Joseph Ballesteras y Fermosel!D. Lucas de Goy cochea* 0. Andrés Santiso y Serántes, Dea Antonio Montenegro Espantoso, 0. Pedro Hurtado de Corcuera, D. Simón Londoño y Collantes , D. Joseph Bustamante Mannque,</t>
  </si>
  <si>
    <t>Ballesteros y Patino, Pedro</t>
  </si>
  <si>
    <t>Pedro Ballesteros y Patino</t>
  </si>
  <si>
    <t>iédrola y Verdugo,©. Pedro Mosti y Arrambide,D. Juan de Muía y Guevara, D. Joseph Achaval y Orueta, D. Pedro Ballesteros y Patino, Don Pedro Afán de Rivera, D. Benito Prieto Solares, D. Josepn Zuaznavar y Francia, D. Joseph Julián Jovani, D. Luis Moreno y Mendoza, D. Franf cisco Basurto y Vargas, D. Joseph d</t>
  </si>
  <si>
    <t>Ballesteros, Ignacio</t>
  </si>
  <si>
    <t>Ignacio Ballesteros</t>
  </si>
  <si>
    <t>o D, Cayetano Olárra, y á SegundóSubteniente al Cadete del primer batallón de Voluntarios de Aragón Don Ignacio Ballesteros. Asimismo ha promovido el Rey en el regimiento de caballería de España á Capitán á D. Manuel Marín, Cadete de la Compañía Española del Real cuerpo de G ¡ardías de Corps. ........</t>
  </si>
  <si>
    <t>Ballois</t>
  </si>
  <si>
    <t>motivó acaba de escribir el caballero. Azara, Embaxador de S. M. Católica ," al ciud. Ballois la siguiente carta: »,Os doy gracias por la carta de 28 de Agosto* con que me habéis favorecidó, y por los ejemplares adjuntos dél Ensayo de Mr. Sinclair sobre la</t>
  </si>
  <si>
    <t>Balseiro, Miguel</t>
  </si>
  <si>
    <t>Miguel Balseiro</t>
  </si>
  <si>
    <t>ién en el de milicias de caballería de la misma plaza ha conferido S'. M. Compañías á ios Tenientes D. Miguel Balseiro, de carabineros, y</t>
  </si>
  <si>
    <t>Baltasar</t>
  </si>
  <si>
    <t>orriente. Don Juán Joseph de Puch, vecino y del comercio de Cádiz, endosó y remitió por el correo á D. Baltasar.de Bacardi, del de Barcelona, varios vales Reales, y entre ellos uno de 130 pesos, de la creación de i.° de Setiembre, núm. 174,318, el qual no se fca recibido: se suplica al que</t>
  </si>
  <si>
    <t>Baltasar Álvarez</t>
  </si>
  <si>
    <t>D. Juan Lieutaud, D.«Alonso Ribera, Don Pedro Joseph de GamezyD. Vicente Morodo, Di- Felipe Sicre, D. Baltasar Alvarez, D. Joseph Antonio de Calzada, D. Luis Calvo, D; Joseph Astraudi, D. Anselmo Martínez,_D. Rayníundo Carbonell,* D. Rodrigo •Aívarez, D. Ignacio Sandoval, D¿ Nicolás Pastor, D. Jos</t>
  </si>
  <si>
    <t>Baltasar Arellano</t>
  </si>
  <si>
    <t>12 de enero de 1802</t>
  </si>
  <si>
    <t>¿n el regimiento;de Voluntarios de España se ha servido S. M. promover á primer Teniente al segundo D. Baltasar Arellano: á igual empleo en el d£Gá1átrava;aí segundo Teñí ente D. Luis Irízari: en el del Rey asegundó;Tyhieiite;;ál'AlierqzJD. jfosdph Oarcía; y en el del Príncipe á Alférez aí PoTÍaesta</t>
  </si>
  <si>
    <t>Baltasar Belmonte</t>
  </si>
  <si>
    <t>S. M. promover á 'Capitán al Ayudante D. Rafael de Armenta y Godoy, y á Alférez al Portaestandarte D. Baltasar Belmonte : en el de la Reyna á Portaestandarte al Cadete D. Ramón Collantes: en el del Principe á segundo Teniente al Alférez D. Manuel Arjona: en el de Borbon á primer Teniente al segundo</t>
  </si>
  <si>
    <t>Baltasar Calvache</t>
  </si>
  <si>
    <t>icio Rodríguez, D. Joseph Benito Romero, D. Joaquín de Ponte, D. Joseph Molina, D. Lázaro de Avila, D. Baltasar Calvache, Don Francisco Ruiz, D. Alfonso Ramiro, D. Antonio de la Rocha , D. Juan López de Molina,D. Lucas Salazar, D. Ramón Serrano, D. Juan Joseph Martínez, D. Joseph María Cano, D. Fran</t>
  </si>
  <si>
    <t>Baltasar Cisñeros</t>
  </si>
  <si>
    <t>fadH, seph Pascual de Bonanza!, D.tJuanaRuiaj Apodaca t:P. Antoriio Escaño^ D. Juan Vicente, Yáñe*, D. Baltasar Cisñeros.^ D¿ JoSeph Bustarhante y Guerra \ D. Juañ Joseph GáTQWsíiD^IJPSepkíSaJcjesloj yjAliaiíCo , yiDi To^ mas ligarte y Liaño.- ¿i . -•;&lt;íri vo &gt;i r.csaoX .Cí t oiosin’ít'.Ci-íi-.j-.•</t>
  </si>
  <si>
    <t>Baltasar de Béllét</t>
  </si>
  <si>
    <t>an, D. Juan Magín, el Conde Colona, D. Antonio García Conde , D. Fernando Saavedra, D. Juan Amiant, D. Baltasar de Béllét * 0. Joseph Craiwinckel, D. Joseph Augusto S e la Porte, D. Juan Chrisóstomo de la Llave, el Condé de Castroterreño* D. Joseph de Vargas, D.JoaquinBlake, D. Carlos Luxan,D._ Vidal</t>
  </si>
  <si>
    <t>Baltasar de la Puente</t>
  </si>
  <si>
    <t>orte por D. Francisco Bayeu, pintor de Cámara de S. M. y de su Real academia, grabada á expensas de D. Baltasar de la Puente por D. Manuel Salvador Carmona, siendo pensionista de S. M., de su Real academia y de la Real de París. = Estampa nuevamente grabada del glorioso tránsito de S. Joseph. Se venden</t>
  </si>
  <si>
    <t>Baltasar de Salas</t>
  </si>
  <si>
    <t>do nombrar para una Canongía de la catedral de Tarazona , vacante por muerte de D. Mateo Casanate,á D. Baltasar de Salas: para una Ración patrimonial de la misma catedral, vacante por promoción de D. Manuel Milagro y Santas á la Dignidad de Arcipreste de la propia iglesia, á D. Francisco Falces y Ag</t>
  </si>
  <si>
    <t>Baltasar Dieguez</t>
  </si>
  <si>
    <t>rra... 123. 21. Id. Baltasar Dieguez................. Domingo, María Perez....... Mender de Trives.</t>
  </si>
  <si>
    <t>Baltasar García</t>
  </si>
  <si>
    <t>D; Joseph Florencio Barragan , y el de Alférez de la compañía de dragones del presidio del Carmen á D. Baltasar García, Sargento de ella. En el regimiento de milicias disciplinadas de caballería de Puerto Rico se ha,servido el Rey promover á Capitán ¡al Teniente de carabineros Don Luis de Sola *,</t>
  </si>
  <si>
    <t>Baltasar García Galio</t>
  </si>
  <si>
    <t>ez, D, Manuel Hinojosa, D. Joaquín Luyando, D. Juan Bosa, D. Bas^ cual Martinez, D. Juan Menendez,' D. Baltasar García Galio, D. Francisco Perea, D. Francisco Malpica y D. Alexandro Rivacoba. JSn América. El Rey se ha servido nombrar para el Deanato de la santa iglesia de la Concepción de Chile, vacante</t>
  </si>
  <si>
    <t>Baltasar Samitier</t>
  </si>
  <si>
    <t>ristóbal Fohn, D. Joséph Trax* ler, D. Francisco Joseph Márcos de Courten * D. Casimiro de Mendoza^ D. Baltasar Samitier, D. Joseph Plano, D. Camilo Arroyo , D. Rafael Mariano, D. Félix Zurbano, D. Juan Lieutaud, D.«Alonso Ribera, Don Pedro Joseph de GamezyD. Vicente Morodo, Di- Felipe Sicre, D. Bal</t>
  </si>
  <si>
    <t>Baltasar Sotillo</t>
  </si>
  <si>
    <t>35. 10. Id. Baltasar Sotillo.................. . Josef, Josefa Galanes......... Ponton........... Ponton........... iot.32. Id. Antonio García.............. . Josef, María Nuñez........... Tradelo.........</t>
  </si>
  <si>
    <t>Bandín, Capitán</t>
  </si>
  <si>
    <t>Capitán Bandín</t>
  </si>
  <si>
    <t>botánico de la escuela central del departamento del Dyle 202 plantas de las que traxo á Francia el Capitán Bandín de varias partes de las costas de Africa y de Egipto; y entre estas especies nuevas hay muchas muy’ raras. Por orden deí Ministro de Guerra se han suspendido las obras de fortincacio</t>
  </si>
  <si>
    <t>Banks</t>
  </si>
  <si>
    <t>sidente de los Estados-Unidos de América , por socio en la clase de ciencias morales y políticas: á Mr. Banks, Presidente perpetuo de la sociedad Real de Londres, por socio extrangero en la de ciencias fúico-matemáticas; y á Mr. Haydn por socio en la de literatura y bellas artes. Según no</t>
  </si>
  <si>
    <t>ia. . Un gran número de agrónomos y otras personas amantes de la agricultura se juntáron en casa de Mr. Banks, y resolvieron honrar la memoria del Duque de Bedfort erigiéndole por subscripción una estatua colosal de bronce. Según una gazeta de Nueva-Yorck de 3 de Febrero, los géneros y fr</t>
  </si>
  <si>
    <t>ie nto. Mr. H e n ríq u e MI d m a y dixo'-que esta recompensa era muy inferior ai beneficio,; pero Mr Banks, confesar rila importancia de la invención y el mérito de su ingenioso autor , se or</t>
  </si>
  <si>
    <t>milicias, y de las tropas llamadas fencibles, producirán un ahorro de 3.442,000 esterlinas. Observó Mr. Banks que no se necesitaba un número tan crecido de gente para defensa de la Gran Bretaña; que antes de la guerra las fuerzas militares del Reyno no llegaban á 18® hcmbres, y las de las</t>
  </si>
  <si>
    <t>Banqueri, Joseph Antonio</t>
  </si>
  <si>
    <t>Joseph Antonio Banqueri</t>
  </si>
  <si>
    <t>acaria labia Aben Mchamed Ben Ahmed Ebn-el- Awam , sevillano: traducido en castellano y anotado por D. Joseph Antonio Banqueri, J»rior claustral de la catedral de Tortesa, individuo de la Real biblioteca de S. M., y académico de número de la Real academia de la Historia: dos tomos en folio en árabe y cast</t>
  </si>
  <si>
    <t>Baptista Quin de Valdovinos, Juan</t>
  </si>
  <si>
    <t>Juan Baptista Quin de Valdovinos</t>
  </si>
  <si>
    <t>la Tesorería á D. Antonio Miguel de Arcos y Matas, Canónigo de la propia; y parra «esta Canongía á Don Juan Baptista Quin de Valdovinos. Por Real cédula de 4 de este mes se ha servido* S.. V. conceder permiso á los lugares de Santianes y otros de la parroquia Lie Sra.Eulalia de Avamia, en el concejo de Cangas de O</t>
  </si>
  <si>
    <t>Baquerieo, Francisco</t>
  </si>
  <si>
    <t>Francisco Baquerieo</t>
  </si>
  <si>
    <t>para la Prestamera de S. Juan de Alar— con, en la diócesis de Cuenca, vacante por fallecimiento de D. Francisco Baquerieo; y el Beneficio de Tena jas, vacante en la misma diócesis por muerte de D. Francisco Carrillo, á D. Rafael de Aldunate , con retención de la demás renta eclesiástica que goza. Asi</t>
  </si>
  <si>
    <t>Bar</t>
  </si>
  <si>
    <t>31 de agosto de 1802</t>
  </si>
  <si>
    <t>de antigua fecha. No se duda de que en caso que se haya n vendido los barcos y los cargamentos pida Mr. Bar lo w el competente resarcimiento á favor de los dueños, y que ántcs de todo exija se le entreguen los marineros.</t>
  </si>
  <si>
    <t>Bar, General</t>
  </si>
  <si>
    <t>General Bar</t>
  </si>
  <si>
    <t>uabia , en lugar del General Deroy, que actualmente manda el cuerpo que estaba baxo las órdenes del General Bar— tels, el qual ha sido depuesto. Francfort 27 de Agosto. S e asegura que la Francia cederá á la República bátava por 10 millonea de florines la parte del ducado de Cléves situada</t>
  </si>
  <si>
    <t>Baraguey-d Hilliets, General</t>
  </si>
  <si>
    <t>General Baraguey-d Hilliets</t>
  </si>
  <si>
    <t>26 de febrero de 1802</t>
  </si>
  <si>
    <t>epública, bitava. No hay. mas Ministros eii él-congreso de Amteiis. s ^ i - ■ El dia ^a vinoaqui él General Baraguey-d Hilliets» y á la mañana siguiente revistó las tcopas de la guarnición; Brest 2$ eU Enero, N o taiedará en sa&amp;rpara Sudestinala división holandesa * pues ya tomó váveses yie ha reparada. Ig</t>
  </si>
  <si>
    <t>Barat, Pedro</t>
  </si>
  <si>
    <t>Pedro Barat</t>
  </si>
  <si>
    <t>lvo, D. Manuel Antonio de Mora y Ramos, D. Francisco Campos, D. Joaquín Langelé, D. Juan Caequillo, D. Pedro Barat, D. Antonio Vayllant, D. Lúeas Alvarez, D. Joseph Maitmez, D. Francisco Xavier Lamadrid, D. Joseph Antonio HerrezuéloD. Joseph Soto, D. Francisco Leysél, D. Mauricio de Zúñiga, D.</t>
  </si>
  <si>
    <t>Baraya, Antonio</t>
  </si>
  <si>
    <t>Antonio Baraya</t>
  </si>
  <si>
    <t>- Nioasio Dabouza, Ayudante mayor agregado al mismo cuerpo; el empleo de primer Teniente ai segundo D. Antonio Baraya, y el de segundo Teniente de granaderos al de fusileros D. Miguel Céspedes. Por oficio que con fecha de 20 de Marzo, de este año ha dirigido el Real tribunal de consulado de Bueno</t>
  </si>
  <si>
    <t>Barbaran, Ramón</t>
  </si>
  <si>
    <t>Ramón Barbaran</t>
  </si>
  <si>
    <t>de otras especies, dapdoios vivos y prendidos en la primavera de este mismo año.__ Igual cantidad á D. Ramón Barbaran , hacendado y vecino de I* villa de Caspe, Corregimiento de Alcaf.iz, por haber plantado también en terrenos eriales de la propia villa mas de 1t© árboles de álamos, olmos, chopos</t>
  </si>
  <si>
    <t>Barberena, Francisco</t>
  </si>
  <si>
    <t>Francisco Barberena</t>
  </si>
  <si>
    <t>Alcabalas de la provincia de Comayagua, Reyno de Goatemala, vacante por muerte dei que lo servia, á D. Francisco Barberena. 1 . El Rey lia nombrado Guarda-Almacén de artillería de la plaza de Puerto Rico ai Ayudante de Guarda-Almacén de la misma plaza D. Joseph Saenz; y para esta resulta á D. Joseph D</t>
  </si>
  <si>
    <t>Bardett</t>
  </si>
  <si>
    <t>ratados * doAmien*? y dé Luneville han puestové la? Fraudarenhel fcstado terriblé, en quelavemosjft Mr. Bardett dixo: „ Que no era? extrafiorque eo» el ?. aumento déhpoder yt con: las ventajas quefra sacado ■■la^Erancia rofréciese uqetfpeetáeiu-lo -que fué4 ra de poco *gusto- para las Ingla</t>
  </si>
  <si>
    <t>Bareto, Joseph</t>
  </si>
  <si>
    <t>Joseph Bareto</t>
  </si>
  <si>
    <t>rpo de Guardias de Corps se ha servido promover el Rey á Exento supernumerario al Brigadier de ella Don Joseph Bareto. En el regimiento de Reales Guardias Waloaas sé ha dignado S. M. pro*</t>
  </si>
  <si>
    <t>Barlett</t>
  </si>
  <si>
    <t>a unos pobres indios a dexarse comer de los tiburones, h uimos por curiosidad al sitio aplazado con Mr. Barlett y otros ingleses, y vimos efectivamente muchos indios de ambos sexos que á una señal de los faquires se arrojáron al rio entre una gran multitud de tiburones que andaban sobre el ag</t>
  </si>
  <si>
    <t>Barneche, Luis</t>
  </si>
  <si>
    <t>Luis Barneche</t>
  </si>
  <si>
    <t>ida por muy trabada y falta de abono , tasada cada fan. á 800 rs. ; linda por oriente con tierra de D. Luis Barneche , por mediodía y poniente con la que labra Múreos Herrare , por poniente y norte con villas de Mi— jguel López; so caber 2 fan. 6 cel.. y 14 estad., rebaxado dicho arroyo y al mis</t>
  </si>
  <si>
    <t>Barón Cederstrom, Almirante</t>
  </si>
  <si>
    <t>Almirante Barón Cederstrom</t>
  </si>
  <si>
    <t>26 de enero de 1802</t>
  </si>
  <si>
    <t>erra nombrada Freya escribe desde Gothembürgo diciendo: ,, Nuestra división , mandada por el Contra-Almirante Barón Cederstrom , salió de Carlscrona el 17 de Octubre, y el 22 ancló en ELseneur, en donde á causa de los vientos contrarios y tempestuosos permaneció hasta el 2 de Noviembre. Nos hicimos á la v</t>
  </si>
  <si>
    <t>Barón de Benigsen, Teniente General</t>
  </si>
  <si>
    <t>Teniente General Barón de Benigsen</t>
  </si>
  <si>
    <t>ital del segundo. La ceremonia de la instalación se hizo con mucho aparato el dia i.° de año por el Teniente General Barón de Benigsen, quien á presencia de los Mariscales de la provincia, de la nobleza, de todas las personas distinguidas, y del numeroso concurso que se había reunido al intento en la sala del tri</t>
  </si>
  <si>
    <t>Barón de Céderstróm, Almirante</t>
  </si>
  <si>
    <t>Almirante Barón de Céderstróm</t>
  </si>
  <si>
    <t>lidades contra nuestros navegantes , ha enviado el Rey una división de fragatas al mando del Contra-Almirante Barón de Céderstróm, para' proteger el comercio nacional en el Mediterráneo. Y habiéndome dado este Comandante aviso de que se dirige al puerto de Trípoli para1 formar su bloqueo, os encargo lo comun</t>
  </si>
  <si>
    <t>Barón de Cederstrom, Almirante</t>
  </si>
  <si>
    <t>Almirante Barón de Cederstrom</t>
  </si>
  <si>
    <t>306 Según las últimas noticias de nuestra esquadra del Mediterráneo el Almirante Barón de Cederstrom: ha pedido al Rey de Marruecos se explique categóricamente sobre sus intentos respecto á la bandera sueca: pues hay suficientes motivos para temer que no sean muy favorables á nue</t>
  </si>
  <si>
    <t>Barón de Ederstrom, Almirante</t>
  </si>
  <si>
    <t>Almirante Barón de Ederstrom</t>
  </si>
  <si>
    <t>na y otros muchos efectos. Se sabe por cartas de Málaga que la esquadra sueca mandada por el Contra-Almirante Barón de Ederstrom llegó felizmente á aquel puerto al cabo de 28 dias de navegación. Los buques que llevan los regalos para el Baxá de Túnez habían salido ya de Málaga para su destino. Ha causado aq</t>
  </si>
  <si>
    <t>Barón de Mece, Joseph</t>
  </si>
  <si>
    <t>Joseph Barón de Mece</t>
  </si>
  <si>
    <t>nas se ha servido promover el Rey a Sargento mayor ál Capitán de granaderos, graduado de Brigadier, D. Joseph Barón de Mece. *</t>
  </si>
  <si>
    <t>Barón de Píorst, Carlos Melchor</t>
  </si>
  <si>
    <t>Carlos Melchor Barón de Píorst</t>
  </si>
  <si>
    <t>Dignidad de la catedral de Barcelona, vacante por fallecimiento de D. Mariano Joachín de Huerta, á D. Carlos Melchor Barón de Píorst: para la Prestamera de Villalba del Rey , en la diócesis de Cuenca, vacante por renuncia que ha hecho de ella D. Joseph de Iriberri, á D. Tomas María Sacristán; y para la Capellan</t>
  </si>
  <si>
    <t>Barón de Rayaiin, Almirante</t>
  </si>
  <si>
    <t>Almirante Barón de Rayaiin</t>
  </si>
  <si>
    <t>virtud de las quales salió de aquí para Sweaoorg, en Finlandia. Durante su ausencia queda él Contra-Almirante Barón de Rayaiin con el mando de la esquadra. Un oficial de la fragata de guerra nombrada Freya escribe desde Gothembürgo diciendo: ,, Nuestra división , mandada por el Contra-Almirante Barón Cede</t>
  </si>
  <si>
    <t>Barón de Rocreusse, Gaspar</t>
  </si>
  <si>
    <t>Gaspar Barón de Rocreusse</t>
  </si>
  <si>
    <t>cente de Campos, D. Vicente Pallas, D. Manuel Herrero, D. Jóaquin Egaña, D. Alexandro Antonio Ojéá, D. Gaspar Barón de Rocreusse, D. Joseph María Lambí, D. Joseph Villaiba, Don Julián de Sequera, D. Joseph Graulle, D. Gerónimo Valladares, D. Rafael Cravallo, D. Guillermo Chicheri, D. Pedro Saenz, D. Angel d</t>
  </si>
  <si>
    <t>Barón de Triesendorf, General</t>
  </si>
  <si>
    <t>General Barón de Triesendorf</t>
  </si>
  <si>
    <t>4. Dividíanse en dos cuerpos mandados por el Teniente Coronel Conde de Wachtmeister, y por el mayor General Barón de Triesendorf. Siguen las tropas sus maniobras, y como el tiempo .es hermoso acude muchísima gente á presenciarlas. ;-!t 1 / v:. '■ - Por orden .Real se han establecido cuerpos de guardia en la</t>
  </si>
  <si>
    <t>Barón Saint-Ileiens, Lord</t>
  </si>
  <si>
    <t>Lord Barón Saint-Ileiens</t>
  </si>
  <si>
    <t>Senador, Chambelán &amp;c.; y S. M. el Rey del Reyno-Unido de la Gran Bretaña é Irlanda á Mr. Alleyne, Lord Barón Saint-Ileiens, Par de dicho Reyno-Unido, del Consejo privado de S, M., y su Embaxador extraordinario y plenipotenciario cerca de S. M. el Emperador de todas las Rusias: los quales en virtud de</t>
  </si>
  <si>
    <t>Barrachina, Joseph</t>
  </si>
  <si>
    <t>Joseph Barrachina</t>
  </si>
  <si>
    <t>ente al segundo de Carabineros D. Antonio Gonzale?: en el de Alcántara á segundo Teniente ü Alférez D. Joseph Barrachina: en el de Calatrava á Capitán ai Ayudante D. Joaquín de los Ríos, y á primer Teniente al segundo D. Rafael de Ortega : en el de Montesa á primeros Tenientes á los segundos D. Jose</t>
  </si>
  <si>
    <t>Barradas, Francisco</t>
  </si>
  <si>
    <t>Francisco Barradas</t>
  </si>
  <si>
    <t>D. Pedro de Nava.’ ' *•. ^ v r,„ • ■ ' 'T24 Máfiscdles de Campo los Brigddiér^sl^h JEs^fiai, 1 Jl * D. Francisco Barradas, D. Celedonio Fgüizábal* AoSÁatidb Látbüi ret, D. Ramón de San Martin, D. Santiago Lusarretá , D, Vicente rQasa' sola* D. Alonso VtlUfáñe, D. Cayetano Marimon * D. Jbseph Barón de</t>
  </si>
  <si>
    <t>Barragan, Fernando</t>
  </si>
  <si>
    <t>Fernando Barragan</t>
  </si>
  <si>
    <t>Lepn............... Fernando Barragan.............Santiago, Francisca Vivas. S.Pedro Duefias.León............ 23. 26. Id. Josef de Diego..................... Josef, María Perez........... . Gu</t>
  </si>
  <si>
    <t>Barraicua, Francisco</t>
  </si>
  <si>
    <t>Francisco Barraicua</t>
  </si>
  <si>
    <t>los seminaristas D. Joseph de Torres, eí Marques de Iranda, D. Martin Esterripa, D. Ramón Carrillo, D. Francisco Barraicua, D. Mariano Zapata, D. Ramón Zuloaga y D. Luis Duran. En sintaxis, baxo la dirección de su maestro Dw Rufino Espada, D. Joachín Fernandez de Medrano, D. Francisco Necocheay D. Agu</t>
  </si>
  <si>
    <t>Barraícua, Francisco</t>
  </si>
  <si>
    <t>Francisco Barraícua</t>
  </si>
  <si>
    <t>axo la dirección de su maestro D. Andrés de Beistegui, lo fueron.!). Luis D oran, D. Ramón Zuloaga, D. Francisco Barraícua, I). Ramón Carrillo, D. Mariano Zapata, D. Martin Esterripa, Cadete de R.eales Guardias Walonas, D. Joseph Torres, el Marques de "Iranda, D. .Joseph Catalan, Don Joseph Erquível,</t>
  </si>
  <si>
    <t>Barrantes, Domingo</t>
  </si>
  <si>
    <t>Domingo Barrantes</t>
  </si>
  <si>
    <t>e de Milicias , y á D. Eduardo Bravo, Subteniente de las mismas compañías; Tenientes al Subteniente D. Domingo Barrantes y á D. A gustin Córdoba, y Subtenientes á D, Blas Ruiz y D. Gregorio Celis de Saldaña. Por el juzgado del Sr. D. Manuel Perez de Rozas, caballero de la orden de* Carlos ni , del Con</t>
  </si>
  <si>
    <t>Barrantes, Fernando</t>
  </si>
  <si>
    <t>Fernando Barrantes</t>
  </si>
  <si>
    <t>e de granade-' ros; á Ayudante al Teniente D. Pedro López; á-Teniente de granaderos aj de fusileros D. Fernando Barrantes; á Tenientes dé fusileros al Subteniente de 1.a propia clase D. Pedro Manrique, al de granaderos D. Ignacio Asin , y D. Joseph Amador, Subteniente de fusileros; ¿ Subteniente de g</t>
  </si>
  <si>
    <t>Barreda, Tomás</t>
  </si>
  <si>
    <t>Tomás Barreda</t>
  </si>
  <si>
    <t>I04i Graduado D. Tomas Barreda. A Tenientes de Navfo los de Fragata D. Pedro de Anda,D. Vicente Bernabeu, D. Mariano Segovia, Don Francisco Colmenares y Lastiri, D. Joaquín Bilbao y Angosto, D. Rafael Asprer y</t>
  </si>
  <si>
    <t>Barréis, General</t>
  </si>
  <si>
    <t>General Barréis</t>
  </si>
  <si>
    <t>. E. previno inmediatamente todos los cargos, y dio nna satisfacción completa, quitando el mando al General Barréis, y desaprobando su conducta. Se hizo saber sin demora esta disposición al Comisario imperial Barón de Hugel, que estaba entonces en Munich, el qual no solo manifestó quedar entera</t>
  </si>
  <si>
    <t>Barrera y Amiot, Juan</t>
  </si>
  <si>
    <t>Juan Barrera y Amiot</t>
  </si>
  <si>
    <t>o Auvarede: y Perez, D. Diego del Castillo y Castro, D. Sebastian Rodríguez de: Arias y la; Puente, D. Juan Barrera y Amiot, D. Rafael de Quésada y Axango, P. Francisco Ponce de León y Morejon, D. Juan Navarro y Pinillos, D. Rafael del Castillo y Rada, D. Juan Muñoz y Abreu, D. Matías Arauco, D.. Anton</t>
  </si>
  <si>
    <t>Barrera, Domingo</t>
  </si>
  <si>
    <t>Domingo Barrera</t>
  </si>
  <si>
    <t>tecismo histórico de Fleuri. En música fuéron examinados de violín, baxo la dirección de su maestro D. Domingo Barrera, y el segundo D. Bartolomé Jáu«</t>
  </si>
  <si>
    <t>Barrera, Joseph</t>
  </si>
  <si>
    <t>Joseph Barrera</t>
  </si>
  <si>
    <t>....... Sor. 7. Id. Cabo 2.0 Joseph Barrera.... Manuel, Josefa López....... Linares......... Santiago.......... 901. 4. Id. Luis Amoroso....................... Josef, InesQuiotaniila....... Ceuta............</t>
  </si>
  <si>
    <t>Barrera, Juan</t>
  </si>
  <si>
    <t>Juan Barrera</t>
  </si>
  <si>
    <t>...... 510. 16. Id, Juan Barrera............ . Juan, Ana Morán.............. Valencia........León................ $22. 32. Id. Ramón Alvarez.................. Juan, Alfonsa Acevedo.... S. Fél</t>
  </si>
  <si>
    <t>Barrero, Domingo</t>
  </si>
  <si>
    <t>Domingo Barrero</t>
  </si>
  <si>
    <t>.. 350. 31. Muerto. Domingo Barrero............ Antonio, María Prieto........Barrasas..... León.............. 435. ag. Id. Cabo i.° Angel Ferradas... Antolin, Catalina González..............................</t>
  </si>
  <si>
    <t>Barreros, Santiago</t>
  </si>
  <si>
    <t>Santiago Barreros</t>
  </si>
  <si>
    <t>.... Z15. *3. Id. Santiago Barreros................. Santiago,María Rodríguez. Valdavia..... Carrion........ 94- 15. Id. Juan Sánchez...................... Marcelino, Ana López....... Fr</t>
  </si>
  <si>
    <t>Barreto, Francisco</t>
  </si>
  <si>
    <t>Francisco Barreto</t>
  </si>
  <si>
    <t>do de la propia administración á I). Mariano Salazar: para el de Guarda mayor de rentas de Cuenca á D. Francisco Barreto : para el de Oficial segundo de la administración de tabacos de Cartagena de Indias á d. j uan Antonio Rada : para la plaza de Tercenista de la administración principal de aguardi</t>
  </si>
  <si>
    <t>Barreyro, Francisco</t>
  </si>
  <si>
    <t>Francisco Barreyro</t>
  </si>
  <si>
    <t>300. 26 Muerto. Francisco Barreyro............. Antonio, Ana Sostelo......... Moreyra....... Tuy.................. 37. 3. Licenciado. Esteban Bermejo............. Antonio , Fran</t>
  </si>
  <si>
    <t>Barreyro, Gregorio</t>
  </si>
  <si>
    <t>Gregorio Barreyro</t>
  </si>
  <si>
    <t>....... 108. 5. Id. Gregorio Barreyro.............. Josef, Antonia Codesido... S. Pedro Corderos.......... Santiago......... ■ 114. 8. Id. Antonio Ferreyro............. Josef, María Cortes........... Rebollar..</t>
  </si>
  <si>
    <t>Barreyro, Juan Antonio</t>
  </si>
  <si>
    <t>Juan Antonio Barreyro</t>
  </si>
  <si>
    <t>o se perdió un vale Real de 300 pesos, creación de i.° de Mayo, núm. 425,415, renovado en cabeza de D. Juan Antonio Barreyro, vecino dé esta corte. Quien le haya hallado le entregará en la tienda de los; Sres. Perez, hermanos, puerta del Sol, casa de la Inclusa. &gt; El a5 de Febrero último se remitiéron d</t>
  </si>
  <si>
    <t>Barreyro, Matías</t>
  </si>
  <si>
    <t>Matías Barreyro</t>
  </si>
  <si>
    <t>odio.... us&gt; 6. Id. Matías Barreyro.............. Vicente, Vicenta Cancela.. Sta. María de Gondar..,. M</t>
  </si>
  <si>
    <t>Barreyro, Pedro</t>
  </si>
  <si>
    <t>Pedro Barreyro</t>
  </si>
  <si>
    <t>ón de la colegial de Bayona, diócesis de Tuy, vacante por fallecimiento de Don Casimiro ligarte,, á D. Pedro Barreyro, Cura de la misma colegial: para el Beneficio de la villa de la Rambla ^ en la diócesis-de Córdoba, que obtenía D. Francisco de Armenta, y resulta vacante por haber pasado á Racio</t>
  </si>
  <si>
    <t>Barrí y Ximénei, Juan</t>
  </si>
  <si>
    <t>Juan Barrí y Ximénei</t>
  </si>
  <si>
    <t>Llave y Coca , D. Domingode Miranda, D. Manuel de. Vill¿n» y 'HorHer^ I3DIgnacio Yusti vjS Urrutia, D. Juan Barrí y Ximénei , Di Mariano Mezcolta yBarbacftanóyDdh Alonso de Riva Valdés Coalla, B. .Pedro Montuebftodrigtíez &gt; D; Silvestre Madrazo y Escalera, D.« Pedro PortilloQ«y ‘"Vela^co^{ DllJoseph’de</t>
  </si>
  <si>
    <t>Barrientos, Manuel</t>
  </si>
  <si>
    <t>Manuel Barrientos</t>
  </si>
  <si>
    <t>las dél Castillo, D. Gines López del Castillo, D. Mariano de Lara,Dori' Manuel Fernandez Cortacero, D. Manuel Barrientos, D. Nicolás Povil, D, Juan de Robles, D, Rafael Seáis, D. Joseph Sotolongo, D. Juan Cirera, D. Joseph de la Cuesta, D. Francisco Quesada, D. Joseph Domeneo ,;D. Joaquín de Rayas?,</t>
  </si>
  <si>
    <t>Barrington, Lord</t>
  </si>
  <si>
    <t>Lord Barrington</t>
  </si>
  <si>
    <t>á las reformas mandadas hacer en la marina. Durante su viage asistió á una fiesta muy lucida que el Lord Barrington dio en su casa de campo al ciud. Jansen, Gobernador holandés del Cabo dé Buená-Esperahza, el qual yendo de Holanda á su destino tuvo que entrar de arribada en Plimouth. El i.° de</t>
  </si>
  <si>
    <t>Barroeta, Pedro</t>
  </si>
  <si>
    <t>Pedro Barroeta</t>
  </si>
  <si>
    <t>se ha librado del inñuxo de las barras magnetizadas. Espinosa de los Monteros 3 de Julio. E 1 Lie. D. Pedro Barroeta, Médico titular de está villa, halló á su iiegada á ella, á principios de Diciembre del año último, una epidemia de viruelas confluentes acompañadas de síntomas pútrido-nerviosos,</t>
  </si>
  <si>
    <t>Barruchi y Ore, Alexandro</t>
  </si>
  <si>
    <t>Alexandro Barruchi y Ore</t>
  </si>
  <si>
    <t>Préstamo del lugar de Narros, el de Torlengua y el de Recuenda, los tres en la diócesis de Osma, á D. Alexandro Barruchi y Ore ; y para una Capellanía titular del Real convento de la Encarnación de esta corte, vacante por fallecimiento de D. Joaquín Ambroz, músico en la cuerda de tenor, á D. Chrístóbal Xi</t>
  </si>
  <si>
    <t>Barruchi, Manuel</t>
  </si>
  <si>
    <t>Manuel Barruchi</t>
  </si>
  <si>
    <t>o Piedrola y Verdugo, D. Luis Cris y Sansón, D. Francisco Mendinueta, D. Joseph Orozco, y Herrera , D. Manuel Barruchi, D.Francisco Lafita, D.:Francisco Benitez y Antunez, Don Joaquín Gómez García, D.Pablo de la Puerta, D. Joseph Ruiz'Huidobrq, Di Francisco Sotómaycr, D. Matías- Bayoti; y Rayón, D</t>
  </si>
  <si>
    <t>Bártelf, General</t>
  </si>
  <si>
    <t>General Bártelf</t>
  </si>
  <si>
    <t>a ciudad y todo el Obispacíb Estaban dés-5 tinados para resarcimiento del Archiduque Gran Duque. El General Bártelf tuvo que suspeuder su marcha, y acantonó sus tropas en un pueblo de i* frontera llamadaS. ^ücolas;&gt; De resultas se han pasado avisos muy serios los Ministros bivaror y?el Enviado</t>
  </si>
  <si>
    <t>Bartels, General</t>
  </si>
  <si>
    <t>General Bartels</t>
  </si>
  <si>
    <t>tropas bávaras y austfiacás apostadas en las orillas del Inri; Quando lasprimeras, mandadas por el General Bartels, quisiéron tomar posesión de la ciudad y parte del Obispado de Passau, se opuso él General austríaco á que pasasen por dos q tres lugares de Ja provincia austríaca del InnvieiteLp</t>
  </si>
  <si>
    <t>Bártelsr, General</t>
  </si>
  <si>
    <t>General Bártelsr</t>
  </si>
  <si>
    <t>us respectivas tropas. El lüector no ha querido ratificar el convenio concluido sin facultad por el General Bártelsr con los Generales austríacos, según el qual ninguna de las dos partes contratantes debía ocupar per ahora el obispado de Passau ; pero tos austríacos han enviado guarnición á la f</t>
  </si>
  <si>
    <t>Bartheleiní</t>
  </si>
  <si>
    <t>s para perpetuar la memoria de este suceso famoso.” ? ^ Acabado el discurso, el ciud. Bartheleiní leyó un senado- consulto y cuya substancia es: - .-ió hitf i El ¿Senado conservador, después de oído el informe de su comisión particular encargada de verifica</t>
  </si>
  <si>
    <t>Barthez</t>
  </si>
  <si>
    <t>tockolmo 6~ de Abril. D esde Montpeller escribe el Duque de Ostrogocia, tío segundo del Rey, que el Dr. Barthez se ha encargado y ha hecho empeño de restablecer su deteriorada salud; pero parece que aquel tacultativo y los demas que le asisten, exigen de su parte mas docilidad y obediencia</t>
  </si>
  <si>
    <t>Bartolomé Tomás</t>
  </si>
  <si>
    <t>60. 29. Id. Bartolomé Tomas........... . Fernando, Lucía Marta.... Bacabalda... León............ 90. 3. Id. Manuel Cardaba............. Bartolomé, Baltasara Esteban..</t>
  </si>
  <si>
    <t>BartolomóíMo</t>
  </si>
  <si>
    <t>rados- JDÚ Joseplií V’illena y Porlier fDc&gt;Pedro AfecaTale y Sano , Don Bartolomé Rosso y González, D. BartolomóíMo^qinecholy Martinez^ Don Hilarlo Artacho y Torre, EL^Jdftn FranciscalBerininghan^ D- Juan Odohérti y Broun, D- Andrés Mioño y.Quevedoy DvRaihoii Bardo Hefeon, f&gt;. Alexandro Beyens</t>
  </si>
  <si>
    <t>Bas</t>
  </si>
  <si>
    <t>or, D. Joseph Anillo, D. Mauricio Alva-, rez, D, Manuel Hinojosa, D. Joaquín Luyando, D. Juan Bosa, D. Bas^ cual Martinez, D. Juan Menendez,' D. Baltasar García Galio, D. Francisco Perea, D. Francisco Malpica y D. Alexandro Rivacoba. JSn América. El Rey se ha servido nombrar para el De</t>
  </si>
  <si>
    <t>Basabru, Miguel</t>
  </si>
  <si>
    <t>Miguel Basabru</t>
  </si>
  <si>
    <t>ñaca y Arechaga, D. Justo Arison yRooaud, D. Pedro Iriarte y Zerezera, D. Joseph Sáavedra y Chaves, D. Miguel Basabru, £&gt;. Ramón Pardo y Lama, D. Francisco Ruiz de la Escalera, D. Juan Venéro y Senli, D. Francisco Lasqueti y Lasqueti, DI Joseph de Castró y Navarro, D. Ramón Saavedra y Guiralde, D</t>
  </si>
  <si>
    <t>Basañes, Bartolomé</t>
  </si>
  <si>
    <t>Bartolomé Basañes</t>
  </si>
  <si>
    <t>ray. Ceuta................ Ccuts**•••&gt;*• 3715. 30. Murió haliándose prisionero en Francia. Capellán D. Bartolomé Basañes............................ . Era natural de la. Rioja. a66. 14. Murió en la ciudad de León. Vígo i.° de Octubre de i8o2.=Martin de Lázaro.=V.B. Ramón de Idarga. EN LA IMPRENTA RE</t>
  </si>
  <si>
    <t>Bascon, Juan</t>
  </si>
  <si>
    <t>Juan Bascon</t>
  </si>
  <si>
    <t>a^ía, D. Fernando Sandoval, D. Francisco dé Yeste , D. Lorenzo Villavicencio, D. Agustín Rodríguez, D. Juan Bascon , D. Peclro Celés'tino Calvo, D. Henrique Texerizo, D. Benito Tolra Lafita , D. Serafín Alonso, D. Rafael Nestares, D. Joaquín Ruiz, D. Miguel Aguirre, Don JuanNuñez , D. Juan Nav</t>
  </si>
  <si>
    <t>Basilva, Bernardo</t>
  </si>
  <si>
    <t>Bernardo Basilva</t>
  </si>
  <si>
    <t>91. 16. Id. Bernardo Basilva................ Alexo, Pascuala Mendez.. Sta. María... Santiago....... 113. 8. Id. Josef González............. Manuel, Isabel Rodríguez. Lamas............. S. Clodio.... us&gt;</t>
  </si>
  <si>
    <t>Basincourt, Luis</t>
  </si>
  <si>
    <t>Luis Basincourt</t>
  </si>
  <si>
    <t>tería de Navarra D. Juan Antonio López: en el de Ñapóles á Capitán al primer Teniente de granaderos D. Luis Basincourt: en el de suizos de Yann á Subteniente al Cadete D. Bautista Tobias; y en el de Betschart á Subteniente ai Sargento primero D. Juan Brugg. En el Real cuerpo de Artillería se ha se</t>
  </si>
  <si>
    <t>Bassi</t>
  </si>
  <si>
    <t>otros colegios 6. Reunida luego en Cremona la Censura, eligió por Presidente al ciud. Bassi, y por Secretarios los ciudadanos Lamberti y Bovara. Procedió después á nombrar para los destinos y empleos según las listas presentadas por los tres colegios</t>
  </si>
  <si>
    <t>Bastero, Juan</t>
  </si>
  <si>
    <t>Juan Bastero</t>
  </si>
  <si>
    <t>undado baxo la invocación de Sta. Anastasia, en la catedral de Gerona, vacante por fallecimiento de D. Juan Bastero, á D. Joseph Canet y Sostros: para otro llamado Doma de la parroquia de Pariava, en la misma diócesis de Gerona, vacante por muerte de D. Jayme Frígola, á D. Francisco Carbó y Fel</t>
  </si>
  <si>
    <t>Basurto y Vargafc, Joseph</t>
  </si>
  <si>
    <t>Joseph Basurto y Vargafc</t>
  </si>
  <si>
    <t>sy ^H. Pedról^ííartinéa: del Coíro, D.Mamfel de la Ij^esiA'Dkfr5cqnDUJaafe'Sólfo y X]menez ZÍ¿rita, D. Joseph Basurto y Vargafc, 1&gt;; ;Bo^itó\Gorir«k .y HeAíique*, ’Dóíi Francisco- Correa y Henriquez, D. Jós^ph Jalón y Bañuéió$y D. Migtíel Merlos y Basabilbaso, D Joseph Camaño y Homero, D. Benito^©átísoain^</t>
  </si>
  <si>
    <t>Bathasaroni, Conde</t>
  </si>
  <si>
    <t>Conde Bathasaroni</t>
  </si>
  <si>
    <t>pueda. Ha ido de aquí á Ofen el Archiduque Cárlos Palatino de Hungría. S. M. Imperial ha enviado el Conde Bathasaroni á Treviso , con encargo , según dicen, de persuadir en su nombre ai Duque de Alódena á que tome posesión del Brtsgaw. La Reyna de Ñapóles ha recibido un correo de Petersburgo, y a</t>
  </si>
  <si>
    <t>Bathiani, Conde</t>
  </si>
  <si>
    <t>Conde Bathiani</t>
  </si>
  <si>
    <t>es de caminos. Hasta ahora nada ha resuelto sobre ello S. M. Imperial. El director de las minas del Conde Bathiani, en el Condado de Esemburgo en Hungría, ha descubierto una piedra desconocida hasta ahora: le ha dado el nombre de ágata serpentina , y según dice puede servir y emplearse en joya</t>
  </si>
  <si>
    <t>Batteux</t>
  </si>
  <si>
    <t>to del primer tomo de la obra Principios de literatura ó curso razonado de bellas letras y artes de Mr. Batteux; noticia y juicio critico de las comedias Ja Sofía y la Licencia : resumen de la población de España; libros extran— geros: noticia de una máquina para preservarse de los peligros</t>
  </si>
  <si>
    <t>de la literatura , ó curso ráxonadó dé bellas, letras y be— Has artes ¡ obra escrita en francés por Mr. Batteux, dé la academia francesa j tro</t>
  </si>
  <si>
    <t>Battincourt, General</t>
  </si>
  <si>
    <t>General Battincourt</t>
  </si>
  <si>
    <t>nias : tocará en la Guadalupe, en donde dexará ai General Seriziat, que reemplaza en aquel mando al General Battincourt; y de allí seguirá á Santo Domingo para incorporarse con la esquadra grande, de la qual es parte , y por esto lleva á bordo muchos empleados de la expedición. Ha llegado á Paris e</t>
  </si>
  <si>
    <t>Bauché</t>
  </si>
  <si>
    <t>nes sobre la navegación á las Indias orientales por el norte de la Europa , escritas la primera por Mr. Bauché , de la academia de ciencias de Paris, y la segunda por el Capitán de fragata de la Real armada D. Ciriaco de Cevallos. Se hallarán á 10 rs. en la librería de Aguilera, calle de A</t>
  </si>
  <si>
    <t>Baudin, Capitán</t>
  </si>
  <si>
    <t>Capitán Baudin</t>
  </si>
  <si>
    <t>tir á la junta del Imperio, y al examen del plan definitivo de las secularizaciones. Se sabe que el Capitán Baudin, xefe de la expedición científica al rededor del mundo , salió el 23 de Abril de la Isla de Francia para la Nueva Holanda. Algunos dibuxantes de los que iban empleados en la exped</t>
  </si>
  <si>
    <t>sociedadde los observado* fes del hombre, recibió el i.° de Diciembre noticias de la expedición del Capitán Baudin. El 19 de Maj o llegó al puerto jackson el navio el Naturalista , mandado por el Capitán Hamelin. Se habia separado del Geógrafo por los malos temporales; y estaba resuelto el Cap</t>
  </si>
  <si>
    <t>Bausa y Móre, Vicente</t>
  </si>
  <si>
    <t>Vicente Bausa y Móre</t>
  </si>
  <si>
    <t>rrete, D, Francisco Idí aquez y Castro,D. ^eb^stiañ Elisa y Revenga, D. Bartolomé Márquez Pacnecq &gt; D. Vicente Bausa y Móre^ no j '.P* 'riancUcn.'’Faay.edrá'Vopez?“j p.' &lt;IerohimórR.fpgel y, Qqlarte, pon Miguej;ViíP&gt; fi ft/Pi e¿p P^nes.'yXaiite’i P^rancflscp llon» p,, J^a.¿,iperita: y Ána?ya, D. Manuei</t>
  </si>
  <si>
    <t>Bavtbelemí Lesseps, Juan Bautista</t>
  </si>
  <si>
    <t>Juan Bautista Bavtbelemí Lesseps</t>
  </si>
  <si>
    <t>as mismas facultades-y poderes que tienen los dé Marsella, León y Burdeos; y el ciud. Juan Bautista Bavtbelemí Lesseps va decComisario general de relaciones de comercio á Petersburgo. . &gt; . 7^ Extracto de la carta del Almirante Vil!aret al Ministro de la Marina y de las Colonia</t>
  </si>
  <si>
    <t>Báxá, Capitán</t>
  </si>
  <si>
    <t>Capitán Báxá</t>
  </si>
  <si>
    <t>2 de marzo de 1802</t>
  </si>
  <si>
    <t>ARTES i DE MARZO DE 1802. r\-i f . r ; 'U R . Gonstantfnopl# de Enero, a nombrado el Gran Señor ,al Capitán Báxá para Comandante general del exército turco que: ha de obrar contraBaswan-Qglowy contra los rebeldes, de Belgrado. Las; negociaciones que por medio del Hospodar de Valaquia se habí</t>
  </si>
  <si>
    <t>Baxár, Capitán</t>
  </si>
  <si>
    <t>Capitán Baxár</t>
  </si>
  <si>
    <t>ece,que este General tomó baxo su protección dos Beyes fugitivos, que estaban presos-,ppr orden del Capitán Baxár y ademas pidió se pudesen en libertad otros 8 Beyes, á quienes el Gran Visir tenia presos en el Cayro'en castigo de que- no -obedecían á la Sublime Puerta (deseosa de librar al Egip</t>
  </si>
  <si>
    <t>Baxu, Capitán</t>
  </si>
  <si>
    <t>Capitán Baxu</t>
  </si>
  <si>
    <t>o á la Puerta un mili &gt;n de piastras, que exigió para pagar los sueldos atrasados dé sus tropas. El Capitán Baxu le propuso una conferenciapero rió la admitió Osriián acordándose de que el Gran Almi ante mató dé un pistoletazo hace 4 años á otro Baxá á quien había convidado á comer. Finalmen</t>
  </si>
  <si>
    <t>Bayeu, Francisco</t>
  </si>
  <si>
    <t>Francisco Bayeu</t>
  </si>
  <si>
    <t>s obras. Estampa de la caida de los gigantes pintada al fresco en el Real palacio de esta corte por D. Francisco Bayeu, pintor de Cámara de S. M. y de su Real academia, grabada á expensas de D. Baltasar de la Puente por D. Manuel Salvador Carmona, siendo pensionista de S. M., de su Real academia y</t>
  </si>
  <si>
    <t>Baylin, Pedro</t>
  </si>
  <si>
    <t>Pedro Baylin</t>
  </si>
  <si>
    <t>. Juan de Dios Alvarez Ordoño, D. Gabriel Mendizabal, D. Ignacio Martinez Vallejo, D. Matías Piriz, D. Pedro Baylin, D. Bartolomé de Castro, D. Santiago Puig, Don Francisco Cortabarria, D. Antonio Maestre, D. Fernando Manuel de Villena, el Vizconde de Zolina, D. Juan Maduit, D. Juan O-Donojú y</t>
  </si>
  <si>
    <t>Bayllo, Tomás</t>
  </si>
  <si>
    <t>Tomás Bayllo</t>
  </si>
  <si>
    <t>oca... 181, 31. Id. Tomas Bayllo.......... Manuel, Luisa Fernandez. Reynosa..... Búrgos........... 22.. 24. Id. Manuel Rodríguez.. Manuel</t>
  </si>
  <si>
    <t>Bayon, Vicente</t>
  </si>
  <si>
    <t>Vicente Bayon</t>
  </si>
  <si>
    <t>s Españolas se lia servido promover el Rey á Teniente de cazadores al segundo Teniente de fusileros Don Vicente Bayon. ' , - En el Real cuerpo de Artillería se ha servido el Rey promover á Te-* ñiente Coronel al Xefe de Brigada D. Alfonso de Fütundarena: á-Xefe^de Brigada al Capitán primero D. Jo</t>
  </si>
  <si>
    <t>Baz, Alexo</t>
  </si>
  <si>
    <t>Alexo Baz</t>
  </si>
  <si>
    <t>. 314. 4. Lugo. Cabo r.° Alexo Baz............ Josef, Francisca Tejeda... Fermoselle... Zamora.......... 1267. 27. Id. Francisco Mendoza........ . Josef, Martina García....... La Vera de... Plasencia.......</t>
  </si>
  <si>
    <t>Bazan y Villaroel, Joseph</t>
  </si>
  <si>
    <t>Joseph Bazan y Villaroel</t>
  </si>
  <si>
    <t>oroa y Soroa , D. Fernando Bustamante y Bustamante, D. Adrián Morqúecho, D. Mateo Vicente y Crespo, Don Joseph Bazan y Villaroel, D. Juan Septien y Salinas , D. Domingo^ Pavía y Seix, D. Bartolomé Arguelles y Valdes, D. Femando Becerra .y Solis, D. Rafael Bobadilla y Pery, D. Joseph Mendivil y Castañeda, Do</t>
  </si>
  <si>
    <t>Beatriz María, Princesa</t>
  </si>
  <si>
    <t>Princesa Beatriz María</t>
  </si>
  <si>
    <t>de Cerdeña Víctor Manuel con la Reyna su esposa María Teresa, Archiduquesa de Austria, y su hija la Princesa Beatriz María. Se apearon SS. MM. en el palacio de Bolognetti, en donde se hallaba alojado desde el dia ántes su hermano y antecesor: descansaron un rato, y pasaron al palacio Quirinal á ver al</t>
  </si>
  <si>
    <t>Beaumont</t>
  </si>
  <si>
    <t>16 de abril de 1802</t>
  </si>
  <si>
    <t>os regalos igualmente ricos al General Broussier, Comandante de la plaza , y al ciud. Beaumont, Ayudante del General en xefe. Genova _p de Marzo. C así al mismo tiempo que se conducía á Roma el cadáver de Pió vi se sacaba de aquella ciudad el del Cardena</t>
  </si>
  <si>
    <t>Beaussier</t>
  </si>
  <si>
    <t>dos de todas las plagas de la guerra civil.” ... r., • . j ••-m-. ¡ :r: .■ . El ciud. Beaussier, Encargado de Negocios y . Comisario general de la República en Trípoliydé Berbé/ía* d^dondede obligaron á salir las circunstancias de la guerra, acaba de lleg</t>
  </si>
  <si>
    <t>¿ Francia el ciud. Constantin con la respuesta del Baza ¿ las credenciales del ciud. Beaussier*; / , r Se está trabajando ya con el may or .empeñoen la grande obra sobre la descripción-dei Egipto que el gobierno ha encargado a los individuos de la juntar</t>
  </si>
  <si>
    <t>Beautort, Felipe</t>
  </si>
  <si>
    <t>Felipe Beautort</t>
  </si>
  <si>
    <t>A Tenientes Generales los Mariscales de Campo: en España* D. Francisco de Córdoba, D. Carlos Mori, D. Felipe Beautort, D. Salvador Perillos, D. Melchor Calatayud, D. Manuel Lapeña, D. Joseph Bureau, D. Juan Carrafa, el Marques de la Solana, D. Arturo O-Neille, Duque de San Carlos, D. Francisco Xa</t>
  </si>
  <si>
    <t>Beccas, Dionisio</t>
  </si>
  <si>
    <t>Dionisio Beccas</t>
  </si>
  <si>
    <t>os Tenientes: en España, D. Manuel Chaperon y D. Leoncio Carrasco. Agrado de Teniente los Alféreces D. Dionisio Beccas y D. Miguel Sobrevilla. También se ha servido S. M. conceder honores de Consejero del Supremo de Guerra al Intendente de este exército y Principado D. Blas de Aranza,y al del exército</t>
  </si>
  <si>
    <t>Becerra, Juan</t>
  </si>
  <si>
    <t>Juan Becerra</t>
  </si>
  <si>
    <t>Villaranda y Francia: para el de Peñalba, Dignidad de la catedral de Astorga, vacante por muerte de D. Juan Becerra, á D. Juan Francisco de Avendaño ; para la Canongía de la metropolitana de Búrgos, vacante por fallecimiento de D. Antonio de Granada, á D. Martin Leonardo de la Barga: para la de</t>
  </si>
  <si>
    <t>Becerril, Mateo</t>
  </si>
  <si>
    <t>Mateo Becerril</t>
  </si>
  <si>
    <t>go..... 33. ai. Id. Mateo Becerril................. Andrés , Manuela Martin.. Granja del Moral........... 74. 18. Id. Pascual Oteyro.................... Francisco</t>
  </si>
  <si>
    <t>Bechet</t>
  </si>
  <si>
    <t>de haberse disuelto dicha asamblea. En su carta le decía: ,, En vista de la intimación que nos hizo Mr. Bechet, Ayudante del General Ney, de que respondiésemos categóricamente si ^ Dieta quería ó no ébedééer ú las condiciones del manifiesto del primer Có.nsul, avisa él: Presidente w ella £</t>
  </si>
  <si>
    <t>Beer-Isaac-Beer</t>
  </si>
  <si>
    <t>nombraron diputados que cumplimentasen á Mr. Osmond, nuevo Obispo de Nancí. El ciud. Beer-Isaac-Beer, individuo de este consejo municipal, fue el que hizo la arenga en nombre de sus compañeros. El Prelado respondió con el decoro y caridad propia de un ministro</t>
  </si>
  <si>
    <t>BeHispmiy, Cardenal</t>
  </si>
  <si>
    <t>Cardenal BeHispmiy</t>
  </si>
  <si>
    <t>c* : : órJtfilan 24 d% Mayo. E 1; colegio&gt;de los iE&gt;actPSíabrjQ.sui.se,sion baxo la presidencia del Cardenal BeHispmiy' luego ;eligió por Presidente af ciud.:Lamberti, y por Secretajrips ájik&gt;S;íPÍudadan.Qí i^triJgeUiiy^Lania&amp;sia ;¡ y el ;de los Comerciantes por .Presidente al^iud-.:Bogara, ¡y por</t>
  </si>
  <si>
    <t>Beilair, Coronel</t>
  </si>
  <si>
    <t>Coronel Beilair</t>
  </si>
  <si>
    <t>aquí para París el General Beurnonville, Ministro plenipotenciario de la República francesa, con el Coronel Beilair y el Secretario Rossely. Hasta la vuelta de este Ministro ó la llegada de otro queda el Secretario de embaxada Bignon encargado dei despacho de los negocios de Francia. Mr. Paulo Hess</t>
  </si>
  <si>
    <t>Beileville</t>
  </si>
  <si>
    <t>ha nombrado Capitán General de la isla-de la Martinica y sus dependencias: y el ciud. Beileville, que era Comisario general de Relaciones mercantiles en Liorna, servirá el mismo empleo en la corte de Madrid. El instituto de París propone entre otros asunto</t>
  </si>
  <si>
    <t>BeIlito Gomez Romero</t>
  </si>
  <si>
    <t>Thompson J traducido en ver$0 castellano y dedicado' S. A. R. el Príncipe de Astúrias Ntro. Sr. por D. BeIlito Gomez Romero, presbítero. Se hallará en casa de Carsl, calle de la Paz, número 2., en ]a librería de Escribano, caUe de las Carretas, y en la de Ranz, calle de la Cruz; en Cádiz en Ja de P~áre</t>
  </si>
  <si>
    <t>Beiztegui, Andrés</t>
  </si>
  <si>
    <t>Andrés Beiztegui</t>
  </si>
  <si>
    <t>. Luis Verganza y D. Zeferino Carrillo. En rudimentos.de latinidad, baxo la dirección de su maestro D. Andrés Beiztegui, los seminaristas D. Joseph de Torres, eí Marques de Iranda, D. Martin Esterripa, D. Ramón Carrillo, D. Francisco Barraicua, D. Mariano Zapata, D. Ramón Zuloaga y D. Luis Duran. E</t>
  </si>
  <si>
    <t>Bejar, Pedro</t>
  </si>
  <si>
    <t>Pedro Bejar</t>
  </si>
  <si>
    <t>lid... 102. 14. Id. Pedro Bejar........ Plasencia.... neo. Presidio. a de Fusileros.</t>
  </si>
  <si>
    <t>Belarmino, Cardenal</t>
  </si>
  <si>
    <t>Cardenal Belarmino</t>
  </si>
  <si>
    <t>lemente viii compuso para los niños y adultos no instruidos en los misterios de nuestra religión el Cardenal Belarmino : aprobada en su original italiano por seis sumos Pontífices, y por el Concilio romano que presidió Benedicto xm : traducción hecha con acuerdo del Emo. Sr. Cardenal de Lorenzana</t>
  </si>
  <si>
    <t>Beleda, Agustín</t>
  </si>
  <si>
    <t>Agustín Beleda</t>
  </si>
  <si>
    <t>....... 202. 6. Id. Agustín Beleda............ Pedro, Teresa Rodríguez.. Mosejos........Mosejos............ 200. 15. Id.</t>
  </si>
  <si>
    <t>Belgrave, Lord</t>
  </si>
  <si>
    <t>Lord Belgrave</t>
  </si>
  <si>
    <t>e que se den gracias á S. M. por haber separado de su Consejo á Mr. Pitt. Ai dia siguiente avisó el Lord Belgrave que el mismo dia en que Mr. Nichols haga su proposición hará él la de que se den gracias á Mr. Pitt por su acierto en el ministerio. Ha hecho el Rey una numerosa promoción en la m</t>
  </si>
  <si>
    <t>discurso pidió se diesen, gracias á S.M. por haber excluido de su Consejo á dicho Ministro.—Tomó el Lord Belgrave la palabra, é hizo un dilatado elogio de Mr.Pitt y de todos los Ministros de su tiempo; y observó que habiendo hechp dex2cion de su empleo , no pue* de decirse que el Rey le excluyó</t>
  </si>
  <si>
    <t>Bell, Jorge</t>
  </si>
  <si>
    <t>Jorge Bell</t>
  </si>
  <si>
    <t>suerte* Hallábase ya el transporte á lá vela: le hicieron señal para que volviese al fondeadero; y Mr. Jorge Bell, que era el primero de la lista fatal, tuvo orden de desembarcar ¿ ir al hospital. Al fin , viendo sus Inspectores Mrs« Buckan y Pnce esta mortandad de médicos y cirujanos, tomaro</t>
  </si>
  <si>
    <t>Bellegatdé, General</t>
  </si>
  <si>
    <t>General Bellegatdé</t>
  </si>
  <si>
    <t>üñta de 12 personas, que se corresponden cjon diéhos diputados. • - • ' 1 Hállase en esta ciudad el General Bellegatdé1, Comandante en xefe de lás trópais^iíhpéfíálés^eri'Italia^Tas quales son ya en muy corto número, pifes has'más 'éstaft^ri* ¿árcha para restituirse a Áléiñania. Los varios répúest</t>
  </si>
  <si>
    <t>Belliard, General</t>
  </si>
  <si>
    <t>General Belliard</t>
  </si>
  <si>
    <t>vuelta los transportes que han llevado á Francia las tropas del General Belliard, para embarcar en ellos al General Menoiij-y los 45-00 hombres del cuerpo de su mando, de los quáles ¡a mayor parte están enfermo? ó heridos. Al mismo tiempo saldrá de allí el exé</t>
  </si>
  <si>
    <t>239 El General Belliard, que quedó mandando en el Cayro quando salló de allí el General Menou para Alexandría, llegó el 2 de este mes al puerto de Sables en el departamento del Vendée, en donde visitó á</t>
  </si>
  <si>
    <t>Bellisomi, Cardenal</t>
  </si>
  <si>
    <t>Cardenal Bellisomi</t>
  </si>
  <si>
    <t>s hicieron rumbo á Sto. Domingo. A León 14 de Enero. -tientes de ayer comió con el primer Cónsul el Cardenal Bellisomi, Enviado del Papa en la Consulta; el qual como Obispo de Cesena es también lino de ios diputados de la misma Consulta. París J8 de En ero. E 1 General de bridada Silly ha escrito</t>
  </si>
  <si>
    <t>Bellísomi, Cardenal</t>
  </si>
  <si>
    <t>Cardenal Bellísomi</t>
  </si>
  <si>
    <t>se admiten extrangeros. Se ha creado una juma eclesiástica compuesta den vocales presididos por el Cardenal Bellísomi: y otra de 9 diputados notables. El Ministro Marescalchi introduxo el dia 12 á la audiencia del primer Cónsul los individuos de la Consulta, los quales fueron entrando formados y</t>
  </si>
  <si>
    <t>l primer Cónsul antes de salir de León envió por el Prefecto, de palacio una caxa con su retrato ai Cardenal Bellisomi, destinado por el Papa para asistir al congreso celebrado en esta ciudad. Se ha acuñado aquí una medalla que por una parte representa al primer Cónsul, con estas palabras: Leges m</t>
  </si>
  <si>
    <t>una fragata y un cúter franceses, en los quales han venido varios diputados cisalpinos, incluso el Cardenal Bellisomi y algunos prelados. Turin 27 de Febrero. H o y sale de aquí para Alexandría , Verceil , Piñerol y Savigliano el General Canclaux , Inspector general de caballería ; y en breve saldr</t>
  </si>
  <si>
    <t>Beltran, Joseph Joaquín</t>
  </si>
  <si>
    <t>Joseph Joaquín Beltran</t>
  </si>
  <si>
    <t>668 santa iglesia dé Gomayagtta, vacante por muerte de D. Joseph Benito de Cáceres, al Arcediano D. Joseph Joaquín Beltran: para el Arcedianato al Chantre D. Pedro Albino Mexía: para la Chantría ai Maestrescuela Don Francisco Xavier López: para la Dignidad que este dexa á D. Joseph María San Martin, T</t>
  </si>
  <si>
    <t>Benay, Capitán</t>
  </si>
  <si>
    <t>Capitán Benay</t>
  </si>
  <si>
    <t>itánico la evacuación y entrega del Cabo de Buena Esperanza al ciud. Muller para la parte civil, ai Capitán Benay para la militar, y al ciud. Diebetz para quanto tiene relación con los hospitales. Estos 3 comisionados se embarcarán á fines de esta semana para su destino en el bergantín el Ave</t>
  </si>
  <si>
    <t>Bencomo, Santiago</t>
  </si>
  <si>
    <t>Santiago Bencomo</t>
  </si>
  <si>
    <t>aquel obispado; para una Canong'a de la misma catedral, vacante por muerte;de D. Domingo Verdugo,:á D. Santiago Bencomo; y para otra de la colegial de V alpue ta, en ¿a diócesi&gt; de: Burgos, vacante por fallecimiento de IX Juan Bautista de Alegría, á Don Santiago Izar de la Fuente, Canónigo Magistra</t>
  </si>
  <si>
    <t>Benedicto y Burillo, Tomás</t>
  </si>
  <si>
    <t>Tomás Benedicto y Burillo</t>
  </si>
  <si>
    <t>Padre Isla á D. B1 as Castro de Gistau, D. Joseph Marín y Andreu, D. Fernando y D, Bartolomé Naval, D. Tomas Benedicto y Burillo, D. Manuel Colera y D. Juan Antonio Sancho. Este pronunció un discurso ensalzando la utilidad de la buena educación, y excitando á que se promueva. Valencia 6 de Febrero. L a Real</t>
  </si>
  <si>
    <t>Benezech</t>
  </si>
  <si>
    <t>ausan algunos daños en el Cabo, mas por fortuna no son generales en la isla. El ciud. Benezech ha muerto. Os encargo miréis por su familia &amp;c." _ ... ¿. ‘ Otra carta particular de Sto. Domingo añade que la prisión de Santos Louverture y su partida para F</t>
  </si>
  <si>
    <t>Benisia, Manuel</t>
  </si>
  <si>
    <t>Manuel Benisia</t>
  </si>
  <si>
    <t>D. Ramón de Villar, D. Francisco Collell, D. Cárlos Villemont, D. Tomas Portel), D. Nicolás Iberri, D. Manuel Benisia, D. Manuel Cevallos, D. Pedro Fabregues, D. Agustín Ramírez, D. Joseph María Abate , D. Diego García Conde, D* Francisco Frías,-D. Manuel Pastor, D. Pedro Quevedo, Don Juan de Vil</t>
  </si>
  <si>
    <t>Benitez de Alfaraz, Agustín</t>
  </si>
  <si>
    <t>Agustín Benitez de Alfaraz</t>
  </si>
  <si>
    <t>á primer Teniente de granaderos al de fusileros D. Manuel de Mendoza; á Ayudante al primer Teniente D. Agustín Benitez de Alfaraz; á primeros Tenientes á ios segundos de granaderos D. Juan Abuin, D. Joachin de Losada y D. Candido Failde; á segundos Tenientes de granaderos á los de fusileros D» Salvador de Mo</t>
  </si>
  <si>
    <t>Benitez, Cipriano</t>
  </si>
  <si>
    <t>Cipriano Benitez</t>
  </si>
  <si>
    <t>nte del tercer batallón del de Granada: en el de Sevilla á primer Teniente al segundo de granaderos D. Cipriano Benitez: en el de Granada á Comandante del tercer batallón al Teniente Coronel Don -Martin González de Menchaca, Sargento mayor del de León: en el de Toledo á primer Teniente al segundo d</t>
  </si>
  <si>
    <t>Benjamín de Núcé</t>
  </si>
  <si>
    <t>Gourten al Ayudan-! te y graduado-de Capitán^ D. Alonso de( Courten^ y al Teniente dé grana-* deros D. Benjamín de Núcé. ^ :r t En 19 de Marzo de este año sé bá puesto corriente el alumbrado del fanal que el.Consulado de Buenós-Ayres lía establecido á costa de sus fondos en el?cejrfp de Montevideo</t>
  </si>
  <si>
    <t>Benoit, Almirante</t>
  </si>
  <si>
    <t>Almirante Benoit</t>
  </si>
  <si>
    <t>de Abril. S e ha hecho a la vela, según dicen para la Guadalupe, la división mandada por el-Contra-Almirante Benoit, compuesta de los navios Redoutable y</t>
  </si>
  <si>
    <t>Berdié, Simón</t>
  </si>
  <si>
    <t>Simón Berdié</t>
  </si>
  <si>
    <t>el Tabaco del arzobispado de México á D. Antonio Valdes: para la plaza de Oficial 3.0 de la misma á D. Simón Berdié: para la de 4.0 de ella á D. Joseph María Quixano: para Guarda de la propia Administración á* D. Albino Marquina y Astudillo: para Administrador del partido de Ixmiquilpan, de la</t>
  </si>
  <si>
    <t>Beremundo Ramirez</t>
  </si>
  <si>
    <t>D. Joseph María Lastres;, Comandante del de Farnesio: el de Teniente Coronel, de este regimiento á D. Beremundo Ramirez. Comandante del; de Santiagoy el d? Tenjejite Coronel de Alcáqtara ál Coronel D. Andrés de Mendqza^Qpmandante de- Húsares Voluntarios. Igpalmgnfg fe ha dignado S. Mj protpoTer á C</t>
  </si>
  <si>
    <t>Berenger</t>
  </si>
  <si>
    <t>Dejean, Con honores y funciones de Ministro; para Consejeros del mismo ramo los ciudadanos Berenger y» Dessoles, tambieni Consejeros de Estado; y para Secretario general de laypropía dirección el: ciud. Sarletom Igualmente , los ciudadanos Franqais de Nántes, y</t>
  </si>
  <si>
    <t>Berenguer, Francisco</t>
  </si>
  <si>
    <t>Francisco Berenguer</t>
  </si>
  <si>
    <t>a á )a citada escribanía. Por lossafios de 1740 vivió en lá corte de Nápoles D.-Francisco Berenguer, natural de estos rey nos, caballero del hábito de Santiago, y Capitán de infantería de los Reales ejércitos del Sr. Rey D. Felipe v, y con motivo de las guerras que tuvo S. ÍVI. sa¡ió de</t>
  </si>
  <si>
    <t>Berganzi, Luis</t>
  </si>
  <si>
    <t>Luis Berganzi</t>
  </si>
  <si>
    <t>, Don Blas de Lezo, D. Joaquin Fernández de Medrano, D. Juan Bautista Cerain, D. Valentín Martinez, D. Luis Berganzi y D. Antonio Abaxos. Del tratado de esfera y atlas geográfico elemental de Vázquez D. Manuel de Lardizabal , D. Manuel Cíaeessens, D. Antonio Ligarte, D. Ignacio Lardizabal, Cadete de</t>
  </si>
  <si>
    <t>Berkeley</t>
  </si>
  <si>
    <t>y de la invención del Dr. Jenner, á él no le valga ninguna utilidad ni beneficio.” Leyó en seguida Mr. Berkeley el dictamen del secretario de una junta formada en Francia para averiguar la importancia, fruto y valor de este descubrimiento, al qual da dicha junta los elogios que merece. En con</t>
  </si>
  <si>
    <t>Berkeley, Almirante</t>
  </si>
  <si>
    <t>Almirante Berkeley</t>
  </si>
  <si>
    <t>hechas por los Ministros ingleses para que quanto antes se ajuste el tratado definitivo de paz. El Almirante Berkeley presentó el dia 15 á la Cámara de los Comur. nes una petición de parte del autor de un descubrimiento justamente celebrado en Europa, y cuyo efecto es desterrar del mundo una de l</t>
  </si>
  <si>
    <t>Bermejo, Esteban</t>
  </si>
  <si>
    <t>Esteban Bermejo</t>
  </si>
  <si>
    <t>37. 3. Licenciado. Esteban Bermejo............. Antonio , Francisca Estel.. Astorga......... Astorga......... 353. is. Id. Antonio Iglesias....... ......... Francisco, Jua</t>
  </si>
  <si>
    <t>Bermudez de Castro, Joseph</t>
  </si>
  <si>
    <t>Joseph Bermudez de Castro</t>
  </si>
  <si>
    <t>o-: en el de Málaga al empleo de Teniente Coronel al Comandante del tercer batallón deí de Mallorca D. Joseph Bermudez de Castro , y á Subteniente de granaderos al primer Subteniente D. Rafael del Canto: en ei de las Ordenes Militares á primer Teniente al segundo de granaderos D. Ignacio Espinosa: en el de</t>
  </si>
  <si>
    <t>aux, Don Manuel Vigil de Quiñones, D. Joseph Ponce de León, D. Francisco Soler, el Conde de Maceda, D. Joseph Bermudez de Castro, D. Roque Antía, D. Antonio Darcourt, D. Tomas Kindelan , D. Juan de Dios Alvarez Ordoño, D. Gabriel Mendizabal, D. Ignacio Martinez Vallejo, D. Matías Piriz, D. Pedro Baylin, D.</t>
  </si>
  <si>
    <t>Bermudez de Castro, Juan</t>
  </si>
  <si>
    <t>Juan Bermudez de Castro</t>
  </si>
  <si>
    <t>1044 s varrete y Rezaval, D. Francisco Pardo de Andrade , D. Juan Bermudez de Castro, D. Gregorio de la Sota Ruiz, D. Manuel Olmedilla, D. Francisco Zalváburu , D. Joseph de Lama y Montes , D. Joseph Fernandez de las Peñas 9 D. Joseph García de Quesada, D. Vicente</t>
  </si>
  <si>
    <t>Bermudez Valledor, Ramón</t>
  </si>
  <si>
    <t>Ramón Bermudez Valledor</t>
  </si>
  <si>
    <t>wert y Guirát, D. Jiiari Fernández Aiarcon, D. Joseph González Castañon, D. Francisco García Sala, .D. Ramón Bermudez Valledor, D. Alexandro Boni la y San Juan, D. Juan Uztariz y Valenciano, D. Manuel Martínez Wintuysen , D. Manuel de Luengas y Orive, :D. Domingo Sarachaga y Z aval a, D. Gavino de Arana y</t>
  </si>
  <si>
    <t>Bermudez, Joseph Manuel</t>
  </si>
  <si>
    <t>Joseph Manuel Bermudez</t>
  </si>
  <si>
    <t>olitana de Lima, vacante por ascenso de D. Pedro Tadeo Bravo de Rivero á Ración de dicha iglesia, á D. Joseph Manuel Bermudez, Cura de la ciudad d® Huanico, en la citada diócesis; y para otra Media-Ración de la propia metropolitana, vacante por ascenso á Ración entera de ella de D. Pedro INolasco de Toro</t>
  </si>
  <si>
    <t>Bermudez, Pedro</t>
  </si>
  <si>
    <t>Pedro Bermudez</t>
  </si>
  <si>
    <t>r Lamadrid, D. Joseph Antonio HerrezuéloD. Joseph Soto, D. Francisco Leysél, D. Mauricio de Zúñiga, D. Pedro Bermudez, D. Ramón de Villar, D. Francisco Collell, D. Cárlos Villemont, D. Tomas Portel), D. Nicolás Iberri, D. Manuel Benisia, D. Manuel Cevallos, D. Pedro Fabregues, D. Agustín Ramírez,</t>
  </si>
  <si>
    <t>Bernabé de la Torre</t>
  </si>
  <si>
    <t>23 de julio de 1802</t>
  </si>
  <si>
    <t>M. el empleo de -Coronel del batallón de Milicias disciplinadas de infantería de Puerto Príncipe á D. Bernabé de la Torre, Capitán del mismo cuerpo: Compañías en el batallón de la propia clase de las Quatro Villas á los Subtenientes D. Agustín Diaz, de granaderos, y D. Marcos González de Roxas; Subte</t>
  </si>
  <si>
    <t>Bernabé de Urculu</t>
  </si>
  <si>
    <t>te, á D. Diego Perez Izquierdo: para otra de la catedral de Patencia;, vacante por fallecimiento de D. Bernabé de Urculu, á D. Vicente de Ron : parada Ración de la de Tuy , vacante por promoción de D. Joseph de Turnes á una Canongía de la misma iglesia, á D. Bernardo Sánchez Cidras: para la Prestame</t>
  </si>
  <si>
    <t>Bernabé Nicolás Martínez</t>
  </si>
  <si>
    <t>la Solana, provincia de la Mancha, á D. Félix García de Tomas, Regidor perpetuo, ó en esta corte á D. Bernabé Nicolás Martínez, calle de la Concepción, frente á ia botillería , encima del mesón, casa sin número, 4.0 piso. A Doña Joachina Cuervo, vecina de la ciudad de León , le extraviáron en el año de fS</t>
  </si>
  <si>
    <t>Bernabé Villalobos</t>
  </si>
  <si>
    <t>l Sopo en dicha diócesis: para otra Ración de la catedral de Trux¡lio, vacante por fallecimiento de D. Bernabé Villalobos, á D. Pedro Joseph Valdivieso ; y para una Media-Ración de la referida metropolitana de Santa Fe, vacante por promoción de D. Juan Joseph del Gimo á Canongia de la catedral de Tud</t>
  </si>
  <si>
    <t>Bernabeu, Vicente</t>
  </si>
  <si>
    <t>Vicente Bernabeu</t>
  </si>
  <si>
    <t>I04i Graduado D. Tomas Barreda. A Tenientes de Navfo los de Fragata D. Pedro de Anda,D. Vicente Bernabeu, D. Mariano Segovia, Don Francisco Colmenares y Lastiri, D. Joaquín Bilbao y Angosto, D. Rafael Asprer y Janer,D.Francisco Pareja y Tortolero,D. Joseph Labayen, Don Domingo de Paz</t>
  </si>
  <si>
    <t>Bernaci y Retamar, Joseph</t>
  </si>
  <si>
    <t>Joseph Bernaci y Retamar</t>
  </si>
  <si>
    <t>alcarcel, y Oconri, t). Joachin de Mora; y Duarte ,, D. Diego de Arteaga, D. Alonso Solis y Zurita, D. Joseph Bernaci y Retamar, Don Ignacio Éscovar y Ríquelme, D. Juan Robredo y Lea, D. Joseph de Córdoba y? Roxas , 0. Lope Valcarcel y Valcarcel, D. Joseph Linares é Iba?* nez, D.; Diego de^Obando y Adorno,</t>
  </si>
  <si>
    <t>Bernal Moran, Miguel</t>
  </si>
  <si>
    <t>Miguel Bernal Moran</t>
  </si>
  <si>
    <t>farol. Quien quisiere tratar de ajuste acuda á 1). Agapito Luis de la Fuente, en la misma casa, ó á D. Miguel Bernal Moran, Procurador de los Reales Consejos, en la frontera, quarto a.° , núm. 8, á dinero ó vales guardada proporción. Por la audiencia del Sr. D. Juan Antonio Santa María , Teniente Corr</t>
  </si>
  <si>
    <t>Bernal y Petriz, Manuel</t>
  </si>
  <si>
    <t>Manuel Bernal y Petriz</t>
  </si>
  <si>
    <t>o y Reynalte, D. Joseph Carássa y Figueroa, D. Francisco Xavier Saravia, D. Ramón Torre y Pellicer, D. Manuel Bernal y Petriz, D. Antonio Nuñez Fálcon, D. Joaquín Elgueta y Hernández , D.Francisco Sarrachaga y Zavala, Don Joseph García Joye, D. Miguel Vaidásano y Ros, D. Joseph de Leyva y. Lerin , D. Raf</t>
  </si>
  <si>
    <t>Bernard, Capitán</t>
  </si>
  <si>
    <t>Capitán Bernard</t>
  </si>
  <si>
    <t>os han ocurrido en las partes mas importantes de Sto. Domingo sucesos que aseguran su conquista. El Capitán Bernard, comandante de las fragatas Fraternidad y Preciosa,que llevaban un cuerpo de tropas á las órdenes del General Kerverseaux , se presentó el 2 de Febrero delante de la ciudad de Sto</t>
  </si>
  <si>
    <t>enes del Gobernador general, y todavía las estaba esperando el dia 14, fecha de la última carta del Capitán Bernard. Se hizo preciso esperar el efecto de las disposiciones conocidas de sus habitantes, porque el General Kerverseaux no tenia fuerzas suficientes para acometer la plaza. La noche de</t>
  </si>
  <si>
    <t>Bernárdez, Manuel</t>
  </si>
  <si>
    <t>Manuel Bernárdez</t>
  </si>
  <si>
    <t>aría Caldera y Aldana, Racionero mas antiguo de aquella catedral: para la Ración que este obtiene á D. Manuel Bernárdez; y para otra titulada de S. Marcelo de la catedral de León, vacante por muerte de D. Pedro Valbuena, á D. Santos Fernandez Vidal, Sacristán mayor de* la propia catedral, r o ,. _</t>
  </si>
  <si>
    <t>Bernardino Conde de Haro</t>
  </si>
  <si>
    <t>s Barón D’horst; y á segundos Tenientes á los Alféreces D. Joacliín de Estreniera, D. Ramón Sauz y- D. Bernardino Conde de Haro, el primero y segundo de granaderos. El Rey se ha servido conceder el empleo de Capitán de Artillería al Teniente, graduado de Capitán, y Ayudante segundo de la Compañía de caball</t>
  </si>
  <si>
    <t>Bernardino de Echagüe</t>
  </si>
  <si>
    <t>os ^el -Cadete D. Ignacio Lardizabal. De lo mismo y ~de^ trigpc^i^^i^pl|;q|i|5. Antonio de ygarte y D. Bernardino de Echagüe. De las series,&gt;;^álciilo diferencial con sus aplicaciones, y elíntegrai con parte ^e.%u^íipU|^clones Don Manuel de Lardizabal, p. Manuel 'Cíaeessens y.;ejl Subtenieme p. Joseph M</t>
  </si>
  <si>
    <t>Bernardino de Herrera, Joseph</t>
  </si>
  <si>
    <t>Joseph Bernardino de Herrera</t>
  </si>
  <si>
    <t>Manuel Betancourt; y para la de 8.° á D. Joseph Mariano deSierra: para Administrador de Tamiahua á D. Joseph Bernardino de Herrera : para Teniente Visitador de la E'actoría deí tabaco de Puebla á Don Hanuel Cofredez : para la de Cabo del Resguardo de la misma Factoría ;í B. Matías Madrid : para Guarda del pro</t>
  </si>
  <si>
    <t>Bernardino de la Seda</t>
  </si>
  <si>
    <t>án ¡al Teniente de carabineros Don Luis de Sola *, á esta clase á- D. Miguel Baiseyro; á Teniente á D. Bernardino de la Seda, y á la «resulta de: Alférez , -que este dexa, al Cadete D011 Alonso Dávila. • S. M. se ha dignado conferir el Gobierno del castillo y presidio de S. Felipe de Bacalar, en la prov</t>
  </si>
  <si>
    <t>Bernardino de Losa</t>
  </si>
  <si>
    <t>n segundos de sus exércitos, plazas y fronteras á los ordinarios D. Tomas Costa, D. Melchor Gerona, D. Bernardino de Losa y D. Juan Iñiguez. En el de caballería del Rey á Comandante de esquadron al Capitán de Carabineros, graduado de Teniente Coronel, D. Joseph Gregorio de Toro; á segundo Teniente al Alf</t>
  </si>
  <si>
    <t>Bernardino de Saiht-Pierre</t>
  </si>
  <si>
    <t>.de 120 leguas en menos de 3 semanas. Contenia una carta con el sobre &gt;1; mismo ciud. Bernardino de Saiht-Pierre, y se la envió el Vicecónsul francés delFerrol.-Latercera botella, que anduvo mas de 990 leguas en: línea, recta,.la echó al.agua á 200 leguas al norte de la I</t>
  </si>
  <si>
    <t>Bernardino de Saint- Pierre</t>
  </si>
  <si>
    <t>isla de la Guádalupe. El ciud* Lesealier,‘Prefécio ^é lonia, envió una copia al ciud. Bernardino de Saint- Pierre, que publicando esté hecho añade que es el quarto billete de que tiene noticia qiié las coré</t>
  </si>
  <si>
    <t>Bernardino Echagfte</t>
  </si>
  <si>
    <t>D. Joaquín Fernandez Medrano. En gramática castellana, baxo la dirección de D. Francisco Aranzabal, D. Bernardino Echagfte, el Marques de Iranda, D. Luis Vidarte, D. Toribio Olalde, D. Valentín Martínez, D. Ramón Carrillo, D. Ceferino Carrillo y D. Manuel Carnara. En matemáticas, baxo la dirección de</t>
  </si>
  <si>
    <t>Bernardino Echagiie</t>
  </si>
  <si>
    <t>Sebastian de Lasa, D. Joseph de Berrosteguieta y D. Fernando Adan de Yarza: de geometría elemental, D. Bernardino Echagiie, D. Joseph de Munive y D. Antonio de ligarte: de álgebra elemental, D. Ignacio de Lardizabal y Altuna: de trigonometría plana, aplicación del álgebra á la geometría y secciones có</t>
  </si>
  <si>
    <t>Bernardino Pini y Ledos</t>
  </si>
  <si>
    <t>D. Ramón Ponce de León; y en el de infantería provincial de Valladolid de Mechoacan á Subteniente á D. Bernardino Pini y Ledos. Habiéndose dignado S. M. conceder privilegio de villazgo .al lugar de las Navas de S. Esteban, eximiéndole de la jurisdicción de la villa de Santistéban del Puerto, para mejor di</t>
  </si>
  <si>
    <t>Berni y Catalá, Joseph</t>
  </si>
  <si>
    <t>Joseph Berni y Catalá</t>
  </si>
  <si>
    <t>. Creación, antigüedad y privilegios dé lés títulos de Castilla, con los retrates de íos Reyes; por D. Joseph Berni y Catalá. Ésta obra es útil i las casas ilustres de España ? porque ademas de contener el origen de la mayor parte de los tí-' talos de Castilla con noticia de las principales acciones mil</t>
  </si>
  <si>
    <t>Bernia, Joseph</t>
  </si>
  <si>
    <t>Joseph Bernia</t>
  </si>
  <si>
    <t>eph R.eynoso Roldan , 0. Angel Crespo Martínez, D. JosephTde^éspj^§, Í&gt;; Antonio Van-halen y Morfi, Don Joseph Bernia , &lt;D.j6sephBrandaTÍs ,D. igna.cio Meftdizafcaí, D. Fernando Noguera, D. Pedro Agar y Bustiilos, D. Joseph Salazar y Rodríguez, D. Joseph Laguna Calderón,: D. Diego Ochando, D. Ram</t>
  </si>
  <si>
    <t>Bernis, Cardenal</t>
  </si>
  <si>
    <t>Cardenal Bernis</t>
  </si>
  <si>
    <t>así al mismo tiempo que se conducía á Roma el cadáver de Pió vi se sacaba de aquella ciudad el del Cardenal Bernis para llevarle á Francia. Un marinero idriota fue recientemente muerto en una quimera movida aquí entre sus paisanos y otros marineros rusos. Los idriotas hiciéron su entierro con</t>
  </si>
  <si>
    <t>Berrosteguieta, Joseph</t>
  </si>
  <si>
    <t>Joseph Berrosteguieta</t>
  </si>
  <si>
    <t>o Tavira, D. Rodrigo Tavira, D. Francisco Trespalacios, el Marques de Iranda, D. Leopoldo Menendez¿ D. Joseph Berrosteguieta, D. Sebastian de Lasa y D. Bernardino Echagiie. En la descripción de la Europa hasta los Países Baxos, D. Manuel Claessens, D. Ignacio de Lardizabal y Altuna, D. Fernando Adan de</t>
  </si>
  <si>
    <t>Berruyer, General</t>
  </si>
  <si>
    <t>General Berruyer</t>
  </si>
  <si>
    <t>de la mañana fuéron 60 artilleros de caballería, de la. Guardia al templo , y habiendo recibido del General Berruyer las banderas , volvieron después al patio de las Tuberías, donde estaban todas las tropas en orden de batalla,y se colocaron enfrente del primer regimiento de artillería de á pie. Ant</t>
  </si>
  <si>
    <t>Berthier, General</t>
  </si>
  <si>
    <t>General Berthier</t>
  </si>
  <si>
    <t>arios ingleses de 28 de Mayo, que acaban de llegar, vienen llenos mil lástimas; porque dicen que al General Berthier le han matado eri un. desafío: que un Ayudante del primer Cónsul habido unuerto eñ la patádá: quu al Ríimér Cónsul le han herido gra</t>
  </si>
  <si>
    <t>Bes, Gerónimo</t>
  </si>
  <si>
    <t>Gerónimo Bes</t>
  </si>
  <si>
    <t>e la V-írgen de los Angeles de la villa de San Celoni, diócesis de Barcelona, vacante por muerte de D. Gerónimo Bes, á D. Manuel PuigduÜes/. para otro Beneficio de Parentela, vacante en ia parroquia de S. Pedro de las Fuellas de la ciudad de Barcelona por fallecimiento de D. Manuel Ríu, á D. Pe</t>
  </si>
  <si>
    <t>Besó, Vicente</t>
  </si>
  <si>
    <t>Vicente Besó</t>
  </si>
  <si>
    <t>rs. á Francisco Ginesta, aprendiz de ebanista, por un tocadorcito con su persiana: otros 100 rs. á D. Vicente Besó, dibuxante y grabador de letras en cobre, que presentó copiada una figura de academia, y grabadas en cobre varias letras con sus pruebas: otros 100 rs. á D. Antonio del Pozo Roble</t>
  </si>
  <si>
    <t>Betancourt, Agustín</t>
  </si>
  <si>
    <t>Agustín Betancourt</t>
  </si>
  <si>
    <t>Pedro González Calderón. Asimismo ha concedido S. M. honores de Ministro del Consejo de Hacienda á D. Agustín Betancourt , Inspector general de caminos ; y de Oidor de la Chanciliería de Granada al Teniente de villa D. Manuel de Torres. También se ha servido nombrar para la Intendencia y Corregimien</t>
  </si>
  <si>
    <t>Bétes, Ramón</t>
  </si>
  <si>
    <t>Ramón Bétes</t>
  </si>
  <si>
    <t>de la Chica, D. Agustín Cabrera, D. Antonio Franchi,D. Rafael de Zuniga, D. Gerónimo Martin Cortés, D. Ramón Bétes, D. Francisco Portillo, D. Tomas Salcedo, D. Fernando Moyano, D. Juan Alabés, D. Juan Macarti, 0. Dionisio Sánchez, D. Joseph Chardenoux, D. Joaquín de la Hoz, D. Mateo Rodrigue?,</t>
  </si>
  <si>
    <t>Bettineli, Francisco Xavier</t>
  </si>
  <si>
    <t>Francisco Xavier Bettineli</t>
  </si>
  <si>
    <t>20 de abril de 1802</t>
  </si>
  <si>
    <t>ende también á a rs. la estampa de los dos santos que tiene la obra. , : Xérxesr tragedia del Abate D. Francisco Xavier Bettineli, traducida del italiano por D. Miguel García Asensio. Véndese á 4 rs. en las librerías de Sanchas, calles del Lobo y del Príncipe. Poesías del Mtro. González, de la orden de S. Ag</t>
  </si>
  <si>
    <t>Beuraonvilte, General</t>
  </si>
  <si>
    <t>General Beuraonvilte</t>
  </si>
  <si>
    <t>e dicha República; y ha enviado á París otras dos para el Ministro; de Estado Taileyrand, y ftr^ el General Beuraonvilte, valuada cada una en 60 thalers. - ¿ Él día i 13 llego un correo de Petersburgo y entregó inmediatamente sus pliegos al Rey. El dia que salió de agüella capital, se hallaba allí d</t>
  </si>
  <si>
    <t>Beurnonvilíe, General</t>
  </si>
  <si>
    <t>General Beurnonvilíe</t>
  </si>
  <si>
    <t>208 ' Berlín 14 de Febrero* H a vuelto de Francia el correo que el General Beurnonvilíe despacho á Paris con la respuesta de esta corte al nuevo plan del primer Cónsul relativo á las indemnizaciones. El Príncipe de Nassau Orange ha escrito al primer Cónsul recomendándol</t>
  </si>
  <si>
    <t>Beurnonville, General</t>
  </si>
  <si>
    <t>General Beurnonville</t>
  </si>
  <si>
    <t>yo mando ha conferido S. AI. á Mr. de Hainske, Coronel del regimiento dé caballería de Herzberg. El General Beurnonville, Ministro de Francia, tiene licencia para ir á Paris. Durante su ausencia , que se cree no será muy larga, queda por En• cargado interino de Negocios- el ciud. Bignon, primer Secr</t>
  </si>
  <si>
    <t>Béurnonville, General</t>
  </si>
  <si>
    <t>General Béurnonville</t>
  </si>
  <si>
    <t>lió así que se ajustó la paz. ■*&amp; Berlín 8 de Enero.. A lites de ayer recibió un correo de París el General Béurnonville, Embaxador de Francia en esta corte. Dícese que los pliegos que trae son de mucha importancia. A fines de este mes se espera aquí al Príncipe de Qrange. Las negociaciones sobre lo</t>
  </si>
  <si>
    <t>tuvo* el 17 de este mes su primera audiencia dei Rey. Tres dias después salió de aquí para París el General Beurnonville, Ministro plenipotenciario de la República francesa, con el Coronel Beilair y el Secretario Rossely. Hasta la vuelta de este Ministro ó la llegada de otro queda el Secretario de e</t>
  </si>
  <si>
    <t># El tratado definitivo de cesión y resarcimientos que se firmó en Paris por el General Beurnonville en nombre de la República francesa, el Marqués de Luchesinipor parte del Rey de Pfusia, y el Príncipe herederb de Orar,ge por sí y por sú casa, contiene en el artículo io la siguien</t>
  </si>
  <si>
    <t>es si fuese posible. -- Hecho en París á 24 de Mayo de 1S02._-Firmado: El Marques de Lucchesiai. El General Beurnonville.” ; Berna *4 de Agosto, S e ha publicado el indulto felativo á los acontecimientos políticos de! país 4e "\Taud, anulándose por consiguiente todas las causas que estaban pendiente</t>
  </si>
  <si>
    <t>hasta que entren en Suiza la tropas francesas. París 8 de Octubre. H a nombrado-el primer Cónsul al General Beurnonville para Embaxador de la República francesa cerca deS. M. Católica : al ciud. Didelot, Prefecto de palacio , para Ministro plenipotenciario en Stuttgard: al ciud. Cayaignac para Resid</t>
  </si>
  <si>
    <t>stros de Prusia, Dinamarca, Suecia, Portugal, Baviera y Saxonia, tuviéron audiencia de despedida el General Beurnonville, Embaxador dé la República cerca de S. M. Católica , y el General Bruñe , que va á Constantinopla con igual destino. El domingo 3 del corriente fuéron presentados al primer Cónsul</t>
  </si>
  <si>
    <t>Beveren</t>
  </si>
  <si>
    <t>barcado la media brigada francesa núm. 7 de infantería. Por hallarse enfermo el ciud. Beveren, Presidente del Poder executivo, le reemplaza en este eminente puesto el ciud. Pyman, ai qual con este motivo han cumplimentado los Ministros extrangeros , los</t>
  </si>
  <si>
    <t>Bianc</t>
  </si>
  <si>
    <t>Emperador dé Rusia lia enviado una sortija guarnecida de piedras' preciosas al ciud. Bianc, inventor de la okygrafia, d escritura universal. Madrid 2 de Abril. E 1 Teniente General D. Federico Gravina , Comandante general de la esquadra española, que</t>
  </si>
  <si>
    <t>Bic, Almirante</t>
  </si>
  <si>
    <t>Almirante Bic</t>
  </si>
  <si>
    <t>contra los turcos para conservar el do-, minio de aquel pais, al qual se transferirá desde Malta el Almirante Bic-* k-érton pata ver de conciliar ambos partidos., • ' Un bergantínprocedente de Egipto ha:desembarcado en Phmouth varías curiosidades enviadas por el lord Elgin, y han sido presenta</t>
  </si>
  <si>
    <t>Bickerton</t>
  </si>
  <si>
    <t>buques que toquen de arribada en aquel puerto, para que vayan á reforzar la mencionada esquadra de Mr. Bickerton. * El dia 12 se botó al agua en Deptfordiun navio dé 1200 toneladas noipbradó el Cumberlaiid, y destinado para el comercio de la China. tt ■ .' \ Haya *) de Noviembre, '• '{ JLXab</t>
  </si>
  <si>
    <t>Bickerton, Almirante</t>
  </si>
  <si>
    <t>Almirante Bickerton</t>
  </si>
  <si>
    <t>rmano. ’ •, ' La mayor parte de la esquadra dei Lord Keyth ha salido de Malta para Inglaterra». El ¿Almirante Bickerton quedaba en aquella isla con lps buques de su mando. . .) :r].r v/; El Reyno de Marruécos'está .conmovido ;pdr una guerra civil. Él sobrino del Re^ ha ’tomadd las armas contra el,g</t>
  </si>
  <si>
    <t>.el Romney ,Sheernes y Wilhelmine saldrán igualmente con ciertos dias de intermedio uno de otro. El Almirante Bickerton fué el mes último de Malta á Alexandría para recoger aquella guarnición, excepto el regimieatb uúm. xo de infantería y el 26 de dragones qué pasan á..la India. , x</t>
  </si>
  <si>
    <t>Bickerton, Ricardo</t>
  </si>
  <si>
    <t>Ricardo Bickerton</t>
  </si>
  <si>
    <t>on la principal parte de su esquadra, dexando el resto rde ella -en Alexandríá Jjaxp'las ordenes de Mr. Ricardo Bickerton. Según'gazetas inglesas fl^Qrpqp.dilos, dé qu£ £n...o$ro tiempo abundaba. eliEgipto*1 son abora muy .rarps :i, ^ae^¿*9uestías tropas en roo millas. qué anduviéron■ por «las -márge</t>
  </si>
  <si>
    <t>Bickerton, Ricardo (almirante)</t>
  </si>
  <si>
    <t>Almirante Ricardo Bickerton</t>
  </si>
  <si>
    <t>. 61 se ha enviado á Malta, y el" núm. i o á Gibraltar* Según cartas de aquella' isla parece que el Almirante Ricardo Bickerton ha'salido de ella con su esquadra para juntarse con 5 navios de línea despachados de Gibraltar, cuyo Gobernador tiene encargo de dar orden á todos los buques que toquen de arribad</t>
  </si>
  <si>
    <t>Bienpica, Fernando</t>
  </si>
  <si>
    <t>Fernando Bienpica</t>
  </si>
  <si>
    <t>oseph S?avedra, D. Joseph Sastre, D; Francisco Nuñez, D. Maximiliano Saut Maxent, D. Tadeo Muniesa, D. Fernando Bienpica, D. Juan O-Snlivan, í). joseph de la Valle , Don Joseph Alvarez, D. Cárlos Meyner, D. Francisco Rodríguez , D. Tolhas Rocamora, D. Agustín Pinedo, D. Antonio Cordero,. D. Pedro Vi</t>
  </si>
  <si>
    <t>Bierna, Nicolás</t>
  </si>
  <si>
    <t>Nicolás Bierna</t>
  </si>
  <si>
    <t>ver á Brigadier de la Compañía Italiana del Real cuerpo de Guardias de Córps al Subrigadier de ella D. Nicolás Bierna; á Subrigadier al Cadete D. Francisco Xavier Liberatore ; á Cadete de número al supernumerario D. Joseph Losada, y á Cadetes supernumerarios á los Guardias de la misma Compañía D.</t>
  </si>
  <si>
    <t>Bigeleben</t>
  </si>
  <si>
    <t>eligión, y la pacífica posesión de los bienespertene^ cíe ates á las iglesias. El Barón de Leykam y Mr. Bigeleben entregaron el 28 del mes último en nombre del Cabildo de Colonia una memoria al Ministro directoría! de Maguncia. Piden en ella que se conserven los .tres Electores eclesiásticos; l</t>
  </si>
  <si>
    <t>Bignon</t>
  </si>
  <si>
    <t>, que se cree no será muy larga, queda por En• cargado interino de Negocios- el ciud. Bignon, primer Secretario de Embaxada.</t>
  </si>
  <si>
    <t>stipula expresamente que se le indemnizará en Alemania. Berlín 08 de Marzo. E 1 ciud. Bignon, Encargado de Negocios de la República francesa, ha comunicado á este ministerio que se esperaba por momentos en París un correo de Amiens con el tratado defin</t>
  </si>
  <si>
    <t>Bilbao y Angosto, Joaquín</t>
  </si>
  <si>
    <t>Joaquín Bilbao y Angosto</t>
  </si>
  <si>
    <t>agata D. Pedro de Anda,D. Vicente Bernabeu, D. Mariano Segovia, Don Francisco Colmenares y Lastiri, D. Joaquín Bilbao y Angosto, D. Rafael Asprer y Janer,D.Francisco Pareja y Tortolero,D. Joseph Labayen, Don Domingo de Paz, D. Aiexandro Morales,D.Pedro Joseph de Lemus, Don Manuel Arcavna y Ximenez, D. Fran</t>
  </si>
  <si>
    <t>Bildt</t>
  </si>
  <si>
    <t>eramente ios muebles que les pertenecen en propiedad, y aun durante su vida los que Son del estado. Mr. Bildt, Ministro plenipotenciario de S. M. Sueca en la Dieta, remitid' al Barón de Álbini la nota siguiente, suplicándole que la presentase á la BÉa y 4 la dtpútaciotr. El infrascripto,</t>
  </si>
  <si>
    <t>Bissingeo, Conde</t>
  </si>
  <si>
    <t>Conde Bissingeo</t>
  </si>
  <si>
    <t>o el Emperador Ministro de Rentas al Conde de Zich?, y primer Presidente del gobierno de Venecia al Conde Bissingeo, que era Gobernador del Tirol. Aseguran que la Istria, Trieste y Goertz se incorporarán con las, piovincias venecianas. / Ratisbona 6" de Agosto. A caba de publicarse el decreto e</t>
  </si>
  <si>
    <t>Biucher y del Mayor, Teniente General</t>
  </si>
  <si>
    <t>Teniente General Biucher y del Mayor</t>
  </si>
  <si>
    <t>les. No quedan en Westphalia en estado de guerra mas cuerpos que los que están baxo la» órdenes del Teniente General Biucher y del Mayor general Lestocq. . Cuéntanse actualmente en Alemania 9® escritores conocidos por varias obras: el mas viejo tiene 97 años, y el mas mozo 19; Londres t.° de Diciembre. J E n la sec</t>
  </si>
  <si>
    <t>BJazques, Manuel</t>
  </si>
  <si>
    <t>Manuel BJazques</t>
  </si>
  <si>
    <t>ibrería de Escribano, calle de las Carretas, en Badajoz en la de Patrón, y en Zafra en la tienda de D. Manuel BJazques* ' Tomo a.° de la Colección de filósofos moralistas antiguos: contiene los pensamientos morales de varios autoreschinos. Se hallará con el i.° en la librería de Castillo, fréhte:á</t>
  </si>
  <si>
    <t>Blanc</t>
  </si>
  <si>
    <t>Blanco Cabrera, Tomás</t>
  </si>
  <si>
    <t>Tomás Blanco Cabrera</t>
  </si>
  <si>
    <t>Ip4¿ D. Domingo de Federici, D. Manuel Salamanca y Morillo , D. Francisco Echavarría y Chacón, D. Tomas Blanco Cabrera, D: Felipe Bausá,:0on Favio Aliponzoni, .D. Jacobo Morfi, D. Madano Isazbinbil, D. Joseph Dionisio: de Rivera, D. Andrés Otero , D.Franci co Dáviji y :Guzma[n.&gt; Don Lorenzo JJrtu^</t>
  </si>
  <si>
    <t>Blanco Criado, Ramón</t>
  </si>
  <si>
    <t>Ramón Blanco Criado</t>
  </si>
  <si>
    <t>a, D. Vicente Foxa y Montúfar, D. Rosendo Porlier, D. Joseph Iturrigaray, D. JuanBernazi y Retamar, D. Ramón Blanco Criado, D. Pedro Valencia, D. Tomas rando, D. Antonio Aguirre y Villalba, D. Joseph González y Ortiz, D. Antonio. Aguilera, D. Ciríaco de Plano y GarayyD.1 Pedro Albarracin Quero’/D. 'An</t>
  </si>
  <si>
    <t>Blanco, Diego</t>
  </si>
  <si>
    <t>Diego Blanco</t>
  </si>
  <si>
    <t>63. 10. Licenciado. Diego Blanco....................... Alonso, María Quiroga....... Ponférraba.. Ponferrada.. IC03. 29. Id. Ai gel García......... ... .......... Valeriano, María Iglesias.. Villagonzalo. Palencia..</t>
  </si>
  <si>
    <t>Blanco, Domingo</t>
  </si>
  <si>
    <t>Domingo Blanco</t>
  </si>
  <si>
    <t>12. 9. Id. Domingo Blanco........... Alonso, Antonia Rapado.. Muelas........... Zamora...... 29. xa. Licenciado. Manuel Zoco.......................</t>
  </si>
  <si>
    <t>Blanco, Joseph</t>
  </si>
  <si>
    <t>Joseph Blanco</t>
  </si>
  <si>
    <t>nero de la referida colegial: para otra de la metropolitana de Toledo, vacante por fallecimiento de D. Joseph Blanco, á D. Joseph de Aguilar y Valdes: para otra de la catedral de Cuenca, vacante por muerte de D. Antonio Lara , á I). Miguel Alonso Alcalá: para una Ración de la de Plasencia, vacan</t>
  </si>
  <si>
    <t>ones que se siguieron, sin interrupción, de mas de dos horas cada una, fuéroa examinados por suerte D. Joseph Blanco, D. Agustín Deifez, D. Martin Abel enda, D. Andrés Rodríguez, D« Luis Barrera y D. Joseph Fivadulla, en aritmética: D. Pédro Gómez y D. Rafael Cobian, en aritmética y geometría D.</t>
  </si>
  <si>
    <t>e : en la doctrina christiana, Ortología, calografía, ortografía, aritmética, é historia sagrada, á D. Joseph Blanco, Di,Mateo Quintanilla, D. Agustín Rodríguez, D. Juan Grespo y D. Vicente Pérandones. En la clase de menores á D. Manuel García Zorrilla y D. Hipólito Diez Serrano. En ia de sintax</t>
  </si>
  <si>
    <t>Blanco, Juan</t>
  </si>
  <si>
    <t>Juan Blanco</t>
  </si>
  <si>
    <t>... 604. 8. Muerto. Juan Blanco........................ Sebastian, Rufina Diez....... Torremormojon.............. Palencia.......... 474* 17. Licenciado. Josef Sánchez.................... . Tomas, María Romera.... L</t>
  </si>
  <si>
    <t>Blanco, Manuel</t>
  </si>
  <si>
    <t>Manuel Blanco</t>
  </si>
  <si>
    <t>45. 30- Id. Manuel Blanco................... Casimiro, María Sánchez.. Fromista...... Palencia........ s»5. 24. Id. Antonio González............. Francisco, Agustina Perez. Santibafio.... León...'.......</t>
  </si>
  <si>
    <t>Blaneó Cordero, Fernando</t>
  </si>
  <si>
    <t>Fernando Blaneó Cordero</t>
  </si>
  <si>
    <t>obos ‘/para otra de la catedral de Sigiienza, vacante por fallecimiento de D. Juan García Campos, á D. Fernando Blaneó Cordero:'para una Ración de la colegial de* Baza, en la diócesis de Guadix, vacante por promoción de D. Antonio Mancebo á la Dignidad de Arcipreste de la catedral de Guadix, a D. Juan Man</t>
  </si>
  <si>
    <t>Blasco, Antonio</t>
  </si>
  <si>
    <t>Antonio Blasco</t>
  </si>
  <si>
    <t>miogo. 363. C4&gt; Id. Antonio Blasco.................... Pedro, Josefa Martínez. •.. Otero............. Segovia........ 304. &gt;6. Id. Saturnino. Barruso.............. Antonio, Lucia Villaroel... Valladolid... Vallado</t>
  </si>
  <si>
    <t>Blasco, Juan</t>
  </si>
  <si>
    <t>Juan Blasco</t>
  </si>
  <si>
    <t>70. 21. Id. Juan Blasco................ . Santiago, Luisa Palacios... Quintanilla... Búrgos........... 60. *o. Id. Santiago del Pozo................Julián, Josefa Ximenez.</t>
  </si>
  <si>
    <t>Blasco, Pedro</t>
  </si>
  <si>
    <t>Pedro Blasco</t>
  </si>
  <si>
    <t>.. 244. 17. Muerto. Pedro Blasco........................ . Zaragoza,..... Zaragoza......... 117. 15- Presidio. Capitán D. Antonio Garay.</t>
  </si>
  <si>
    <t>Blazquez, Andrés</t>
  </si>
  <si>
    <t>Andrés Blazquez</t>
  </si>
  <si>
    <t>e D. Vicente Acevedo; y á segundo Ayudante mayor al segundo Teniente, graduado de Teniente Coronel, Don Andrés Blazquez. En el de Reales Guardias Walonas á primer Teniente al segundo Teniente D. Juan Pió de Tristan, á segundos Tenientes de granaderos á los de fusileros D. Luis de Lauzieres, graduad</t>
  </si>
  <si>
    <t>Blesa, Pedro</t>
  </si>
  <si>
    <t>Pedro Blesa</t>
  </si>
  <si>
    <t>e á Ayudante al primer Teniente D. Joseph Alarcon: en el de Alcántara á segundo Teniente al Alférez D. Pedro Blesa: en el de Santiago á Portaestandarte al Cadete D. Manuel de Aguilar: en el de Voluntarios de España á primer Teniente al segundo Teniente D. Miguel Marín , y ;á Alférez al Cadete</t>
  </si>
  <si>
    <t>Blome</t>
  </si>
  <si>
    <t>on tiempo para impedir que se executase tan fatal proyecto. Copenhague 10 de Abril. H oy llego aquí Mr. Blome, Consejero íntimo, y Enviado que fue de Dinamarca en París. Le acompaña el Chambelán Blome, el qual, según roces públicas, irá á Holanda eh calidad de Embaxador dinamarqués. ^ Est</t>
  </si>
  <si>
    <t>Blucher, General</t>
  </si>
  <si>
    <t>General Blucher</t>
  </si>
  <si>
    <t>división marchará por Saxonis^para reunifsé en Erfurt icón el Gónde íe Wártenskben ; y el Ter.ienie General Blucher con Otro cuerpo de tropas'temará posesión de ufa parte del ©bispador de Mnnster y déla-Abadías de Esren y.VyVerdeh, sentando en Mnnster su. quarteh jEn Ja Abadía de Hiten entrarán</t>
  </si>
  <si>
    <t>disposiciones para recibidas. En Munster se resolvió presentar las llaves en. una bandeja de oro al General Blucher: en Eben salió toda la juvéntfrd-á recibir á los prusianos; y en Werden se t-rigiéron arcos en la carreta qtíe&gt; líéváron las tropas encargadas de ocupar la ciudád. Sin embargó de</t>
  </si>
  <si>
    <t>Bobadi, Antonio</t>
  </si>
  <si>
    <t>Antonio Bobadi</t>
  </si>
  <si>
    <t>miologia presididos por el Brigadier D. Félix Colon, protector de este establecimiento. El profesor D. Antonio Bobadi11a, á cuyo cargo ha estado esta cátedra, dixo una oración alusiva á la materia del exámen; y después de haber explicado los alumnos los puntos que les tocaron por suerte, fuéron p</t>
  </si>
  <si>
    <t>Zulmezu y Palacioi D. Juan Ülloa y Be.betoros, D. Martin Oarrichena , D. Manuel Vacaro X Valcarcel, D. Antonio Bobadi!la|y Ángulo, D. Miguel Martínez y Montes, D. Luis Lasqueti y Gal vez, D. Joaquín Ramírez de Arellano* Don Ignacio Munive, D. Juan de Latre y Aissa, D. Tomas Urrecha y Assua, D. Ra</t>
  </si>
  <si>
    <t>Bobadilla y Pery, Rafael</t>
  </si>
  <si>
    <t>Rafael Bobadilla y Pery</t>
  </si>
  <si>
    <t>y Salinas , D. Domingo^ Pavía y Seix, D. Bartolomé Arguelles y Valdes, D. Femando Becerra .y Solis, D. Rafael Bobadilla y Pery, D. Joseph Mendivil y Castañeda, Don Antonio Saavedra y Jofre, D. Vicente Valcarcel y Qconri, D. Joseph Primo de Rivera, D. Salvador Ortuño-y Castañon , D. Antonio Villaviqencio,</t>
  </si>
  <si>
    <t>Bobela, Miguel</t>
  </si>
  <si>
    <t>Miguel Bobela</t>
  </si>
  <si>
    <t>con las memorias publicadas al intento, y una aguja para executar la operación , que se encomendó á D. Miguel Bobela y á D. Julián Salazar, Médico y Cirujano titulares. Ambos la han practicado observando el método señalado , y los efectos han sido muy felices. y conformes enteramente á los caracté</t>
  </si>
  <si>
    <t>Bocarro, Antonio</t>
  </si>
  <si>
    <t>Antonio Bocarro</t>
  </si>
  <si>
    <t>Higuera, D. Diego Navarro , D. Bernardo Luque, D. Rafael Pezzino, D. Luis Ranea ño, Don Juan Meric, D. Antonio Bocarro, D. Juan Feliu, D. Juan Desnaux, Don Manuel Vigil de Quiñones, D. Joseph Ponce de León, D. Francisco Soler, el Conde de Maceda, D. Joseph Bermudez de Castro, D. Roque Antía, D. An</t>
  </si>
  <si>
    <t>Boccardi</t>
  </si>
  <si>
    <t>aba de.nombrar el Señado al ciud. Serra; y para ir con igual destino á Viena al ciud. Boccardi. Malinas II de Noviembre, E 1 limo. Roquelare, nuestro Arzobispo, acaba de recibir de S. S. el palio, signo distintivo de la dignidad archiepiscopal. El Sr. Fa</t>
  </si>
  <si>
    <t>Bodard</t>
  </si>
  <si>
    <t>rimer Landammann á su Teniente, el ’ciud. Ruttimann. * Genova jo de Abril. I Ll ciud. Bodard, Comisario de relaciones mercantiles de Francia, ha comunicado á este gobierno el ajuste de los tratados definitivos con la Gran Bretaña y el Bey de Túnez. Mon</t>
  </si>
  <si>
    <t>Bodoni, Juan Bautista</t>
  </si>
  <si>
    <t>Juan Bautista Bodoni</t>
  </si>
  <si>
    <t>27 de abril de 1802</t>
  </si>
  <si>
    <t>irugía. La Derrota de los pedantes.3= La Comedía nueva, en dos actos en prosa, impresa en Panma por D. Juan Bautista Bodoni. 33EI Viejo y la Niña, comedia, tercera impresión. Hamlet, tragedia de Shakespeare, traducida é ilustrada con notas críticas por Inarco Ceienio. Se hallarán en casa de Castillo ,</t>
  </si>
  <si>
    <t>Bohafon, Francisco</t>
  </si>
  <si>
    <t>Francisco Bohafon</t>
  </si>
  <si>
    <t>o á 10 rs. es rústica y .13 en pasta.En las mismas librerías sé halla también la. carta escrita por D. Francisco Bohafon, profesor/de medicina en esté corte, én'respuesta á los ftdlétq^blicadéa eál de Foderé Vsu traducción. . * ■ X"X . v * " / Disertación y cié , una de cuyas virtudes principalés es</t>
  </si>
  <si>
    <t>Boinaparte, General</t>
  </si>
  <si>
    <t>General Boinaparte</t>
  </si>
  <si>
    <t>ar dél Compendió de la obra del Viagehecho én el Baxo y en el Altó Egipto durante lá expedición del General Boinaparte, por él ciud. Vivant Denon ¿individuo dél instituto del Cayro y de otros cuerpos literarios. Tiene*'muchos mapas» vistasf de edificios ó de sus ruinas , y esobramuyápropósito para</t>
  </si>
  <si>
    <t>Boisuelin</t>
  </si>
  <si>
    <t>r el gobierno. Prestaron juramento en manos del primer Cónsul 6 Arzobispos y 19 Obispos : y oredicó Mr. Boisuelin, Arzobispo de Tours. Acabada ia función se restituyo el primer Cónsul á su palacio , en donde dio un banquete á que asistieron los otros dos Cónsules, el Cardenal Legado , y los P</t>
  </si>
  <si>
    <t>Boix, Antonio</t>
  </si>
  <si>
    <t>Antonio Boix</t>
  </si>
  <si>
    <t>...... 182. 14. Id. Antonio Boix....................... Roque, María Vives....... Pasa roya....... Alcañiz.......... 80c. Muerto, Pedro Martin Guillen......... Francisco, María Mateo</t>
  </si>
  <si>
    <t>Boixar y Tabregues, Juan Antonio</t>
  </si>
  <si>
    <t>Juan Antonio Boixar y Tabregues</t>
  </si>
  <si>
    <t>odos pruebas de su aplicación y adelantamiento, en particular D. Francisco dé Paula Puig de Samper; D. Juan Antonio Boixar y Tabregues, y D. Joseph María Vidal y Bou , habiendo presentado varios planos que tenían hechos, revistas de Comisario, extractos,, ajustes de tesorería, y particulares de pagas y compañías</t>
  </si>
  <si>
    <t>Bolet, Martín</t>
  </si>
  <si>
    <t>Martín Bolet</t>
  </si>
  <si>
    <t>n. Muerto. Martín Bolet....... fT....... Juan, Antonia Echeverrí.. Astoroz........., ValleRoncal. 110. 3. Id. Toribio García.......... .. Antonio, Baltasara Mante- ,</t>
  </si>
  <si>
    <t>Bona, General</t>
  </si>
  <si>
    <t>General Bona</t>
  </si>
  <si>
    <t>io , á efecto de poner fin ai gobierno interior : por otra no puede menos de desear con ardor que e General Bona-1 parte quiera honrar á la República cisalpina'continuando en gobernarla, y juntando con la dirección de los asüntos de Francia el encargo de dirigirnos á nosotros durante el tiemp</t>
  </si>
  <si>
    <t>Bonafon, Francisco</t>
  </si>
  <si>
    <t>Francisco Bonafon</t>
  </si>
  <si>
    <t>ina : obra escrita en alemán por Mr. Selle , primer médico de Federico 11 de Prusia : traducido por Don Francisco Bonafon, profesor de medicina en esta corte. Se hallará en las librerías 'de Castillo y Escribano, y en Burgos en la de Revilla. Trata esta obra de la medicina en general: de las quaüdade</t>
  </si>
  <si>
    <t>ería de Castillo y en la de Escribano á io rs. en rústica y 13 en pasta. Carta primera, escrita por D. Francisco Bonafon, profesor de medicina en esta corte, al Dr: D. Higinio Antonio Lorente, Médico honorario de Cámara de S. M., y catedrático de química del Real estudio de medicina práctica, en res</t>
  </si>
  <si>
    <t>derico ix de Prusia, y miembro de la Real academia de ciencias de Berlín: traducido del francés por D. Francisco Bonafon, profesor de medicina en esta corte. Es un tratado elemental que encierra conocimientos esenciales para los profesores de medicina y cirugía,y para toda persona de instrucción. No</t>
  </si>
  <si>
    <t>Bonaparte</t>
  </si>
  <si>
    <t>apoyáron la proposición de los Cónsules sobre la perpetuidad del Consulado del ciud. Bonaparte. En ambos cuerpos se abriéron registros para que sus individuos diesen su voto sobre ello. . El Arzobispo de París ha formado provisionalmente la clerecía de l</t>
  </si>
  <si>
    <t>bién en el Frickthal. Milán jo de Julio. ^ E ste Cuerpo legislativo escribió al ciudadano Bonaparte, primer Cónsul de la República francesa y Presidente de la italiana , la siguiente carta. „Ciud. Presidente. El 24 de Junio se juntó el Cuerpo legislativo. Est</t>
  </si>
  <si>
    <t>Bonaparte, General</t>
  </si>
  <si>
    <t>General Bonaparte</t>
  </si>
  <si>
    <t>En el Tribunado, después de la respuesta del Presidente , propuso el Tribuno Chabot que se diese al General Bonaparte, primer Cónsul de la República, un testimonio solemne del reconocimiento nacional; y el Tribunado decretó que se comunicase esta proposición al Senado conservador, al Cuerpo legis</t>
  </si>
  <si>
    <t>E ste Baxá, que toma aquí el título de Virey, fortifica con mucha priesa el palacio que ocupaba el General Bonaparte en la plaza de Ezbekkier, de miedo de verse sitiado por los Beyes, que ya son duelos del Alto-Egipto, del Fayum y de la provincia de Alfieli: hacen corre'rías hasta las Pirámides ,</t>
  </si>
  <si>
    <t>Bonaparte, Gerónimo</t>
  </si>
  <si>
    <t>Gerónimo Bonaparte</t>
  </si>
  <si>
    <t>el navio Cisalpino, adelantándose algunos dias á la división que se espera. El ciud. Gerónimo Bonaparte, Alférez de Navio, que salió ayer de aquí, lleva á Paris muy buenas noticias.” „ Brest ig de Abril. El Contra-Almirante Gantheaume al Ministro de -Marina. Al c</t>
  </si>
  <si>
    <t>Bonaparte, Joseph</t>
  </si>
  <si>
    <t>Joseph Bonaparte</t>
  </si>
  <si>
    <t>mañana comunicó Mr. Cornwallis por un mensage el contenido de dichos pliegos al ciud. Joseph Bonaparte, quien á las 6 de la tarde fue á casa del Ministro ingles, y tuvo con él una conferencia que duró hasta cerca de las 12 de la noche. Al dia siguiente volvieron</t>
  </si>
  <si>
    <t>ciud. Champagni irá de Embaxador á Constantinopla, y que le reemplazará aquí el ciud. Joseph Bonaparte, hermano del primer Cónsul. Ha expedido esta corte órdenes para que se formen acopios de víveres en Lemberg y sus cercanías. Un cuerpo considerable de tropas a</t>
  </si>
  <si>
    <t>axas guarnecidas de diamantes para regalarlas al referido Plenipotenciario y al ciud. Joseph Bonaparte, quando se ratifique el tratado definitivo. Al Almirante bátavo Hatsink le encontró el 23 de Febrero á la altura de Lisboa el navio el Ann, que iba á la Madera</t>
  </si>
  <si>
    <t>ública francesa y S. S, nombraron por Plenipotenciarios, el primer Cónsul á los ciud. Joseph Bonaparte, Consejero de Estado, Cretet, Consejero de Estado, y Bernier , Doctor en teología, y Cura de S, Laud de Angers, dándoles las correspondientes plenipotencias: y</t>
  </si>
  <si>
    <t>r Cónsul de ia República francesa, en nombre del pueblo francés, ha nombrado al ciud. Joseph Bonaparte, Consejero de Estado ; y S. M. el Rey del Reyno unido de la Gran Bretaña y de Irlanda, al Marques Cornwallis, caballero de la muy ilustre orden de la Jarretera</t>
  </si>
  <si>
    <t>Bonávia, Bernardo</t>
  </si>
  <si>
    <t>Bernardo Bonávia</t>
  </si>
  <si>
    <t>y Quero, D¿ Igiácio Basabe, Joseph Póncé de Leonj DI Joseph QueVedo y Hoyos, D. Luis Zuazo Ximentz, D. Bernardo Bonávia, D. Manuel de Novales é Iruegas, D. Joaquín Asnn«ulo,D. Pedro de Mesa Baulen, D. Andrés Orive y Quiutano, D. Jo•seph Pascual de Vivero ,- D..t Francisco Mlllau y Merlo, D« Manuel</t>
  </si>
  <si>
    <t>Bonelli</t>
  </si>
  <si>
    <t>enado en su legar al Senador Honorato Fe¡rurt; y para Secretario de legación al ciud. Bonelli, oficial mayor de la secretaría del ministerio de lo Interior. Para reemplazar en el Senado al ciud. Honorato Ferrari ha sido nombrado su hermano Pedro Ferrari</t>
  </si>
  <si>
    <t>Boneo, Francisco</t>
  </si>
  <si>
    <t>Francisco Boneo</t>
  </si>
  <si>
    <t>, Don Juan de la Garma j D. Miguel Plowes, D. Marcos Funguion, D. Bernardo■ Tacón, D. Joseph Tacón, D. Francisco Boneo, D. Félix Gastambide, y D. Antonio Cortada, Madrid 1$ de Octubre. E 1 Rey se ha dignado nombrar para la Vara de Alcalde mayor de I2 villa de Viar, en el Reyno de Valencia, á D. Ju</t>
  </si>
  <si>
    <t>Bonet, Joachín</t>
  </si>
  <si>
    <t>Joachín Bonet</t>
  </si>
  <si>
    <t>herederos de D. Antonio de León y Arispe, que sirvió á ©. Alfonso de Acevedo, acudirán en Madrid á D. Joachin Bonet , Abogado del colegio, á percibir algún dinero. Los subscriptores al Compendio de los libros de la santa Biblia , dedicado á la Reyna Ntra. Sra. por el P. Fernando de Scio, acudir</t>
  </si>
  <si>
    <t>Boni la y San Juan, Alexandro</t>
  </si>
  <si>
    <t>Alexandro Boni la y San Juan</t>
  </si>
  <si>
    <t>nández Aiarcon, D. Joseph González Castañon, D. Francisco García Sala, .D. Ramón Bermudez Valledor, D. Alexandro Boni la y San Juan, D. Juan Uztariz y Valenciano, D. Manuel Martínez Wintuysen , D. Manuel de Luengas y Orive, :D. Domingo Sarachaga y Z aval a, D. Gavino de Arana y Arrióla, D. Joseph Obando y Ador</t>
  </si>
  <si>
    <t>Bonicelii, Joseph</t>
  </si>
  <si>
    <t>Joseph Bonicelii</t>
  </si>
  <si>
    <t>no, D. Bartolomé Monta! ño, D. Joseph Gómez deLatorre, D. Antonio Sarmiento, D. Antonio Hermosiíla, D. Joseph Bonicelii, D. Joseph de León, D. Patricio Kindélan, D. Ignacio Husey, D. Ignacio Maraver, D. Manuel Eligió, D. Antonio Mayone, D. Ramón Gómez, D. Diego Cortés, D. Juan O-Donovan, D. Joaquín</t>
  </si>
  <si>
    <t>Bonifaz y Bohorques, Juan Francisco</t>
  </si>
  <si>
    <t>Juan Francisco Bonifaz y Bohorques</t>
  </si>
  <si>
    <t>la promoción jde D..Manuel María de Arjona á la Canongía Penitenciaria de la catedral de Córdoba, á D. Juan Francisco Bonifaz y Bohorques. L En la compañía Española del Real cuerpo de Guardias de Corps se ha servido promover el Rey á Exento de numero al Exento supernumerario D. Joaquín Manglano; á Exentos supernumer</t>
  </si>
  <si>
    <t>Bonilla y Contretes, Juan Manuel</t>
  </si>
  <si>
    <t>Juan Manuel Bonilla y Contretes</t>
  </si>
  <si>
    <t>quisitas. Los profesores que quisieren pretenderle, lo harán por sí, ó por memorial que dirigirán á D. Juan Manuel Bonilla y Contretes, Escribano de dicho lugar, en el término de a.b días contados.desde hoy. Los hijos y en su defecto los nietos dé.losprimos-hermanosdelCapitan D. Vicente García, Ayudante 'qué fue</t>
  </si>
  <si>
    <t>Bonillay, Nicolás</t>
  </si>
  <si>
    <t>Nicolás Bonillay</t>
  </si>
  <si>
    <t>eterio Serra; y para una Capellanía del número de la catedral de .Guadix »j vacante , por muerte de D. Nicolás Bonillay á D. Torquáto Ignacio de Ortega, Beneficiado de Aparroquia de Santa A»a de aquella ciudad. S. M. se ha servido promover en el regimiento de Reales Guardias Walonas á primer Ayudan</t>
  </si>
  <si>
    <t>Bonsteten, Luis María</t>
  </si>
  <si>
    <t>Luis María Bonsteten</t>
  </si>
  <si>
    <t>seph Jubert, D. Ramón Figueroa, D. Francisco Uztariz, D. Juan de Dios Cabrera, D. Joseph Arredondo, D. Luis María Bonsteten, D. Luis Aygremont, D. Cárlos VauverdenyD. Aüigei Foxá, D. Joaquín de Cea, Don Joseph Éscovedoj Di Pedro Linares, D. Manuei^le San Pedro, D. Ramón de la Cuesta, D. Lorenzo Arroyo,</t>
  </si>
  <si>
    <t>Bonvet, Capitán</t>
  </si>
  <si>
    <t>Capitán Bonvet</t>
  </si>
  <si>
    <t>ompañero suyo Montroux, que era Capitán del puerto, estaban con guardias de vis^ ta en el navio deb Capitán Bonvet^* ^ ^ V j w ^ Se han suprimido en los quatro departamentos del Sarre; del Roer , del Rhin y Mosela, y del Mont-Tonerre, las órdenes monásticas, las congregaciones regulares, los t</t>
  </si>
  <si>
    <t>Boque de los Santos</t>
  </si>
  <si>
    <t>16, al segundo en el misnpo.Castelruiz,en Sigüenza á JD,. Antonio Joseph Vigil , ó en Medinaceli á D. Boque de los Santos. . &gt; El 29 de. Junio remitieron los Sres. Dotres Canadellycompañía, de Cádiz, £ los Sres. Illás y Gibert, de Barcelona, 2 vales Reales de a jóó^esos, de i.° dé Mayo , mims. 471,11</t>
  </si>
  <si>
    <t>Bordes, Vicente</t>
  </si>
  <si>
    <t>Vicente Bordes</t>
  </si>
  <si>
    <t>ngía Doctoral nuevamente erigida en la colegiata de la ciudad de S. Felipe, diócesis de Valencia, á D. Vicente Bordes -/para la Pavordía regular del Real monasterio de S. Salvador de Breda i D. Fr. Jayme de Guanter y de Basols: para una Ración de la catedral de Canaria, vacante por muerte de D. J</t>
  </si>
  <si>
    <t>Borgensteiern</t>
  </si>
  <si>
    <t>de 40 guardias de á caballo y un destacamento de dragones. Llegó á dicho pueblo el 16 por la tarde. Mr. Borgensteiern á su vuelta de aquella ciudad entregó al Margrave la llave de la caxa de oro en que está el corazón , la qual se cerró y selló por S. M. Sueca, y está contenida en otra de plata.</t>
  </si>
  <si>
    <t>Borgensteiern, Coronel</t>
  </si>
  <si>
    <t>Coronel Borgensteiern</t>
  </si>
  <si>
    <t>ecto así lo ha ejecutado. a Carlsruhe 18 de Febrero. ¿ \ las 4 de la tarde dei dia 15 llegó aquí el Coronel Borgensteiern, que pa^ó inmediatamente á palacio , y á presencia del Príncipe Luis y de toda la corte hizo la entrega del corazón del difunto Príncipe heredero de Badén, poniéndolo en manos de</t>
  </si>
  <si>
    <t>Borgia, Cardenal</t>
  </si>
  <si>
    <t>Cardenal Borgia</t>
  </si>
  <si>
    <t>io de la santa Iglesia, al Cardenal “Valenti: el de Prefecto de los estudios del Colegio romano, al Cardenal Borgia : el de Ecónomo dél propio Colegióla! Cardenal Vincenti; y el de Superior de la casa y de la iglesia de Jesús, al Cardenal Roverella. Igualmente ha conferido S. S. al Cardenal Car</t>
  </si>
  <si>
    <t>Borie</t>
  </si>
  <si>
    <t>de ciencias fisicomatemáticas en la sección de astronomía, en lugar del difunto ciud. Borie: á Mr. Jefferson, Presidente de los Estados-Unidos de América , por socio en la clase de ciencias morales y políticas: á Mr. Banks, Presidente perpetuo de la s</t>
  </si>
  <si>
    <t>Boringe de Nangi, Pedro</t>
  </si>
  <si>
    <t>Pedro Boringe de Nangi</t>
  </si>
  <si>
    <t>seph Ramón Caries. En el de Reales Guardias Walonas á primer Teniente de granaderos al de fusileros D. Pedro Boringe de Nangi; á primer Teniente ai segundo Teniente de granaderos D, Luis Perjgault de Rocheneutre, y á Alféreces á los Cadetes D. Francisco Xavier de Cabanes, Don Manuel de Tovar, D. Martin d</t>
  </si>
  <si>
    <t>Borla, Antonio</t>
  </si>
  <si>
    <t>Antonio Borla</t>
  </si>
  <si>
    <t>598 suya y baxo su dirección, vacunó el Sr. Antonio Borla, Cirujano, á 30, los mas párvulos de ambos sexos : había una ^ííucHaclia de 16 años y otra, muger casada de. sobre 20 ; en dicho tiempo había1 ¿ñas de tres palmos de; nieve, y hacia un frió</t>
  </si>
  <si>
    <t>Borlasca, Juan</t>
  </si>
  <si>
    <t>Juan Borlasca</t>
  </si>
  <si>
    <t>anellas, D. Joseph García Orozco, D. Joaquín Regnart y Pont, D. Domingo Larripa, £&gt;. Juan Rayberte, D. Juan Borlasca, D. Víctor Wirtz , D. Francisco Schnernaver, Don Jayme Stóffel, D. Joseph Chaqué, D. Jayme Steudinger, D. Juan Cristiano Bagnioud, D. Francisco Zey, D. Ghristóbal Fohn, D. Joséph</t>
  </si>
  <si>
    <t>Borosdiij, General</t>
  </si>
  <si>
    <t>General Borosdiij</t>
  </si>
  <si>
    <t>l Imperio otomano. _ Espéranse quanto antes aquí las tropas rusas que están en Ñapóles al mando del General Borosdiij.” Liorna 21 de Julio. E n virtud de la abdicación hecha en Roma por el Rey Carlos Manuel á favor de su hermano el Duque de Aost, publicó en Cagliari el Príncipe Carlos Félix de Sa</t>
  </si>
  <si>
    <t>Borosdin, General</t>
  </si>
  <si>
    <t>General Borosdin</t>
  </si>
  <si>
    <t>os y mánipbras cerca de Pórtici á presencia del Rey y del Príncipe Real. Mandaba las evoluciones el General Borosdin. Á la falda de una montaña situada no ldjos dé la ciudad de Atina, y perca del lugar de Agnone,se advirtieron hace pocas semanas algunas quiebras y aberturas que arrojaban llamas:</t>
  </si>
  <si>
    <t>Borrego, Manuel</t>
  </si>
  <si>
    <t>Manuel Borrego</t>
  </si>
  <si>
    <t>.. 135. 14. Muerto. Manuel Borrego... Antonio, María Llanos.... Valderas...... León.............. 420. 4. Id. Vicente García.... Antonio, Teresa</t>
  </si>
  <si>
    <t>Borroeta y Ozaeta, Manuel</t>
  </si>
  <si>
    <t>Manuel Borroeta y Ozaeta</t>
  </si>
  <si>
    <t>a, D. Martin Olavidey Andrade,D. Fernando Zambrano,D. Joseph Vertizveria, Don Joaquín Nuñez Falcon, D. Manuel Borroeta y Ozaeta, D. Antonio Piédrola y Verdugo,©. Pedro Mosti y Arrambide,D. Juan de Muía y Guevara, D. Joseph Achaval y Orueta, D. Pedro Ballesteros y Patino, Don Pedro Afán de Rivera, D. Benito</t>
  </si>
  <si>
    <t>Bosa, Juan</t>
  </si>
  <si>
    <t>Juan Bosa</t>
  </si>
  <si>
    <t>D. Juan Vidaror, D. Joseph Anillo, D. Mauricio Alva-, rez, D, Manuel Hinojosa, D. Joaquín Luyando, D. Juan Bosa, D. Bas^ cual Martinez, D. Juan Menendez,' D. Baltasar García Galio, D. Francisco Perea, D. Francisco Malpica y D. Alexandro Rivacoba. JSn América. El Rey se ha servido nombrar pa</t>
  </si>
  <si>
    <t>Botcilo, Francisco</t>
  </si>
  <si>
    <t>Francisco Botcilo</t>
  </si>
  <si>
    <t>7. 8. Presidio. Francisco Botcilo....... . Juan, Isabel Mexia............. , Almendral... , Badajoz.., .. 159. 8. Inválidos.</t>
  </si>
  <si>
    <t>Boucher</t>
  </si>
  <si>
    <t>rticular de Amiens, se firmará el tratado de paz en todo este mes. La muger del ciud. Boucher, oficial de cerrajero, dió á luz el 27 de Febrero 3 hijos, que hasta ahora se crian. En el pueblo de la Bouille, departamento del Sena-Inferior, murió el dia 2</t>
  </si>
  <si>
    <t>Boudet, General</t>
  </si>
  <si>
    <t>General Boudet</t>
  </si>
  <si>
    <t>ral La-Touche con 6 navios de guerra y 3 fragatas, y con 3® hombres de desembarco á las órdenes del General Boudet, se dirigió á Puerto Príncipe: y los 7 navios restantes de la esquadra francesa con los 4' españoles de mi mando, nos pusimos á las 3 de la tarde en derrota para el Cabo E ranees</t>
  </si>
  <si>
    <t>te mes el Contra-Almirante Latouche, llevando en su esquadra una división del exército al mando del General Boudet, se dirigió hácia Puerto-Republicano, para ocupar la parte del sur: y el dia 3 el Capitán de Navio Magon, llevando en su división al General Rochambeau con un cuerpo de tropas, na</t>
  </si>
  <si>
    <t>rante Látouche, se destinó á desembarcar en Puerto-Príncipe un cuerpo de exércitó;á las órdenes del General Boudet; y la segunda, á las del General Magon, fué á la enseiia-I da de Manzanilla para desembarcar allí las tropas del General Rochambeair y sostener su ataqué contra Fuerte-Delfín. Con</t>
  </si>
  <si>
    <t>er ai Ayudante de Boudet, su bote y todos los marineros que iban en él. El General Age dio aviso al General Boudet de que ya no le obedecían, y le encargaba no emprendiese un desembarco á viva fuerza, porque serviria de señal para dar muerte á todos los blancos, y para incendiar la ciudad. El dia</t>
  </si>
  <si>
    <t>ata la Guerrera para sondear las disposiciones de los comandantes, á quienes el primer Ayudante del General Boudet entregó cartas de reconciliación y la proclama de los Cónsules. Los negros prendieron á este oficial, al primer J eniente de la Guerrera, y á toda la tripulación del bote. Depusiero</t>
  </si>
  <si>
    <t>Bóúdét, General</t>
  </si>
  <si>
    <t>General Bóúdét</t>
  </si>
  <si>
    <t>ado: Fué conquistado el fuerte de ’S. Joseph del mismo modo qué las trincheras; y&gt;‘á¿ las y ,era el General Bóúdét dueño absoluto ele la ciudad y de todos los fuertes , á excepción*del Nacional, pero lo evacuaron los negros el 6 de Febfero sin dispararan tiró: Nuestra pérdida se reduce á jf© muer</t>
  </si>
  <si>
    <t>ras vecinas. El navio Aguila y algunas embarcaciones ligeras llevaban qco hombres á la Arcahaye. El General Boudet, después de asegurar la tranquilidad del departamento del Sur y de Puerto-Republicano, desembarcó en Monte-Rcui con las demas tropas para marchar á S. Marcos; y los navios Garza y</t>
  </si>
  <si>
    <t>en derrotar aquel cuerpo que habia conseguido algunas ventajas del General Humbert: y así mandé al General Boudet marchase hacia Rio Chico para cortar la retirada al enemigo, en caso que quedase derrotado en los Gonaives, como yo lo esperaba; pero ambas divisiones fueron inútiles para esta op</t>
  </si>
  <si>
    <t>con tanta generosidad como en Sto. Domingo durante ei mando de Santos y de sus partidarios. Como el General Boudet sabia la intención del General Laplume, comandante de la parte del Sur, de sometere al gobierno francés, no quiso abandonar aquella parte interesante, y así envió al Ayudante gene</t>
  </si>
  <si>
    <t>puéstos “de lds rebeldes, y desbastando todas sus tropas.* Pero en tintó ¿(ñ#Jpbr su üñion con él] General Boudet ocupaba todos los pueblos* y 'ciínípinás desde Lcógáné hasta Gonaives \y perseguía: á Dessalinés; Santos LouVerture y Chfistóbal reuniendo algunas tropas y millares de bandidos ,</t>
  </si>
  <si>
    <t>Bóudet, General</t>
  </si>
  <si>
    <t>General Bóudet</t>
  </si>
  <si>
    <t>mandado Restablecer y- armar, el .fuerte de la Crete-á-Pierrot, y he puesto en ■él guarnicibiv. El General Bóudet , quando;llegó *la esquadra á Puerto-Republicano , envió al ciud. Sábé, su Ayudante como parlamentario. Los negros te hicieron prisionero u le llevaban siempre consigo de. morro e</t>
  </si>
  <si>
    <t>Bouligni, Juan</t>
  </si>
  <si>
    <t>Juan Bouligni</t>
  </si>
  <si>
    <t>, á D. Miguel Casset. S. M. ha nombrado Ingeniero en segundo de sus exércitos, plazas y fronteras á D. Juan Bouligni, Ingeniero ordinario; y para este empleo al extraordinario D. Joseph Falck. El Rey se ha servido nombrar para la plaza del Consejo de las Orde</t>
  </si>
  <si>
    <t>Bóupmaii y Román, Joaquín</t>
  </si>
  <si>
    <t>Joaquín Bóupmaii y Román</t>
  </si>
  <si>
    <t>tps Bembiela y Ricpjp. Manuel Solís y.Sovia, Don Braulio Otálora , D. Francisco-Alvarez Sotomayor , D. Joaquín Bóupmaii y Román, D. Agustín; Mqnzon,D. Francisco deja Torre, D. Joseph deí Camino,D. Francisco González Calderón, D. Luis Cavaleri y Ponce, Don Orberto Michelena, D. Alipio de Roda y Duran, Di Ai</t>
  </si>
  <si>
    <t>Bour</t>
  </si>
  <si>
    <t>s por la negativa. 1 Escriben del Havre que el Ministro de Marina ha enviado al ciud. Bour</t>
  </si>
  <si>
    <t>BourdeauX</t>
  </si>
  <si>
    <t>iado bátávo.__ Pocas horas después salió este ultimo para el^Haya. Durante sti5 aüsencia^ desempeña Mr. BourdeauX ' ístó^ítooidhe^ de Encargado de Negocios dé’ Bolandá. :'»• -¿ ’jiz'.wr.h vvL-&gt;k V ti- El Cótídé^de GafctéllaSefír' qué* feta* Ministró déPRéjK de&lt;&gt;érdeñát, se ha : vfetd en -Iá:p</t>
  </si>
  <si>
    <t>Bourdier</t>
  </si>
  <si>
    <t>do la certidumbre de que niuguna persona vacunada ha tenido ahora viruelas.” El ciud. Bourdier, profesor de medicina en la escuela de París, ha empleado para matar la lombriz que llaman solitaria el remedio siguiente, que na surtido muy buenos efectos. S</t>
  </si>
  <si>
    <t>edio. Quando se cree qüe 5está laj lOmbriís ; en el canal: intestinal¿ añade el ciud. Bourdier á los &lt;'medioís arriba iúdié^-^ dos , una lavativa del mismo Cocimiento de helécho con dos grósos dé étéry. la qual se lé echa al enfermo después que ha tomado</t>
  </si>
  <si>
    <t>Bourgoing</t>
  </si>
  <si>
    <t>esgouttes, Comisario de comercio de Francia, fué presentado ayer á S. M. por el ciud. Bourgoing, Ministro de la misma República. Hamburgo ij¿ de Junio. E 1 dia 5 llegó ft Riga el Emperador de Rusia con el Conde de Kotschubey, Ministro de negocios extrange</t>
  </si>
  <si>
    <t>Bouvet, Almirante</t>
  </si>
  <si>
    <t>Almirante Bouvet</t>
  </si>
  <si>
    <t>la Guadalupe el 10 de Mayo. Trae la noticia de que el Gene^ ral Richepanse, la división del Contra-Almirante Bouvet , y el Prefecto Xescalier, hicieron su entrada en la Guadalupe el 6 de Mayo, tomaron posesión de aquella colonia sin disparar un tiro, y restableciéron en ella el sosiego y buen o</t>
  </si>
  <si>
    <t>Bovara</t>
  </si>
  <si>
    <t>Cremona la Censura, eligió por Presidente al ciud. Bassi, y por Secretarios los ciudadanos Lamberti y Bovara. Procedió después á nombrar para los destinos y empleos según las listas presentadas por los tres colegios ;, y promovió al Secretario de Estado Diego Guieciar</t>
  </si>
  <si>
    <t>Boyer, General</t>
  </si>
  <si>
    <t>General Boyer</t>
  </si>
  <si>
    <t>e podían molestarle por la espalda, y que cada dia incendiaban habitaciones inmediatas al campo. El General Boyer, que manda en esta ciudad y en el departamento del Norte, mandó atacarlos por 400 hombres en el puesto de Sta. Susana y en el castillo Seco. De ambos puntos fuéron arrojados con b</t>
  </si>
  <si>
    <t>e y las inmediaciones del Cabo; y llegó á reunirse, después de unas jornadas muy trabajosas, con el General Boyer. Durante estas operaciones el General Desfourneaux, que tenia baxo sus órdenes al General negro Maurepas, preservaba del saqueo y del incendio los distritos de Limbé, de Borgne, d</t>
  </si>
  <si>
    <t>voces falsas que divulgaba Santos, aquellos infelices cultivadores fuéron nuevamente seducidos. £1 General Boyer contuvo al enemigo á bastante distancia de la ciudad, hizo freqiientes salidas, y á lo ménos el Cabo no padeció daño ninguno. Hoy salió de la Crete-á-Pierrot el General Hardy para</t>
  </si>
  <si>
    <t>Brancis, Domingo</t>
  </si>
  <si>
    <t>Domingo Brancis</t>
  </si>
  <si>
    <t>en el de cazadores Volun ta riere de la Coró ha á~ segundó Teniente ai "Subteniente dé gastadores* D. Domingo Brancis. ^ El Rey se ha servido nombrar.para la plaza de Alcalde del crimen de la Audiencia de Extremadura, vacante por ascenso de D. Andrés Bustillo á otra de la misma clase, de la Chanc</t>
  </si>
  <si>
    <t>Brandembroukhe, Joseph</t>
  </si>
  <si>
    <t>Joseph Brandembroukhe</t>
  </si>
  <si>
    <t>M. se ha servido conceder el empleo de Capitán de Llaves de la plaza de Panamá al Capitán retirado D. Joseph Brandembroukhe. El Rey se ha dignado conceder el empleo de Capitán del esquadren de dragones Voluntarios de Guayaquil al Teniente D. Martin de Icaza; el que este dexa al Alférez D. Joseph Joaquí</t>
  </si>
  <si>
    <t>Brandis, Ramón Alberto</t>
  </si>
  <si>
    <t>Ramón Alberto Brandis</t>
  </si>
  <si>
    <t>autista Moure: en el de Cazadores Voluntarios de la Corona á Subteniente al segundo del de Hibernia D, Ramón Alberto Brandis: en el de Borbon á segundo Subteniente al Cadete del íixo de Ceuta D. Juan Quintanilla; y ha conferido el empleo de Teniente Coronel del regimiento de infantería Suizo de Courten</t>
  </si>
  <si>
    <t>Branly, Pedro</t>
  </si>
  <si>
    <t>Pedro Branly</t>
  </si>
  <si>
    <t>iego Cabra; á Teniente de granaderos al de fusileros D. Juan Montes; á Tenientes á los Subtenientes Don Pedro Branly, de bandera , D. Joseph y D. Pedro Sánchez Griñan, de granaderos ; á Subtenientes de granaderos los de fusileros D. Luis Arnaiz y D. Manuel Alonso; á Subtenientes de compañía los</t>
  </si>
  <si>
    <t>Braulio del Horno</t>
  </si>
  <si>
    <t>so. 8. Id. Braulio del Horno.............. Josef, ¡(Manuela Adan......... Pumer........... Tarazona....... 3. 6. Id. Antolin Santa María........... ....... .</t>
  </si>
  <si>
    <t>Braulio Martínez</t>
  </si>
  <si>
    <t>anuel Martínez-, D. Dionisio Pinedo, D. HemeterioMdtetio* D. Anacleto Orbañanos, D. Gerardo Moreno, D. Braulio Martínez, Don Vicente Heras y D. Valentín Gutiérrez. Y en la tercera D. Valentín Sa^ cristas, D. Manuel Arjumariz, D. Joseph Ruiz y D. Estiban de Estefanía. Barcelona zp de Setiembre. . :</t>
  </si>
  <si>
    <t>Braulio Otálora</t>
  </si>
  <si>
    <t>,íalite Diáz,;X). Miguel Dominfi¿ii4ez y Vargas, D. Sántps Bembiela y Ricpjp. Manuel Solís y.Sovia, Don Braulio Otálora , D. Francisco-Alvarez Sotomayor , D. Joaquín Bóupmaii y Román, D. Agustín; Mqnzon,D. Francisco deja Torre, D. Joseph deí Camino,D. Francisco González Calderón, D. Luis Cavaleri y</t>
  </si>
  <si>
    <t>Bravo de Rivero, Pedro Tadeo</t>
  </si>
  <si>
    <t>Pedro Tadeo Bravo de Rivero</t>
  </si>
  <si>
    <t>. Julián Carrion, al Racionero D. Joseph Joaquín de Ustariz ; y para la referida al Medio-Racionero D. Pedro Tadeo Bravo de Rivero. El Real y supremo Consejo de Castilla se ha dignado conceder facultad á la villa de la Solana, provincia de lá Mancha, para que pueda tener un mercado abierto los lunes de cada s</t>
  </si>
  <si>
    <t>tral de la misma iglesia: para una Media-Ración de la metropolitana de Lima, vacante por ascenso de D. Pedro Tadeo Bravo de Rivero á Ración de dicha iglesia, á D. Joseph Manuel Bermudez, Cura de la ciudad d® Huanico, en la citada diócesis; y para otra Media-Ración de la propia metropolitana, vacante por ascen</t>
  </si>
  <si>
    <t>Bravo, Alonso</t>
  </si>
  <si>
    <t>Alonso Bravo</t>
  </si>
  <si>
    <t>...... 622. 12. Id. Alonso Bravo .......:........ Diego, María Barrantes... Cáceres......... Cáceres....... . 64. 6* Id. Fernando Conejo.......... Manuel, MelchoraLu</t>
  </si>
  <si>
    <t>Bravo, Bernardo</t>
  </si>
  <si>
    <t>Bernardo Bravo</t>
  </si>
  <si>
    <t>o. 23. Licenciado. Bernardo Bravo.................. Manuel, Polonia Levia.... Sto. Domingo de la Calzada. 267. ja. Id. Agapito Pedroso........... . Manuel, Antonia Somalo.. Baños............. Sto. Domingo. 296.</t>
  </si>
  <si>
    <t>Bravo, Juan</t>
  </si>
  <si>
    <t>Juan Bravo</t>
  </si>
  <si>
    <t>go,.... 21. 23. Id. Juan Bravo......................... Jacinto, Agueda Diez......... Villasaracinos.Búrgos........... 36- «3- Antonio de! Rio.............. Blas , María Otero......... ..</t>
  </si>
  <si>
    <t>Bretón, Manuel</t>
  </si>
  <si>
    <t>Manuel Bretón</t>
  </si>
  <si>
    <t>oaquin de Mendoza, Gobernador de la de Oüvenza: para el de la plaza de Tdrtosa al Mariscal de Campo D. Manuel Bretón, Gobernador de la de Pamplona: para el de esta plaza al Mariscal de Campo D. Pedro Ignacio Correa, Gobernador de la de la Coruña: para esta resulta al Mariscad de Campo Don ¿ Anto</t>
  </si>
  <si>
    <t>Brido, Pedro</t>
  </si>
  <si>
    <t>Pedro Brido</t>
  </si>
  <si>
    <t>diano de la santa iglesia de Nicaragua, vacante por fallecimiento de D. Joseph López de la Plata, á D. Pedro Brido, Canónigo de gracia deria misma : para una Ración de la metropolitana de Santa Fe , vacante por muerte de D. Santiago de Burgos, á D. Manuel de Valenzuela, Cura del pueblo del Sop</t>
  </si>
  <si>
    <t>Brigadier Magues de Casa-Calvo</t>
  </si>
  <si>
    <t>ha servido S. M. promoverá Coronel del regimiento dé infantería de la Havana al Brigadier Magues de Casa-Calvo, Teniente'Coronel del de Cuba * y ha conferido! ésta Tenencia Coronela al Cpr? ronel P. Bartolomé Morales, Comandante del tercer batallón del mismo cuerpo ; esta resulta al Sargento mayor d</t>
  </si>
  <si>
    <t>Bringas López de Sagredo, Juan Antonio</t>
  </si>
  <si>
    <t>Juan Antonio Bringas López de Sagredo</t>
  </si>
  <si>
    <t>dolid al de la Dirección general, de la Armada D. Ramón Pisón y Vargas;, del Crimen de Valladolid á D. Juan Antonio Bringas López de Sagredo, Alcalde mayor de aquella ciudad; del Crimen de Sevilla á D. Antonio Quer y Villaró, Alcalde mayor de Córdoba; á D. Joseph Joaquín de Santa María, Alcalde mayor de Ecija, y á D.An</t>
  </si>
  <si>
    <t>Briz, Benito</t>
  </si>
  <si>
    <t>Benito Briz</t>
  </si>
  <si>
    <t>ren 25 o mas aciones propias deberán hacerlo constar en la secretaría del citado Banco del cargo de D. Benito Briz, exhibiendo las mismas acciones, o entregando testimonio suficiente que acredite su pertenencia y los números que eomprehendan, y si son adquiridas por endosos, á quien están llen</t>
  </si>
  <si>
    <t>Brome, Lord</t>
  </si>
  <si>
    <t>Lord Brome</t>
  </si>
  <si>
    <t>a América 4 navios de línea de la esquadra del Almirante Saumarez, y otros 5 de la de la Mancha. El Lord Brome , hijo del Marques de Cornwallis, ha llegado de Amiens á Douvres con dos correos ingleses y dos franceses. Estos traian pliegos para el ciud. Otto. Está pronto á dar la vela para</t>
  </si>
  <si>
    <t>Bronte, Duque</t>
  </si>
  <si>
    <t>Duque Bronte</t>
  </si>
  <si>
    <t>Junio. H a concedido el Rey á Mr. Horacio, Vizconde y Barón de Nelson del Nilo y de Burnhamthorpe, Duque Bronte en Sicilia, Vice-Almirante de la esquadra azul, caballero de la orden militar del Baño, gran cruz de la de S. Fernando y del Mérito, licencia de recibir y usar las insignias de la d</t>
  </si>
  <si>
    <t>Broussier, General</t>
  </si>
  <si>
    <t>General Broussier</t>
  </si>
  <si>
    <t>ral Charpentier , xefe de la plana mayor del exército, y ha hecho otros regalos igualmente ricos al General Broussier, Comandante de la plaza , y al ciud. Beaumont, Ayudante del General en xefe. Genova _p de Marzo. C así al mismo tiempo que se conducía á Roma el cadáver de Pió vi se sacaba de aqu</t>
  </si>
  <si>
    <t>Bruce, Lord</t>
  </si>
  <si>
    <t>Lord Bruce</t>
  </si>
  <si>
    <t>gado con cerca de mil barriles de aguardiente. De Amiens han llegado á Douvres algunos caballos del Lord Bruce, Lijo del Marques de Cornwallis. Parece cierto que Mr. Fox hará un viage á Francia, siendo su principal objeto consultar algunas memorias manuscritas relativas á Cárlos 11, de las</t>
  </si>
  <si>
    <t>Brugg, Juan</t>
  </si>
  <si>
    <t>Juan Brugg</t>
  </si>
  <si>
    <t>á Subteniente al Cadete D. Bautista Tobias; y en el de Betschart á Subteniente ai Sargento primero D. Juan Brugg. En el Real cuerpo de Artillería se ha servido S. M. conferir el empleo</t>
  </si>
  <si>
    <t>Bruña, Félix</t>
  </si>
  <si>
    <t>Félix Bruña</t>
  </si>
  <si>
    <t>....... 146. 5. Id. Félix Bruña... Andrés, Inés González:.... S. Martin.... Búrgos.......... 127. 22. Id. Josef Martínez. Francisco, MadaJena Hernánd</t>
  </si>
  <si>
    <t>Brune, General</t>
  </si>
  <si>
    <t>General Brune</t>
  </si>
  <si>
    <t>o de Jasricía lianombrado al ciud. Regnhr, Consejefd dé Estado; para Embaxádor én Constantinopla al General Bruñe, también del'Consejó*de Estado; y para individuos del propio Consejo á los ciudadanos TreilhárdY Presidente del tribunal de Apelación de París : Collin, director general; de aduan</t>
  </si>
  <si>
    <t>ncia de despedida el General Beurnonville, Embaxador dé la República cerca de S. M. Católica , y el General Bruñe , que va á Constantinopla con igual destino. El domingo 3 del corriente fuéron presentados al primer Cónsul los ciudadanos Conrbon, Obrien, Renaud, Chanal y Grosbos, sacerdotes de</t>
  </si>
  <si>
    <t>é un cuerpo dé tropas párá recibirle y ¿semita fié*' Ya lia emprendido su viage á Constantinopla éi General Bruñe, Embajador de Francia cerca del Gran Señor. El Ministro de Guerra há resuelto visitar todas1 las fortalezas y parajes en que han de hacerse nuevas fortificaciones para formar la l</t>
  </si>
  <si>
    <t>Brunet</t>
  </si>
  <si>
    <t>calidad de Ministro del Rey de Inglaterracerca del Rey de las Dos Sicilias. El ciud. Brunet, Ayudante, del General francés Murat, llegó á esta ca^ pital el 10 por la noche: dió cuenta al Sto. Padre de que llevaba orden pa? ra que saliesen de Ancona la</t>
  </si>
  <si>
    <t>Brunet, General</t>
  </si>
  <si>
    <t>General Brunet</t>
  </si>
  <si>
    <t>de amistad: fue indispensable marchar contra ellos, y en breve quedaron arrollados y dispersos. El General Brunet, Comandante de la vanguardia, entró con los fugitivos en los castillos de la Cala y de Labouque, y se apoderó á viva fuerza de los dos al cábo de una resistencia bastante fuerte.</t>
  </si>
  <si>
    <t>Bruneti, Juan</t>
  </si>
  <si>
    <t>Juan Bruneti</t>
  </si>
  <si>
    <t>ima Sra. Infanta Dofia María Isabel¿ Princesa de las Dos Sicilia^ y su augusto esposo, grabados por D. Juan Bruneti al estilo de Bartolozi,Opiados por los dibuxos originales de D. Antonio Carnicero, pintor de cámarafe¡¡s„; 5®., y maestro de dibuxo del Príncipe Ntro. Sr. y Sres. Infantes. Se hal</t>
  </si>
  <si>
    <t>Bruno</t>
  </si>
  <si>
    <t>el primer batallón del regimiento de Voluntarios de Castilla y segundo de Uitonia á los Presbíteros D. Bruno humeras y D. Carlos Fornás. También en el de dragones de Almansa ha promovido S. M. á Teniente al Alférez de granaderos D. Gabriel Escolar; y en el de Villavíciosa á Capitán al Ay</t>
  </si>
  <si>
    <t>Bruno Barrera</t>
  </si>
  <si>
    <t>eras! regías dé aritmética jpBte ^iebnte iWdo: de las oWigácibnesf/basítaÉ Ciapitaáirid^ clusivé, y D. Bruno Barrera hasta las del sargento. Dióse fim á este exercició por el manejo del arma y fuegos, mandado por el Cadete D. PL amon SanjurjoV El despejo con que éstbs caballeros desempeñaron su</t>
  </si>
  <si>
    <t>Bruno Muñoz</t>
  </si>
  <si>
    <t>de Leis y D. Bernardíno Ortega; á Tenientes i los Subtenientes de granaderos D. Basilio Irigoyen , D. Bruno Muñoz y D. Juan Joseph Viamont, y al de fusileros D. Juan López ; á Subtenientes de granaderos á los de fusileros D. Fernando Martínez, D. Juan del Pino y D. Pascual Agustín Martínez, y á S</t>
  </si>
  <si>
    <t>Bruno Palacio</t>
  </si>
  <si>
    <t>afael de Hore, y D. Joseph Espinosa Tello. A Capitanes de Navio los de Fragata ■i D. Juan Carranza, D. Bruno Palacio*, D. Juan Elizalde y Uztariz, D. Tomas Herrera y Cruzat, D. Juan Ignacio Bustillos, D. Felipe Tcurneil, D. Pedro Esquível, D. Pedro de Mesa, D. Ignacio Olaeta, D. Joaquín Gómez Ba</t>
  </si>
  <si>
    <t>Bruyéres</t>
  </si>
  <si>
    <t>* de 8 dé -iMayo*. lia primera dice así„ Despacho ú toda priesa mi Ayudante el ciud. Bruyéres para daros cuenta de los felices acontecimientos!que acaban de restablecer el sosiego en esta grande y hermosa eóloniá. Habréis récibido los pliegos en que os</t>
  </si>
  <si>
    <t>BSfiilio Gabaña</t>
  </si>
  <si>
    <t>120. 32. Id. BSfiilio Gabaña......... ........ Antonio, Teresa García.... Población de Cerrato.... Palencia.....</t>
  </si>
  <si>
    <t>Buce, Luis</t>
  </si>
  <si>
    <t>Luis Buce</t>
  </si>
  <si>
    <t>pequen? foramen á distancia de dos pulgadas del borde lateral* del podex sobre la nalga izquierda. Don Luis Buce i,Cirujano titular de esta vijia, le aplico e! hilo de p Ionio, y ¿ios ioj días logro su perfecta curación ; en cuyo intermedio, por 19 envejecido de la entermeaad, y habérsele de</t>
  </si>
  <si>
    <t>Bucely, Luis</t>
  </si>
  <si>
    <t>Luis Bucely</t>
  </si>
  <si>
    <t>n 1j$ puerto? de aquella isla. Piznela de las Torres, partido de Alcald de Henares¡ 18 de Agosto. A D. Luis Bucely, Cirujano latino titular en ambas facultades en esta villa, se le presentó el 6 de Mayo de este año el P. Fr. Nicolás Madrigal, del convento de la Mejorada, orden de S. Gercniimo,</t>
  </si>
  <si>
    <t>Buch y Buch, Manuel</t>
  </si>
  <si>
    <t>Manuel Buch y Buch</t>
  </si>
  <si>
    <t>lle de Leganitos, núm. xa. Don Manuel Codina y compañía, de Barcelona, remitiéron el it de Agosto é D. Manuel Buch y Buch ,de Cádiz, tres vales de 130 pesos, de i.°"de Setiembre, núms. 156,064, 416,405 y 184,110 , y uno de 300 pesos, de i.° de Enero, núm. 105,749 : y no habiendo llegado á manos de di</t>
  </si>
  <si>
    <t>Buchanan</t>
  </si>
  <si>
    <t>a con el Conde de S. Vicente, primer Lord del Almirantazgo ó Ministro de Marina. Ha muerto en Malta Mr. Buchanan , Capitán del navio Huerlem, y se le dió sepultura al lado del General Abercrombie. Según cartas de la propia isla se sabia por noticias de Egipto que los</t>
  </si>
  <si>
    <t>Buena, Joseph</t>
  </si>
  <si>
    <t>Joseph Buena</t>
  </si>
  <si>
    <t>.Sargento mayor del de dragones de Pavía; y ha nombrado Alférezcetu el de caballería de Alcántara á D. Joseph Buena, Portaestandarte del mitmO' cüerpóV ‘ En Ainéric‘a.' 'Ha promovido S. M. á Capitanes del batallón de milicias disciplinadas de'blancos de Valencia á los Tenientes'D.'Miguel Garate</t>
  </si>
  <si>
    <t>Buendia, Fernando</t>
  </si>
  <si>
    <t>Fernando Buendia</t>
  </si>
  <si>
    <t>para dirigida en caso necesario á la Real academia latina matritense. Concluidlos líos exercicios, D. Fernando Buendia , Cura de la parroquial de Santiago, pronunció un discurso alusivo al asunto (como lo había hecho también el dia que se principiaron), y dicho Corregidor señaló el dia 11 para dis</t>
  </si>
  <si>
    <t>Buffi, Joseph</t>
  </si>
  <si>
    <t>Joseph Buffi</t>
  </si>
  <si>
    <t>Ración de Coro y Altar de la catedral de Ibiza , vacante por fallecimiento de D/ Antonio Calvet, á D. Joseph Buffi; y para la Camarería Regalar del R eal monasterio deS. Salvador:de Breda, de la Congregación Benedictina Claustral en-Cataluña., á D. Fí. Jpseph Seguer y Pages. ..... En el regimi</t>
  </si>
  <si>
    <t>Buil, Joseph</t>
  </si>
  <si>
    <t>Joseph Buil</t>
  </si>
  <si>
    <t>Ración penitenciaria de la parroquia de AHllanueva de la Huerva , en el arzobispado de Zaragoza., á D. Joseph Buil: para el Beneficio de la catedral de Mallorca , vacante por fallecimiento de D. Jayme Canellas , á D. Christóbal Casanova: para otro de la parroquia de Sta. María del Mar de la ci</t>
  </si>
  <si>
    <t>Buol</t>
  </si>
  <si>
    <t>ado austríaco de Buol de Schauenstein*. á lo menos han tenido varias conferencias, y luego despachó Mr. Buol un extraordinario á Viena-----Trátase nuevamente de la cesión de la parte del Alto-Palatinado situada en la izquierda del Naab, mediante otras indemnizaciones que la corte de Aust</t>
  </si>
  <si>
    <t>Buol-Schauenstein, Barón</t>
  </si>
  <si>
    <t>Barón Buol-Schauenstein</t>
  </si>
  <si>
    <t>ro. N o ha llegado á firmarse el convenio que se aseguró estaba ajustado entre Mr. de Mongelas y el Barón Buol-Schauenstein, en orden á la cesión de la ribera derecha del Inn al Gran Duque de Toscana, y de una parto del Alto-Palatinado á la Bohemia; y ántes bien vuelve á asegurarse que se han roto las</t>
  </si>
  <si>
    <t>Bur, Joseph María</t>
  </si>
  <si>
    <t>Joseph María Bur</t>
  </si>
  <si>
    <t>üntoéñr*A¿mería , que son X). Jo— sejphT María dé'Toro ¿ Jurado 'del~Ncabildo de7 dicha ciudad '9 y D. Joseph María Bur, presbítero; y capelTad Real de aquella santa iglesia. El Lie. D. Juan AlvarOz-Bosadilla,., autor de la Práctica criminal que ha publicado íen '3; tbmbs4, Vd^árimptiniir con Real</t>
  </si>
  <si>
    <t>Burchardo Aléxos Constantino de Rrudner, Barón</t>
  </si>
  <si>
    <t>Barón Burchardo Aléxos Constantino de Rrudner</t>
  </si>
  <si>
    <t>s anuales para el Príncipe heredero. El 13 por la noche murió de apoplexía á los 58 años de edad el Barón Burchardo Aléxos Constantino de Rrudner, Consejero íntimo, y Enviado extraordinario del Emperador de Rusia en las cortes de Berliiv y Dresde, Gran Cruz de la orden de S. Valdomiro, Comendador de la de S. Juan, y caballe</t>
  </si>
  <si>
    <t>Burckhardt</t>
  </si>
  <si>
    <t>licado el siguiente aviso: Mr. Olbers, célebre astrónomo de Bremen , escribe al ciud. Burckhardt que el 28 de Marzo descubrió un nuevo cometa ó planeta, que aparece como una estrella de 7.a magnitud: tenia 184 gr. jó min. de ascensión recta, y ngr. 53 min.</t>
  </si>
  <si>
    <t>planeta por Mr. Olbers, de Brema, se disputaba sobre si era un cometa; pero el ciud. Burckhardt acaba de quitar las dudas. Ee ha observado con el sobrino del ciüd. Lalande; y ha hallado qué su revolución es de 4 años y S meses, como para el planeta de;Pia</t>
  </si>
  <si>
    <t>Bureau, Joseph</t>
  </si>
  <si>
    <t>Joseph Bureau</t>
  </si>
  <si>
    <t>, D. Carlos Mori, D. Felipe Beautort, D. Salvador Perillos, D. Melchor Calatayud, D. Manuel Lapeña, D. Joseph Bureau, D. Juan Carrafa, el Marques de la Solana, D. Arturo O-Neille, Duque de San Carlos, D. Francisco Xavier Castaños, D. Francisco Ta— raneo, el Marques de Alcocebar, D. Francisco Fgu</t>
  </si>
  <si>
    <t>Burg</t>
  </si>
  <si>
    <t>l premio de 62) francos que había propuesto en favor del que hiciera las mejores tablas de la luna. Mr. Burg, astrónomo de Viena, ha conseguido (combinando de 3 á 4® observaciones) formar tablas que no discrepan 10 segundos délas observaciones. Este es el mayor beneficio que la astronomí</t>
  </si>
  <si>
    <t>ia del primer Cónsul, á quien dió Cuenta de haber el instituto adjudicado el premio de 6© francos á Mr. Burg, astrónomo adjunto del observatorio imperial de Viena, autor de las nuevas tablas lunares. El primer Cónsul tomó muchos informes sobre las partes de este trabajo, y sobre la perso</t>
  </si>
  <si>
    <t>M. Prusiana i ocupar los países que apetece. El primer Cónsul ha escrito una carta muy lisonjera á Mr. Burg, que está empleado en el observatorio der esta capital, y ie propone que váya á' Páriv ‘ De resultas del encuentro que ha habido en las frontéras de Transilvania entre nuestras tr</t>
  </si>
  <si>
    <t>Burget, Capitán</t>
  </si>
  <si>
    <t>Capitán Burget</t>
  </si>
  <si>
    <t>nte pena capital. En la iglesia de Westminster se colocarán los sepulcros que se están haciendo del Capitán Burget, que murió en una batalla contra ios holandeses, del Lord Howe, del General Abercrombie, y de los Capitanes Morse y Riou; pero por ahora no se trata del gran monumento naval, que</t>
  </si>
  <si>
    <t>Burgos, Joseph</t>
  </si>
  <si>
    <t>Joseph Burgos</t>
  </si>
  <si>
    <t>orre y Val de S. Pedro, del mismo obispado : para otra de la propia catedral, vacante por muerte de D. Joseph Burgos , á D. Juan Manuel Fernandez Reyero, Cura de Pinar Negrillo, de la misma diócesis : para otra Canongía de la catedral de Avila, vacante por fallecimiento de D. Joseph de Soria, á</t>
  </si>
  <si>
    <t>Burgos, Lorenzo</t>
  </si>
  <si>
    <t>Lorenzo Burgos</t>
  </si>
  <si>
    <t>o Alburquerque, D. Blas González, D. Juan María de Soto, D. Francisco Caballero, D. Ignacio Merlos, Don Lorenzo Burgos^, D. .Joseph Arata,p. Ildefonso Larrauri ,D. Tomas ligarte, D. Ignacio de; la Luz, D. Francisco Sánchez, p. Joseph Aymericb, D. Jacobo Dubrevil , D. Francisco Robles; D. Angel Fue</t>
  </si>
  <si>
    <t>Búrgos, Manuel</t>
  </si>
  <si>
    <t>Manuel Búrgos</t>
  </si>
  <si>
    <t>....,. • 9. 13. Id. Manuel Búrgos....................Julián, Teresa Gutiérrez... Villasirga.... Palencia... .. 13* Id. Patricio Picón............... Antonio, Manuel</t>
  </si>
  <si>
    <t>Burriel, Andrés</t>
  </si>
  <si>
    <t>Andrés Burriel</t>
  </si>
  <si>
    <t>andante de cazadores al primeT Teniente-D. Fermín Carasa,; y á Alférez de cazadores ai de fusileros.D. Andrés Burriel. Y en el de Reales Guardias Waionas á primer Teniente al segundo Teniente de granaderos , graduado de Teniente Coronel, D. Luis María Joseph de Bous-; teten. S. M. se Jia servida</t>
  </si>
  <si>
    <t>Busitllós, Juan Ignacio</t>
  </si>
  <si>
    <t>Juan Ignacio Busitllós</t>
  </si>
  <si>
    <t>complaceiícia á. estos! habitantes.^ . r ^ 0 - Por la! fragata Atocha al mandó del Capitán de Navio D. Juan Ignacio Busitllós, que fondeó en Rosas el 26 del pasado, despachada de la ésqüádra de S. M. que manda el Excmo. Sr. Marques del Socorro, se ha recibido la agradable noticia de que llegaron felizmen</t>
  </si>
  <si>
    <t>Bustamante Mannque, Joseph</t>
  </si>
  <si>
    <t>Joseph Bustamante Mannque</t>
  </si>
  <si>
    <t>tes, Dea Antonio Montenegro Espantoso, 0. Pedro Hurtado de Corcuera, D. Simón Londoño y Collantes , D. Joseph Bustamante Mannque, D. Joseph de Toledo y Duboii &gt;&gt;30. Manoel Salayerriai¡y Sanchez , D.; JorgoGarcíá Giapitmir,.0*. Eugenio Vizcaíno y;Martinez*D.Jo*eph :de Ta^Puentey fÁran«ifen.* D? Joseph de Seq</t>
  </si>
  <si>
    <t>Bustamante y Bustamante, Fernando</t>
  </si>
  <si>
    <t>Fernando Bustamante y Bustamante</t>
  </si>
  <si>
    <t>íctor Vinader y Paz, D. Vicente de Lago y León, D. Per dro de Landazuri, D. Joaquín Soroa y Soroa , D. Fernando Bustamante y Bustamante, D. Adrián Morqúecho, D. Mateo Vicente y Crespo, Don Joseph Bazan y Villaroel, D. Juan Septien y Salinas , D. Domingo^ Pavía y Seix, D. Bartolomé Arguelles y Valdes, D. Femando Be</t>
  </si>
  <si>
    <t>Bustillo Cuéva, Fernando</t>
  </si>
  <si>
    <t>Fernando Bustillo Cuéva</t>
  </si>
  <si>
    <t>enito Santacilia, D. Cosme- Carranza, D. Joseph Melendez, D. Antonio Pareja, D. Francisco Piedrola, D. Fernando Bustillo Cuéva,' D. Francisco Vízcarrondo, D. Santiago Irrisarri y Sarti, D. Joaquín: dé Castañeda , D. Francisco Riquelme , D. Joseph de la EnoU na, D. Pedro Saenz de la Guardia, D. Salvador de</t>
  </si>
  <si>
    <t>Bustillo, Andrés</t>
  </si>
  <si>
    <t>Andrés Bustillo</t>
  </si>
  <si>
    <t>nombrar.para la plaza de Alcalde del crimen de la Audiencia de Extremadura, vacante por ascenso de D. Andrés Bustillo á otra de la misma clase, de la Chancillería de Granada, á DV Juan López, de Vinuesa; y para la Fiscalía del Consejo Real de Navarra, vacante por promoción de D.. Adrián Marcos Ma</t>
  </si>
  <si>
    <t>Bustillos, Juan Ignacio</t>
  </si>
  <si>
    <t>Juan Ignacio Bustillos</t>
  </si>
  <si>
    <t>gata ■i D. Juan Carranza, D. Bruno Palacio*, D. Juan Elizalde y Uztariz, D. Tomas Herrera y Cruzat, D. Juan Ignacio Bustillos, D. Felipe Tcurneil, D. Pedro Esquível, D. Pedro de Mesa, D. Ignacio Olaeta, D. Joaquín Gómez Barreda, D. Benito Santacilia, D. Cosme- Carranza, D. Joseph Melendez, D. Antonio Par</t>
  </si>
  <si>
    <t>Butrón, Tomás</t>
  </si>
  <si>
    <t>Tomás Butrón</t>
  </si>
  <si>
    <t>D. Joseph Ignacio del Castillo: para Ensayador 2.0 de número de la Real Casa de Moneda de México á D. Tomas Butrón: para Ensayador i.° supernumerario de la misma Real Casa á D. Henríque Buenaventura Azorin: para 2.0 de esta clase en ella á D. Joseph García Anzaldo: para Oficial mayor de la Con</t>
  </si>
  <si>
    <t>BuxtoríF</t>
  </si>
  <si>
    <t>s. Parte del primero se ¡untó repentinamente, desarmó al batallón y maltrató al ciud. BuxtoríF su comandante, que corrió riesgo de ser asesinado. En seguida tomó posesión aquella tropa de la armería pública y de la casa de Ayuntamiento. Las puertas de Ba</t>
  </si>
  <si>
    <t>CaamañoyPardo, Vicente</t>
  </si>
  <si>
    <t>Vicente CaamañoyPardo</t>
  </si>
  <si>
    <t>ro'de la Cueva, D..Antonio de Medina y Miranda,* Don; Joseph Doronzoro Parra, DI Nicolás de Meñaca, D. Vicente CaamañoyPardo , D. Pddro Cbntreras, D. Pedro Costales y Pareja, D. Lorenzo Ortiz Canela, D. Marcelino Dueñas y Vega, D. Joseph Tobías y Rodríguez, D. Rafael Domínguez Aguayo, D.. Jacinto Valdas</t>
  </si>
  <si>
    <t>Caamuño y Pardo, Joseph</t>
  </si>
  <si>
    <t>Joseph Caamuño y Pardo</t>
  </si>
  <si>
    <t>h de la Cresta, D. Miguel Cavaleri, Don1 Ñuño de Ja Cueva y Alcedo, D. Santiago Zaldivar y BurgíSa, D. Joseph Caamuño y Pardo, IX Martin Sarratea y Mayora, D. Martín Lazaga ys Uria , D. Manuel- de Camba -y Leys, D. Salvador Escandon y Antayo, D. Asiutin Maldonadoy Piméntel,:D. Miguel del Busto, D. Manuel</t>
  </si>
  <si>
    <t>Caballero Basave, Joseph</t>
  </si>
  <si>
    <t>Joseph Caballero Basave</t>
  </si>
  <si>
    <t>es ; y el empleo de Ministro Contador de las Reales Caxas de San Luis Potosí, en el propio Reyno, á D. Joseph Caballero Basave. También se ha servido S. M. conferir la lntendencia.de exército y Real Hacienda de Ja provincia de Venezuela y sus agregadas, en Caricas L D.F rancisco Manuel de Arce. Igualmente</t>
  </si>
  <si>
    <t>Caballero Campo y Herrera, Joseph Antonio</t>
  </si>
  <si>
    <t>Joseph Antonio Caballero Campo y Herrera</t>
  </si>
  <si>
    <t>e el Sr. Embaxador á firmar las capitulaciones. Puesto en pie á la derecha de la mesa el Excmo. Sr. D. Joseph Antonio Caballero Campo y Herrera, Gentilhombre de Cámara con exe.rcicio, del Consejo de Estado, Secretario de Estado y del Despacho universaí de Gracia y Justicia, encargado interinamente 'dél de Guerra, y Notari</t>
  </si>
  <si>
    <t>Caballero Forteguerri</t>
  </si>
  <si>
    <t>ogándole la cerrase y la dirigiese á su destino ; pero la envió sin cerrarla al Caballero Forteguerri, Ministro de Guerra en Nápoles, el qual sabiendo por este medio nuestros apuros, me remitió al instante un vestuario completo para 300 hombres. No hallé reparo en aceptar esta oferta hecha</t>
  </si>
  <si>
    <t>Caballero y Obando, Gerónimo</t>
  </si>
  <si>
    <t>Gerónimo Caballero y Obando</t>
  </si>
  <si>
    <t>Luis'Blanchi y Munarini, D. Joseph Kenrique Forvin, D. Joaquiir dé Villalba, D. Candido de Lasala ¿ D. Gerónimo Caballero y Obando, Don Dmñiirqo Mótiteverdéi¡ Dí Joireph' dé li Muela‘;Gutierrez , D Pedro Marfand ^Gallego i D. Rafael Ximenez de Montalho, D. Pedro Baeza y Alcalde ,D. Modesto Ibañéz de Corbera,</t>
  </si>
  <si>
    <t>Caballero, Basilio</t>
  </si>
  <si>
    <t>Basilio Caballero</t>
  </si>
  <si>
    <t>il: para la Prestamera de la villa de Guadalcázar, en la diócesis de Córdoba, vacante por muerte de D. Basilio Caballero, á D. Miguel Ibarra, con retención de la Capellanía que obtiene.; y para el Beneficio Préstamo de Viilanueva de Cameros , en la diócesis de Calahorra, vacante por Ldlecii’nientc'</t>
  </si>
  <si>
    <t>Caballero, Francisco</t>
  </si>
  <si>
    <t>Francisco Caballero</t>
  </si>
  <si>
    <t>illaescusa, D. Miguel Emparan , D. Francesco Alburquerque, D. Blas González, D. Juan María de Soto, D. Francisco Caballero, D. Ignacio Merlos, Don Lorenzo Burgos^, D. .Joseph Arata,p. Ildefonso Larrauri ,D. Tomas ligarte, D. Ignacio de; la Luz, D. Francisco Sánchez, p. Joseph Aymericb, D. Jacobo Dubre</t>
  </si>
  <si>
    <t>Caballero, Joseph</t>
  </si>
  <si>
    <t>Joseph Caballero</t>
  </si>
  <si>
    <t>los que 1% soliciten de dentro y fuera de la ciudad; y llevan por encargo del Corre—’ gidor de ella D. Joseph Caballero un estado bien circunstanciado de los que se vacunan, el qual se ha de conservar entre las actas capitulares para que se tenga presente quando ocurra una epidemia de viruelas. Zar</t>
  </si>
  <si>
    <t>Caballero, Joseph Antonio</t>
  </si>
  <si>
    <t>Joseph Antonio Caballero</t>
  </si>
  <si>
    <t>eligencia que los caballeros seminaristas manifestaron en sus respuestas y explicación. El Exc. Sr; D. Joseph Antonio Caballero, protector del seminario, que asistid á estos actoi todos los días que se lo permitieron sus ocupaciones, y se sirvió hacer varias preguntas, y señalar algunos pasages de los auto</t>
  </si>
  <si>
    <t>l dosel, y firmó en segunda columna, frente de la última persona Real. Puesto S. E. en "pie, el Sr. D. Joseph Antonio Caballero no usó del otro taburete que le estaba destinado para firmar la escritura como Notario mayor; aunque después legalizó una copia que llevaba prevenida, y la entregó al Sr. Embaxado</t>
  </si>
  <si>
    <t>Caballero, Joseph António</t>
  </si>
  <si>
    <t>Joseph António Caballero</t>
  </si>
  <si>
    <t>da órden española de Cdrlos -m. ; Las ha concedido S. M.’ á los Exchió's/S'reM: D. Pedro Ccvallos ; D. Joseph António Caballero.p'D. DotnirigOyGrahdállaria; D. Miguel Cayetano Soler; D. Díegb de Godojr; D. JoisépKCEüstía^óip ?M0renü;¿Mar^ués dé Gerralbo; Marques de San Simón; Conde déTrastainara; Marqués d</t>
  </si>
  <si>
    <t>uerra D. Antonio Vago. Madrid J2 de Octubre. E 1 Rey se ha servido dirigir, en 5 de éste mes al Sr. D. Joseph Antonio Caballero el Real decreto del. tenor, siguiente: ,, Én celebridad del feliz desposorio del Principe de Astúrias mi muy cato y amado hijo, he venido en conceder un indulto general á todos los</t>
  </si>
  <si>
    <t>Caballero, Pedro</t>
  </si>
  <si>
    <t>Pedro Caballero</t>
  </si>
  <si>
    <t>64. 17. Id. Pedro Caballero.................. Pedro, Madalena Garrido. Reboreda,... Tuy................ i^3- 3*. Id. Cárlos QuiutanKla.............. Antonio, María Calvito... Villa</t>
  </si>
  <si>
    <t>Caballero, Pedro Antonio</t>
  </si>
  <si>
    <t>Pedro Antonio Caballero</t>
  </si>
  <si>
    <t>e la villa de Mancha Real á D. Miguel Calveton: para el de las quatro villas de la Hoya de Málaga á D. Pedro Antonio Caballero: para el de la ciudad de Baeza á D. Pedro Sotero Casado de Alviz: para la Vara de Alcalde mayor de la de Málaga á D. Benito Saiz de Villegas: para la primera de la de Córdoba, que</t>
  </si>
  <si>
    <t>Cabero, Juan Antonio</t>
  </si>
  <si>
    <t>Juan Antonio Cabero</t>
  </si>
  <si>
    <t>381. 18. Id. Juan Antonio Cabero......... Alonso, Josefa Alvarez.... Toral............. León.............. 182. 9. Muerto, Pedro Moran..................... . Josef, María Rodríguez.... Estébanez.... Le</t>
  </si>
  <si>
    <t>Cabeza, Basilio Ángel</t>
  </si>
  <si>
    <t>Basilio Ángel Cabeza</t>
  </si>
  <si>
    <t>nguídanos y la Pesquera, en la misma diócesis de Cuenca, vacante por muerte de D. Salvador Sainz, á D. Basilio Angel Cabeza, Capellán del regimiento de infantería de Zamora. En el regimiento de Reales Guardias Españolas se ha servido el Rey promover á Capitán al primer Teniente y Comandante de granader</t>
  </si>
  <si>
    <t>Cabezas, Manuel</t>
  </si>
  <si>
    <t>Manuel Cabezas</t>
  </si>
  <si>
    <t>103. 23. Id. Manuel Cabezas................ Ramón, Agustina Santos.. Cabreros .... León. ... 5. 25. Presidio. Manuel Hermida................ Luis, Margarita Hermi</t>
  </si>
  <si>
    <t>Cabra, Diego</t>
  </si>
  <si>
    <t>Diego Cabra</t>
  </si>
  <si>
    <t>de Ayudante del batallón de Pardos libres de Ja Havana, D. Francisco Campos; á Ayudante al Teniente D. Diego Cabra; á Teniente de granaderos al de fusileros D. Juan Montes; á Tenientes á los Subtenientes Don Pedro Branly, de bandera , D. Joseph y D. Pedro Sánchez Griñan, de granaderos ; á Subt</t>
  </si>
  <si>
    <t>Cabrera de Siero</t>
  </si>
  <si>
    <t>443. 5. Muerto. Cabrera de Siero......... Oviedo....... 136. Id. Francisco Argentes........... . Francisco, Mariana Caballero................................... Chelva.......... Segorve</t>
  </si>
  <si>
    <t>Cabrera, Agustín</t>
  </si>
  <si>
    <t>Agustín Cabrera</t>
  </si>
  <si>
    <t>e Contreras , D. Pedro Lobo y Arjona, D. Diego Orbaneja, D. Joseph Medrano, D. Joaquín de la Chica, D. Agustín Cabrera, D. Antonio Franchi,D. Rafael de Zuniga, D. Gerónimo Martin Cortés, D. Ramón Bétes, D. Francisco Portillo, D. Tomas Salcedo, D. Fernando Moyano, D. Juan Alabés, D. Juan Macarti, 0</t>
  </si>
  <si>
    <t>Cabrera, Joseph</t>
  </si>
  <si>
    <t>Joseph Cabrera</t>
  </si>
  <si>
    <t>tinez, Don Bartolomé Navarrete, D. Santiago Fernandez, D. Felipe López de Arjona, D. Joseph Rivera, D. Joseph Cabrera, D. Ignacio Salens , D. M.a-. nuel Vázquez, D. Juan Vidaror, D. Joseph Anillo, D. Mauricio Alva-, rez, D, Manuel Hinojosa, D. Joaquín Luyando, D. Juan Bosa, D. Bas^ cual Martinez,</t>
  </si>
  <si>
    <t>Cabrera, Juan de Dios</t>
  </si>
  <si>
    <t>Juan de Dios Cabrera</t>
  </si>
  <si>
    <t>a, D. Joseph Lasala, D. Francisco Oviedo,D. Joseph Jubert, D. Ramón Figueroa, D. Francisco Uztariz, D. Juan de Dios Cabrera, D. Joseph Arredondo, D. Luis María Bonsteten, D. Luis Aygremont, D. Cárlos VauverdenyD. Aüigei Foxá, D. Joaquín de Cea, Don Joseph Éscovedoj Di Pedro Linares, D. Manuei^le San Pe</t>
  </si>
  <si>
    <t>Cabrera, Pedro</t>
  </si>
  <si>
    <t>Pedro Cabrera</t>
  </si>
  <si>
    <t>yeJe Torton^eguf* &gt;‘0i Ramón Pchagiie, 0, Manuel Geta)d«np y Moya r 0í Pernaódo Éizarra y Tari-iva* D. Pedro Cabrera.y 0¡a*y ÍX¡ Antonio fdej, Corro y Camusó, D. Diego de Quevedo Alvarado , 0. Juan Portillo y V^co , y 0. Francisco Perez de Grandallana. , a , a •. . :..j &lt; , -vi, .v r1 'M i , AAl</t>
  </si>
  <si>
    <t>Cacault</t>
  </si>
  <si>
    <t>ano ha concluido el busto colosal de mármol del primer Cónsul: se lo encargó el ciud. Cacault, Ministro de la República francesa, que en breve lo enviará á Paris. De resultas de un insulto apoplético ha muerto el Cardenal Gallo, Obispo de Viterbo; y est</t>
  </si>
  <si>
    <t>cretario de Estado , y después tuvo audiencia del Sto. Padre , acompañándole el ciud. Cacault, Embaxador de Francia. La pensión que el Duque de Aost, nuevo Rey de Cerdeña, ha señalado ú su Real hermano, consiste en 50® pesos. El anticuo Soberano se reti</t>
  </si>
  <si>
    <t>Caeeiá</t>
  </si>
  <si>
    <t>Por presidente ha indo 'nombrado elcindadaño Beuvenuti, y por Secretarios tosí ciudadanos Caeeiá y Portón ; 1 • 1 El 12 de este mes se experimentó eii Géñdva un terremoto bastante fuerte, el qual se dilató por la' ribera, y corrió también1 basté Parma, MU km y Suiz</t>
  </si>
  <si>
    <t>Caequillo, Juan</t>
  </si>
  <si>
    <t>Juan Caequillo</t>
  </si>
  <si>
    <t>ueroa, Don Diego Calvo, D. Manuel Antonio de Mora y Ramos, D. Francisco Campos, D. Joaquín Langelé, D. Juan Caequillo, D. Pedro Barat, D. Antonio Vayllant, D. Lúeas Alvarez, D. Joseph Maitmez, D. Francisco Xavier Lamadrid, D. Joseph Antonio HerrezuéloD. Joseph Soto, D. Francisco Leysél, D. Mauric</t>
  </si>
  <si>
    <t>Cafareli Duf, General</t>
  </si>
  <si>
    <t>General Cafareli Duf</t>
  </si>
  <si>
    <t>entre ellas unas memorias sobre el espíritu público, sobre la filosofía de Kant y sobreda, vida del General Cafareli Duf&amp;lga: descripción de Constantinopla, y análisis de la» obra Amenidades filosóficas, con noticia crítica de los mejores, escritores antiguos., y, nioden* nos de filosofía moral: se</t>
  </si>
  <si>
    <t>Cagada y Cerponti, Antonio</t>
  </si>
  <si>
    <t>Antonio Cagada y Cerponti</t>
  </si>
  <si>
    <t>onio Carbonera y Masa, D. Jóseph;¿e Colmenares, D. Lorenzo de Mazarredo, D. Rafael Calviilo y Lara ,D. Antonio Cagada y Cerponti, D. Luis Na</t>
  </si>
  <si>
    <t>Caíala de Monsonis, Pedro</t>
  </si>
  <si>
    <t>Pedro Caíala de Monsonis</t>
  </si>
  <si>
    <t>Don Antonio Sala y Gil; y para un oficio de Regidor de laclase de nobies.de la ciudad de Valencia á D. Pedro Caíala de Monsonis. La Real academia.de Derecho español, titulada de,Santa:Bárbara, celebró junta general el 15 de Diciembre último, y con arreglo á sus constituciones adjudicó una medalla de bronce</t>
  </si>
  <si>
    <t>Caillard</t>
  </si>
  <si>
    <t>nombre del pueblo francés al ciud. Caillard, Archivero del ministerio de Relaciones exteriores; y S. A. S. E. el Elector de Baviera al Sr. Antonio de Cetto, su Consejero de Estado actual y Ministro pleni</t>
  </si>
  <si>
    <t>Caípptiz, Antonio</t>
  </si>
  <si>
    <t>Antonio Caípptiz</t>
  </si>
  <si>
    <t>Dáviji y :Guzma[n.&gt; Don Lorenzo JJrtu^austegui, n. Juan Joseph Velasco, D. Benito Ortiz Llagu-r ¿o, D, Antonio Caípptiz3no , D. Joaquín,íalite Diáz,;X). Miguel Dominfi¿ii4ez y Vargas, D. Sántps Bembiela y Ricpjp. Manuel Solís y.Sovia, Don Braulio Otálora , D. Francisco-Alvarez Sotomayor , D. Joaquí</t>
  </si>
  <si>
    <t>Calabuig, Andrés</t>
  </si>
  <si>
    <t>Andrés Calabuig</t>
  </si>
  <si>
    <t>legiata de la ciudad de S. Felipe, diócesis de Valencia, vacante por muerte de D. Timoteo Esteve, á D. Andrés Calabuig: para una Ración de la catedral de Coria, vacante por fallecimiento de Don Jacinto Francisco Terrón, á D. Andrés Perez Venturo, Cura de la parroquia del Sagrario de aquella catedr</t>
  </si>
  <si>
    <t>Calatayud, Melchor</t>
  </si>
  <si>
    <t>Melchor Calatayud</t>
  </si>
  <si>
    <t>ampo: en España* D. Francisco de Córdoba, D. Carlos Mori, D. Felipe Beautort, D. Salvador Perillos, D. Melchor Calatayud, D. Manuel Lapeña, D. Joseph Bureau, D. Juan Carrafa, el Marques de la Solana, D. Arturo O-Neille, Duque de San Carlos, D. Francisco Xavier Castaños, D. Francisco Ta— raneo, el Ma</t>
  </si>
  <si>
    <t>Caldera y Aldana, Juan María</t>
  </si>
  <si>
    <t>Juan María Caldera y Aldana</t>
  </si>
  <si>
    <t>de Badajoz , vacante por fallecimiento de D. Antonio de Chaves y Mendoza , á P. Juan María Caldera y Aldana, Racionero mas antiguo de aquella catedral: para la Ración que este obtiene á D. Manuel Bernárdez; y para otra titulada de S. Marcelo de la catedral de León, vacante por muerte de D. Pedro V</t>
  </si>
  <si>
    <t>Calderón de Guevara, Joseph Manuel</t>
  </si>
  <si>
    <t>Joseph Manuel Calderón de Guevara</t>
  </si>
  <si>
    <t>de Rivera, Teniente primero de Asistente de la misma ciudad de Sevilla; del Crimen de Extremadura á D. Joseph Manuel Calderón de Guevara, Alcalde mayor de Badajoz ; del Crimen de Aragón á D. Juan Antonio Morales y Somolinos, Alcalde\mayor primero dje Zaragoza; del Crimen de Valencia á D. Ramón Patricio Moreno, Alca</t>
  </si>
  <si>
    <t>Calderón, Joseph</t>
  </si>
  <si>
    <t>Joseph Calderón</t>
  </si>
  <si>
    <t>tina, D. Ramón Velazquez, D. Joseph Domingo Martínez, D. Joseph Calderón y D. Ramón Ponce de León; y en el de infantería provincial de Valladolid de Mechoacan á Subteniente á D. Bernardino Pini y Ledos. Habiéndose dignado S. M. conceder privilegio de villa</t>
  </si>
  <si>
    <t>tón y Navarrete, D. Antonio de la Torre Puebla, Don Francisco de Castro Navarro, D. Joaquín Zarauz, D. Joseph Calderón, D. Antonio García' de Quesada, D. Joseph Manuel de Goicoa, D. Miguel Irigoyen, D^Joan Mesías* y D. Tomas Avalde. ' A Capitanes de Fragata los Tenientes de Navio D. Joseph Meneses</t>
  </si>
  <si>
    <t>Calderón, Joseph Victoriano</t>
  </si>
  <si>
    <t>Joseph Victoriano Calderón</t>
  </si>
  <si>
    <t>el propio Reyno; y esta resulta á D. Félix Castalio, Escribiente de la misma renta: y ha nombrado á D. Joseph Victoriano Calderón para la plaza de Oficial primero</t>
  </si>
  <si>
    <t>Calderón, Juan</t>
  </si>
  <si>
    <t>Juan Calderón</t>
  </si>
  <si>
    <t>404. 15. Id. Juan Calderón...................... Josef, ^ ria Calderón....... Arroyomolinos.,......... Llerena......... 143. 27. Id. Pedro Salomón.................... Juan , Joaquina Portilla.... Arroyo..</t>
  </si>
  <si>
    <t>Calderón, Ramón</t>
  </si>
  <si>
    <t>Ramón Calderón</t>
  </si>
  <si>
    <t>á Portaestandarte al Sargento D. Gabriel Rodríguez: en el de la Reyna á Alférez al Portaestandarte D. Ramón Calderón: en el del Infante á Ayudante al primer Teniente D. Joseph Alarcon: en el de Alcántara á segundo Teniente al Alférez D. Pedro Blesa: en el de Santiago á Portaestandarte al Cadete</t>
  </si>
  <si>
    <t>Calimaco, Príncipe</t>
  </si>
  <si>
    <t>Príncipe Calimaco</t>
  </si>
  <si>
    <t>s gazetas : ,, El Coronel Sebastiani llegó á Constantinopla el 27 de Noviembre. Al dia siguiente el Príncipe Calimaco , primer Dragomán de la Puerta, le envió á decir por un secretario, de parte del Reís EfFendi, que la Sublime Puerta le tenia dispuesta casa, y que podia ocuparla. El 29 fue el ci</t>
  </si>
  <si>
    <t>Calixto Sancho</t>
  </si>
  <si>
    <t>iente al Cadete D. Antonio Catalá : en el de Saboya á segundo Teniente al Subteniente de granaderos D. Calixto Sancho , y á primeros Subtenientes á los segundos D. Cayetano Perchet y D. Juan Rodríguez Cuervo: en el de Soria á segundo Subteniente ai Sargento primero D_ Clemente Robles: en el de Có</t>
  </si>
  <si>
    <t>Calleja, Juan</t>
  </si>
  <si>
    <t>Juan Calleja</t>
  </si>
  <si>
    <t>menor novedad; y se puede asegurar los libertó de las viruelas naturales, que ya les amenazaban---- Don Juan Calleja, vecino de Tordelaguna, vino á esta villa sin otro objeto que el de vacunarse, y extender en aquella el fruto de tan precioso experimento; el efecto fué igual á su deseo: pues hab</t>
  </si>
  <si>
    <t>Calongc, Nicolás</t>
  </si>
  <si>
    <t>Nicolás Calongc</t>
  </si>
  <si>
    <t>ia.......... Sres. Moreda y Xadalid.. f En Oviedo........... D. Manuel Rubiano. En Falencia........ D. Nicolás Calongc. En Palma..i... ..... D. Martin Mayol. :Í En Pamplona..*,.... Sre$. viuda de Barbería é hijos. En Salamanca......Sre$. Urrero y Casaseca. ? •’ - : .r .&gt;# : En Santander..Sres.¿Vfo</t>
  </si>
  <si>
    <t>Calonge, Nicolás</t>
  </si>
  <si>
    <t>Nicolás Calonge</t>
  </si>
  <si>
    <t>Mencionado en un suplemento de la Gazeta.</t>
  </si>
  <si>
    <t>Suplementos</t>
  </si>
  <si>
    <t>rcia............Sres. Moreda y Ladalld. En Oviedo......... D. Manuel Rubiano. En Falencia.......... D. Nicolás Calonge. En Palma.............. D.Martin Mayol. En Pamplona....... Sres. viuda de Barbería é hijos. En Salamatica......Sres. Urrero y Casaseca. En Santander.......Sres. Vial é hijo y comp</t>
  </si>
  <si>
    <t>......... Sres. Moreda y Ladalid. En Oviedo............... D. Manuel Rubiano. En Palenda........... D. Nicolás Calonge. En Palma............... D. Martin Mayoi.. En Pamplona........ Sres. viuda de Barbería é hijos^ En Salamanca...... Sres. Urrero y Casaseca. En Santander........ Sres. Vial é hijo</t>
  </si>
  <si>
    <t>.......... Sres. Moreda y Ladalid. En Oviedo.............. D. Manuel Rubiano. En Palencia.......... D. Nicolás Calonge. En Palma............. D. Martin Mayol. En Pamplona........ Sres. viuda de Barbería é hijos. En Salamanca..... Sres. Urréro y Casaseca. En Santander........Sres. Vial é hijo y* co</t>
  </si>
  <si>
    <t>cia............Sres. Moreda y Ladalid. En Oviedo............. D. Manuel Rubiano. En Falencia....... D. Nicolás Calonge. En Palma............. D. Martin Mayol. En Pamplona....... Sres. viuda de Barbería é hijos* En Salamanca..... Sres. Urrero y Casaseca. En Santander...... Sres. Vial é hijo y compa</t>
  </si>
  <si>
    <t>urcia..... ..... Sres. Moreday Ladalid. En Oviedo........... D. Manuel Rubiano. En Patencia........ D. Nicolás Calonge. En Palma..... ........D. Martin Mayol. En Pamplona..... . Sres. viuda de Barbería é hijos. En Salamanca......Sres. Urreto y Casaseca. En Santander.. .... Sres. Vial é hijo y comp</t>
  </si>
  <si>
    <t>............Sres. Moreda y Ladalid. En Oviedo............. D. Manuel Rubiano. En Patencia.......... D. Nicolás Calonge. En Palma.............. D. Martin Mayol. En Pamplona........Sres. viuda de Barbería é hijos» En Salamanca...... Sres. Urrero y Casaseca. En Santander....... Sres. Vial 6 nijo y co</t>
  </si>
  <si>
    <t>Calvet, Ramón</t>
  </si>
  <si>
    <t>Ramón Calvet</t>
  </si>
  <si>
    <t>se ha servido promover á Ingeniero ordinario de sus ejércitos, plazas y fronteras al éxtraordinario D. Ramón Calvet. En América. S. M. se ha servido conceder el empleo de Capitán de Llaves de la plaza de Panamá al Capitán retirado D. Joseph Brandembroukhe. El Rey se ha dignado conceder el emple</t>
  </si>
  <si>
    <t>Calvete, Antonio</t>
  </si>
  <si>
    <t>Antonio Calvete</t>
  </si>
  <si>
    <t>ió. 16. Id. Antonio Calvete............ .. Pedro, Eugenia Suarez........ S. Estéban de Buño.......... Santiago.... .</t>
  </si>
  <si>
    <t>Calveton, Miguel</t>
  </si>
  <si>
    <t>Miguel Calveton</t>
  </si>
  <si>
    <t>nto de letras de la ciudad de Toro á D. Juan Agustín Suinaga : para el de la villa de Mancha Real á D. Miguel Calveton: para el de las quatro villas de la Hoya de Málaga á D. Pedro Antonio Caballero: para el de la ciudad de Baeza á D. Pedro Sotero Casado de Alviz: para la Vara de Alcalde mayor de</t>
  </si>
  <si>
    <t>Calviilo y Lara, Rafael</t>
  </si>
  <si>
    <t>Rafael Calviilo y Lara</t>
  </si>
  <si>
    <t>amón Matsia y Páger* D. Antonio Carbonera y Masa, D. Jóseph;¿e Colmenares, D. Lorenzo de Mazarredo, D. Rafael Calviilo y Lara ,D. Antonio Cagada y Cerponti, D. Luis Na</t>
  </si>
  <si>
    <t>Calvillo y Lata, Antonio</t>
  </si>
  <si>
    <t>Antonio Calvillo y Lata</t>
  </si>
  <si>
    <t>a Güitléfmi, D. Pedro Vázquez deVelasco, D. Joseph Abreu y Orta', Ií Joseph de Villegas y Córdoba , D. Antonio Calvillo y Lata, Di Luis'Blanchi y Munarini, D. Joseph Kenrique Forvin, D. Joaquiir dé Villalba, D. Candido de Lasala ¿ D. Gerónimo Caballero y Obando, Don Dmñiirqo Mótiteverdéi¡ Dí Joireph' dé l</t>
  </si>
  <si>
    <t>Calvillo, Félix</t>
  </si>
  <si>
    <t>Félix Calvillo</t>
  </si>
  <si>
    <t>Exento Don Vicente Percebal ; para el bastón de Exento de número, que este dexa, al supernumerario D. Félix Calvillo, y ha nombrado también Exento supernumerario de la mencionada Compañía al Brigadier de ella D. Alonso Ramírez. S. M. se ha servido conferir el empleo de Comandante del tercer bata</t>
  </si>
  <si>
    <t>Calvo, Carlos</t>
  </si>
  <si>
    <t>Carlos Calvo</t>
  </si>
  <si>
    <t>, D, Joseph de Piles,D. Martin de Jáuregui, D. Cayetano Muller, D, Juan Romay, D. Felipe del Saso , D. Carlos Calvo, D. Joaquín Aldecoa, D. Antonio de Rozo, D. Joseph.de la Gceja , P. Juan de Sesma, D. Santiago Aldaó, D. Juan Piñeyro, D, Narciso Llaudes, D. Pedro Marsilla, D. Ni-' colas dél Cas</t>
  </si>
  <si>
    <t>Calvo, Diego</t>
  </si>
  <si>
    <t>Diego Calvo</t>
  </si>
  <si>
    <t>Garrofa, y D. Joseph Rich. En América. D. Joseph Arcega, D. Filomeno Cendrera, D. Antonio Figueroa, Don Diego Calvo, D. Manuel Antonio de Mora y Ramos, D. Francisco Campos, D. Joaquín Langelé, D. Juan Caequillo, D. Pedro Barat, D. Antonio Vayllant, D. Lúeas Alvarez, D. Joseph Maitmez, D. Franci</t>
  </si>
  <si>
    <t>Calvo, Juan</t>
  </si>
  <si>
    <t>Juan Calvo</t>
  </si>
  <si>
    <t>n á Capitán de granaderos aL de fusileros D. Joseph de León: en el de América á Capitán al Ayudante D. Juan Calvo; á primer Teniente de granaderos al de fusileros D. Manuel de Mendoza; á Ayudante al primer Teniente D. Agustín Benitez de Alfaraz; á primeros Tenientes á ios segundos de granader</t>
  </si>
  <si>
    <t>Calvo, Luis</t>
  </si>
  <si>
    <t>Luis Calvo</t>
  </si>
  <si>
    <t>ph de GamezyD. Vicente Morodo, Di- Felipe Sicre, D. Baltasar Alvarez, D. Joseph Antonio de Calzada, D. Luis Calvo, D; Joseph Astraudi, D. Anselmo Martínez,_D. Rayníundo Carbonell,* D. Rodrigo •Aívarez, D. Ignacio Sandoval, D¿ Nicolás Pastor, D. Joseph Abarca, Don Jdseph Díaz, D. Ignacio Luzon</t>
  </si>
  <si>
    <t>Calvo, Rafael</t>
  </si>
  <si>
    <t>Rafael Calvo</t>
  </si>
  <si>
    <t>da..... 41. 16. Id. Rafael Calvo...................... . Santiago, Agustina Muñoz. Santoyo......... Palencia:.... 35. 10. Id. Baltasar Sotillo.................. . Josef, Josefa Galanes...</t>
  </si>
  <si>
    <t>Calvo, Vicente</t>
  </si>
  <si>
    <t>Vicente Calvo</t>
  </si>
  <si>
    <t>x6. 16. Id. Vicente Calvo......... Quintanilla... Búrgos......... . 37. 19. Licenciado. Basilio Aguado.............</t>
  </si>
  <si>
    <t>Calzón, Domingo</t>
  </si>
  <si>
    <t>Domingo Calzón</t>
  </si>
  <si>
    <t>ciudad de Jaén ua vale Real de 130 pesos, creación de 1.* de Setiembre, núm. 447,749 , endosado poF D. Domingo Calzón, vecino de la ciudad de Andúxar, i favor de D. Pedro Esponera , de Jaén, con fecha i.u de Julio de este afio. Quien supiere de su paradero le remitiré ó avisará á dicho D. Doniing</t>
  </si>
  <si>
    <t>Camaño y Homero, Joseph</t>
  </si>
  <si>
    <t>Joseph Camaño y Homero</t>
  </si>
  <si>
    <t>, ’Dóíi Francisco- Correa y Henriquez, D. Jós^ph Jalón y Bañuéió$y D. Migtíel Merlos y Basabilbaso, D Joseph Camaño y Homero, D. Benito^©átísoain^ Perez, D- Francísco Mandiáiy JSHclrrayjDWJosóph ^aifcja Campero, Don Manuel de la Llave y Coca, B;Í^Francisco deila Llave y Coca , D. Domingode Miranda, D. M</t>
  </si>
  <si>
    <t>Camargo, Juan</t>
  </si>
  <si>
    <t>Juan Camargo</t>
  </si>
  <si>
    <t>cho, D.Juan Munar-i Hié, D. Vicente Reyna ,'D. Fernando AgniWe, D^Fernando Gabriel, Don Ramón Lope, D. Juan Camargo, D. Juan Martes, D. Joseph Quevedos</t>
  </si>
  <si>
    <t>Cambacerés</t>
  </si>
  <si>
    <t>n legislativa,y otra del Consejo de Estado, han empezado á reunirse en casa del ciud. Cambacerés para rever las principales disposiciones del código civil: y al cabo de una conferencia,de 6 horas se acordaron varios puntos* Se empleará todo el verano y par</t>
  </si>
  <si>
    <t>Camilo Arroyo</t>
  </si>
  <si>
    <t>Francisco Joseph Márcos de Courten * D. Casimiro de Mendoza^ D. Baltasar Samitier, D. Joseph Plano, D. Camilo Arroyo , D. Rafael Mariano, D. Félix Zurbano, D. Juan Lieutaud, D.«Alonso Ribera, Don Pedro Joseph de GamezyD. Vicente Morodo, Di- Felipe Sicre, D. Baltasar Alvarez, D. Joseph Antonio de</t>
  </si>
  <si>
    <t>Camino, Vicente</t>
  </si>
  <si>
    <t>Vicente Camino</t>
  </si>
  <si>
    <t>Cavaleri y Ponce, Don Orberto Michelena, D. Alipio de Roda y Duran, Di Aiexandro Marín Na.4 yarro, D. Vicente Camino, D. Joseph deQcio, y SalJzar , D. Miguel Triarte, í). Francisca G;rageray Gotdon&gt; D¿ Autopio Angosto y Rueda, Don Francisco- izquierdo Ibarr.ola, I). Ma i u e i Á, í v ara do y Qu</t>
  </si>
  <si>
    <t>Campbell, Almirante</t>
  </si>
  <si>
    <t>Almirante Campbell</t>
  </si>
  <si>
    <t>avios de línea y una fragata tienen orden de salir para las Indias occidentales al mando del Contra-Almirante Campbell. Parece que se hace indispensable enviar estas fuerzas á nuestras colo</t>
  </si>
  <si>
    <t>de paz entre Francia é Inglaterra. Ya habrá salido de la rada dé Sta. Elena la esquadra del Contra-Almirante Campbell destinada para nuestras islas de América.</t>
  </si>
  <si>
    <t>cicatrices que atestiguaban su valor. Londres 14 de Febrero. D e Spithead zarpo el dia 7 el Contra-Almirante Campbell para las Indias occidentales con 7 navios de línea, una fragata y una chalupa. Han desertado muchos marineros de la esquadra grande de Torbay; pero se han tomado .tales, providenc</t>
  </si>
  <si>
    <t>que se advierte en el ajuste del tratado definitivo, á noticias poco favorables de la esquadra del Almirante Campbell, y á la necesidad que este ministerio tiene de dinero. El gobierno de los Estados-Unidos ha vendido 15 fragatas y chalupas de guerra de que su marina no necesita desde que se ha a</t>
  </si>
  <si>
    <t>nombrada Morgeana, de 16 cañones, Precien llegada ! de. la Martinica á Portsmouth , se sabe qúé ei Almirante Campbell había salido de aquella isla para Jamayca con 6 navios de línea y una fragata.; - (</t>
  </si>
  <si>
    <t>Campos, Antonio</t>
  </si>
  <si>
    <t>Antonio Campos</t>
  </si>
  <si>
    <t>ei arzobispado de México á D. Joseph Valladares : para la de Administrador del partido de Tamagua á D. Antonio Campos *, para la de Guarda del Resguardo unido de Guanaxuato á D. Joseph de Silva: para 1 as de Guarda de la Factoría de Oaxaca á D. Joseph Seoane y Torres y IX Joseph María Gómez Eguía</t>
  </si>
  <si>
    <t>Campos, Francisco</t>
  </si>
  <si>
    <t>Francisco Campos</t>
  </si>
  <si>
    <t>Teniente, graduado de Capitán con funciones de Ayudante del batallón de Pardos libres de Ja Havana, D. Francisco Campos; á Ayudante al Teniente D. Diego Cabra; á Teniente de granaderos al de fusileros D. Juan Montes; á Tenientes á los Subtenientes Don Pedro Branly, de bandera , D. Joseph y D. Pedro</t>
  </si>
  <si>
    <t>ega, D. Filomeno Cendrera, D. Antonio Figueroa, Don Diego Calvo, D. Manuel Antonio de Mora y Ramos, D. Francisco Campos, D. Joaquín Langelé, D. Juan Caequillo, D. Pedro Barat, D. Antonio Vayllant, D. Lúeas Alvarez, D. Joseph Maitmez, D. Francisco Xavier Lamadrid, D. Joseph Antonio HerrezuéloD. Jose</t>
  </si>
  <si>
    <t>Campos, Juan Antonio</t>
  </si>
  <si>
    <t>Juan Antonio Campos</t>
  </si>
  <si>
    <t>a con el mayor ardor , ha acompañado á dicho facultativo con actividad y esmero el cirujano titular D. Juan Antonio Campos, y ambos han obrado gratuitamente estimulados de su patriotismo. i Madrid 2$ de Abril. J\\ Mariscal de Campo D. Fernando de la Vera ha nombrado el Rey segundo Comandante de la pla</t>
  </si>
  <si>
    <t>Campuzano, Manuel</t>
  </si>
  <si>
    <t>Manuel Campuzano</t>
  </si>
  <si>
    <t>iente de Gobernador, Asesor y Auditor de Guerra del gobierno de Sta. Marta, vacante por renuncia de D. Manuel Campuzano , á D. Joseph María de Aviles. Igualmente se ha servido nombrar para la Alcaldía mayor de Totonicapan, en el Reyno de Goatemala, vacante por renuncia de D. Francisco Xavier Manzan</t>
  </si>
  <si>
    <t>Camunez, Francisco</t>
  </si>
  <si>
    <t>Francisco Camunez</t>
  </si>
  <si>
    <t>n Joseph Garrote; y el de Ayudante Veterano del regimiento provincial de caballería de Querétaro á. D. Francisco Camunez, Teniente dei de infantería de Puebla. Por la audiencia del Sr. Teniente Corregidor D. Manuel de Torres Cónsul , y escribanía del número de D, Tomas de Sancha y Prado, se subastan</t>
  </si>
  <si>
    <t>Cana, Juan Joseph</t>
  </si>
  <si>
    <t>Juan Joseph Cana</t>
  </si>
  <si>
    <t>exia, D. Juan Joseph Indafmtu, D. .Juan Fatqués, ,t I&gt;. Manuel Dambrihe, D. Francisco Perez Brito , D. Juan Joseph Cana*,D'&lt;Pedro García, D. Juan Méndez, D. Rafael Morales,. Agustín Arenas, D. Juan Amaro Pestaña, D. Manuel Fernandez, D. Miguel Texedor, D. Joseph de los Ríos, D. Guillermo Roo, IX Ju</t>
  </si>
  <si>
    <t>Canalejo, Joseph María</t>
  </si>
  <si>
    <t>Joseph María Canalejo</t>
  </si>
  <si>
    <t>Jorge Vi«* llers y D. Joseph Recio ; á Subtenientes de compañía los de bandera Don Ramón Castillo, D. Joseph María Canalejo y D. Domingo Gallegos; y í esta última clase el Cadete D. Joseph de Córdoba y D. Miguel de la Fontecilia, Soldado distinguido del mismo cuerpo: en las compañías de infantería ligera d</t>
  </si>
  <si>
    <t>Canales Cano, Francisco Agustín</t>
  </si>
  <si>
    <t>Francisco Agustín Canales Cano</t>
  </si>
  <si>
    <t>pretendientes enviarán su solicitud hasta el ig de Agosto próximo á sus Alcaldes ordinarios el Lie. D. Francisco Agustín Canales Cano, y Manúél Gómez de las Eras, con noticia ex lera de sus méritos; advirtiendo que para conducción de su equipage se le suministrará alguna retribución, y que en las inmediaciones h</t>
  </si>
  <si>
    <t>Canales, Nicolás</t>
  </si>
  <si>
    <t>Nicolás Canales</t>
  </si>
  <si>
    <t>añía de Granaderos. Nicolás Canales.................. Miguel,Tecla Moreno........Riego.............. Cuenca...... 90. 3. Muerto. JuanSaez.............................. Pedro, María Santos Alvare</t>
  </si>
  <si>
    <t>Canciller, Lord</t>
  </si>
  <si>
    <t>Lord Canciller</t>
  </si>
  <si>
    <t>. E I martes último á las dos de la tarde conforme! á lo prevenido én la proclama del Rey, pasó .el Lord Canciller á la Cámara-de los Pares , y presentándose en ella una diputación de los Comunes, mandó el Canciller se hiciese lectora de dicha Real proclama $ y después declaró que la abertura</t>
  </si>
  <si>
    <t>ó á S. M. el Almirante Lord Keyth , que acaba de llegar del Mediterráneo. • ^ El día $ concurrió el Lord Canciller á la Cámara alta, y 1l presencia del corto número de .vocales que asistiéron hizo lectura de la proclama Real que suspende la abertura del Parlamento hasta el 18 de Noviembre. Alg</t>
  </si>
  <si>
    <t>Canclaux, General</t>
  </si>
  <si>
    <t>General Canclaux</t>
  </si>
  <si>
    <t>elados. Turin 27 de Febrero. H o y sale de aquí para Alexandría , Verceil , Piñerol y Savigliano el General Canclaux , Inspector general de caballería ; y en breve saldrá igualmente el General Ernouf, Inspector general de infantería. Uno y otro van á revistar las tropas que están baxo su inspecc</t>
  </si>
  <si>
    <t>Candido de Lasala</t>
  </si>
  <si>
    <t>io Calvillo y Lata, Di Luis'Blanchi y Munarini, D. Joseph Kenrique Forvin, D. Joaquiir dé Villalba, D. Candido de Lasala ¿ D. Gerónimo Caballero y Obando, Don Dmñiirqo Mótiteverdéi¡ Dí Joireph' dé li Muela‘;Gutierrez , D Pedro Marfand ^Gallego i D. Rafael Ximenez de Montalho, D. Pedro Baeza y Alcald</t>
  </si>
  <si>
    <t>Cándido Higuera</t>
  </si>
  <si>
    <t>seph Lebrun, D. Manuel la Barre, D. Juan Bernardo Laporte, Don Felipe Crame, D. Francisco Ruigomez, D. Cándido Higuera, D. Diego Navarro , D. Bernardo Luque, D. Rafael Pezzino, D. Luis Ranea ño, Don Juan Meric, D. Antonio Bocarro, D. Juan Feliu, D. Juan Desnaux, Don Manuel Vigil de Quiñones, D. Jo</t>
  </si>
  <si>
    <t>Cándido María de Trigueros</t>
  </si>
  <si>
    <t>de Hurtado , calle de las.Carretas. Sancho Ortiz de las Roelas : tragedia éspafiola, arreglada por D. Cándido María de Trigueros , Bibliotecario que fue de los Reales estudios de Madrid: publicada por el Sr. Manuel García Parra, primer actor de una do las compañías cómicas de esta corte. Se hallará en las l</t>
  </si>
  <si>
    <t>Cañedo, Antonio</t>
  </si>
  <si>
    <t>Antonio Cañedo</t>
  </si>
  <si>
    <t>Vargas , Doii Eelipe Villaviccricio, &gt;D. Félix Azara, D-: Juan ^Herrera: Dávilai, JÓ- Juan Suarez, D. Antonio Cañedo , D.Joseph Aramburu,D. Isidoro García del -Postigñ, D, Antonio García .-deh$oatig^ir{D;¿jQ$e|!bri’áe. Rqxas &gt; y Ariés^ D. Pascual i Ruiz „de Huidob.ro» Aotpnio Boneo ,D.' Nicolás</t>
  </si>
  <si>
    <t>Canellas, Joseph</t>
  </si>
  <si>
    <t>Joseph Canellas</t>
  </si>
  <si>
    <t>Pus* terla, D. Francisco Ayóla, D. Juan Tarrius, D. Manuel de Miedes, Don Francisco Dionisio Vives, D. Joseph Canellas, D. Joseph García Orozco, D. Joaquín Regnart y Pont, D. Domingo Larripa, £&gt;. Juan Rayberte, D. Juan Borlasca, D. Víctor Wirtz , D. Francisco Schnernaver, Don Jayme Stóffel, D. Jos</t>
  </si>
  <si>
    <t>Canet y Sostros, Joseph</t>
  </si>
  <si>
    <t>Joseph Canet y Sostros</t>
  </si>
  <si>
    <t>cación de Sta. Anastasia, en la catedral de Gerona, vacante por fallecimiento de D. Juan Bastero, á D. Joseph Canet y Sostros: para otro llamado Doma de la parroquia de Pariava, en la misma diócesis de Gerona, vacante por muerte de D. Jayme Frígola, á D. Francisco Carbó y Feliu: para otro de residencia,</t>
  </si>
  <si>
    <t>Canet, Pedro</t>
  </si>
  <si>
    <t>Pedro Canet</t>
  </si>
  <si>
    <t>en la parroquial dé S. Miguel de la ciudad de Palma de Mallorca por muerte de D. Guillermo Simó ,á D. Pedro Canet. El 28 de Setiembre del afio último remitió D. Domingo de Ventades , vecino de esta corte, á D. Tomas de Orue, del comercio de Bilbao , 2 vales de 300 pesos de i.° de Julio, núms.</t>
  </si>
  <si>
    <t>Cañete, Gerónimo</t>
  </si>
  <si>
    <t>Gerónimo Cañete</t>
  </si>
  <si>
    <t>cudos de plata, que se adjudicaron á D. Joseph María Perez de Vargas y Cárdenas, D. Luis de Cañete, D. Gerónimo Cañete de -Lemus, D. Juan de Mata Herrera y Oca, D. Antonio Manrique, D. Antonio Garzón, D. Juan Muñoz, D. Alfonso de Ortega, Don Juan Bautista del Caño , D. Rafael Sánchez de Sandino, Juan</t>
  </si>
  <si>
    <t>Canning</t>
  </si>
  <si>
    <t>ilberforce ¡a ofrecer , en la Cámara baxa que repetirá su proposición contra el comerció de negros. Mr. Canning dixo. que estaba igualmente en ánimo de hablát de este tráfico: no para pedir que se suprima , sino sobre que se arregle y se haga con mejor método y orden. Antes de ayer mañana l</t>
  </si>
  <si>
    <t>Cano Manuel, Antonio</t>
  </si>
  <si>
    <t>Antonio Cano Manuel</t>
  </si>
  <si>
    <t>, vacante por promoción de D.. Adrián Marcos Martínez á la Regencia dé lavÁüdieñcia de Cataluña , á D. Antonio Cano Manuel. Mtt América. En el batallón de infantería fixo de la plaza de Vera—; cruz se ha servido el Rey promover á Teniente de cazadores al de fusileros D. Antonio Sánchez ; á Teniente de</t>
  </si>
  <si>
    <t>o ha nombrado el Rey para una plaza de Alcalde de su Real casa y corte supernumeraria con sueldo, á D. Antonio Cano Manuel, Fiscal electo. del Consejó de Navarra; y para la plaza de Alcalde de la Quadra de la Audiencia de Sevilla/vacante por separación del Marques de la Calzada, á D. Juan Fernandez de</t>
  </si>
  <si>
    <t>D. Francisco Tomas de los Cobos: para la Fiscalía del Consejo de Navarra, vacante por promoción de D. Antonio Cano Manuel, i plaza supernumeraria de* Alcalde de lá;Reál casa y .corte, á D. Ramón Giratdo; y para úna supernumeraria de* Oidor dé iá Audiencia de Sevilla i D.- Antonio Vicente Yáñez. -/ El</t>
  </si>
  <si>
    <t>por la citada promoción del Sr, D. Joseph Navarro Vidal al Alcalde supernumerario de la misma Sala D. Antonio Cano Manuel: t&gt;ara otra. vacante por jubilación del JMárques de los Llanos , a D. Alfonso Duran v Barazabal; Manuel^Perez de RolJíy para D.laTomas que seMoyano. halla vacante Para por jubilac</t>
  </si>
  <si>
    <t>Cano Tribaldos, Juan Joseph</t>
  </si>
  <si>
    <t>Juan Joseph Cano Tribaldos</t>
  </si>
  <si>
    <t>a de la: Real capilla de Sres. Reyes nuevos de Toledo, vacante por muerte de D. Hilario Peñalver, á D. Juan Joseph Cano Tribaldos. S. M. se ha servido promover en el regimiento de infantería Inmemorial del Rey á primer Teniente al segundo de granaderos D. Joseph Martínez Toledano, y á segundo Teniente de gra</t>
  </si>
  <si>
    <t>Cano, Francisco</t>
  </si>
  <si>
    <t>Francisco Cano</t>
  </si>
  <si>
    <t>Francisco Cano.................... Francisco, Angela Barón a. ArgamasiUa*. Alcázar de San Jua</t>
  </si>
  <si>
    <t>Cano, Francisco Xavier</t>
  </si>
  <si>
    <t>Francisco Xavier Cano</t>
  </si>
  <si>
    <t>r del colegio de Santa Isabel de Madrid, vacante por dimisión que ha hecho de él D. Blas de Toro, á D. Francisco Xavier Cano, Capellán de Honor de S. M. : para el Beneficio de Chinchilla, en la diócesis de Cartagena, vacante por fallecimiento del Cardenal Celada* á D. Manuel Gispert; y para la Capellaní</t>
  </si>
  <si>
    <t>Cano, Joseph María</t>
  </si>
  <si>
    <t>Joseph María Cano</t>
  </si>
  <si>
    <t>de la Rocha , D. Juan López de Molina,D. Lucas Salazar, D. Ramón Serrano, D. Juan Joseph Martínez, D. Joseph María Cano, D. Francisco Real,-D. Vícéfíté Salcedo, D. Lúeas de Mena, D. Joseph Viladomar, D. Juan de Álbarrilla, D. Gonzalo Martínez, D. Cosme Marín, D. Serafín del Rincón, D. Mariano Carra</t>
  </si>
  <si>
    <t>Cano, Rafael</t>
  </si>
  <si>
    <t>Rafael Cano</t>
  </si>
  <si>
    <t>Comandante: general las gracias’en nombre del Rey á ios Cadetes y á su maestro el Capitán graduado &gt;D. Rafael Cano, primer Ayudante del mismo cuerpo, por el esmero con qué cuidan de hacerse útiles al servició y á la patria» . --'i- 1 *■ ■[ P j: - Vengara g de Febrero, 1 ¿ os individuos del num</t>
  </si>
  <si>
    <t>Cañón, Miguel</t>
  </si>
  <si>
    <t>Miguel Cañón</t>
  </si>
  <si>
    <t>4^9* 9* Id* Miguel Cañón.......... Henriq^e, Manuela Fernan­ Villar del dez* i,- i.................... ... Puerto..... Leen.......</t>
  </si>
  <si>
    <t>Canosa, Joseph Antonio</t>
  </si>
  <si>
    <t>Joseph Antonio Canosa</t>
  </si>
  <si>
    <t>an de la pertenencia de I&gt;. Manuel García Márquez, ó tengan noticia de su paradero, la comunicará á D. Joseph Antonio Canosa, Escribano del número de esta villa, para que la traslade á los síndicos nombrados en su quiebra, en el preciso término de 8 dias contados desde el 5 de Abril los de esta corte, y</t>
  </si>
  <si>
    <t>Canosa, Luis</t>
  </si>
  <si>
    <t>Luis Canosa</t>
  </si>
  <si>
    <t>Luis Canosa.......................... Fructuoso, Valentina Catnano................................... S. Adrián..., Galicia........... iot¿. 14. Licenciado. Andrés Rodríguez................ Manuel</t>
  </si>
  <si>
    <t>Cao de Beños y Les, Antonio</t>
  </si>
  <si>
    <t>Antonio Cao de Beños y Les</t>
  </si>
  <si>
    <t>nte de granaderos al dé fusileros D. Matías de Power; y á segundo Teniente al Alférez de granaderos Don Antonio Cao de Beños y Les.</t>
  </si>
  <si>
    <t>Capini, Benito</t>
  </si>
  <si>
    <t>Benito Capini</t>
  </si>
  <si>
    <t>umerario D. Christóbal Montes, y á Exento supernumerario al Brigadier de la misma Compañía Italiana D. Benito Capini. El Rey se ha servido conferir en el regimiento de infantería de Granada Compañías al Cápitan agregado D. Pedro Montero, y al primer Teniente de granaderos D. Pedro Meruéndano: en</t>
  </si>
  <si>
    <t>Caprara, Cardenal</t>
  </si>
  <si>
    <t>Cardenal Caprara</t>
  </si>
  <si>
    <t>de un menestral dió á luz 4 hijos: uno nació muerto, y los otros 3 vivieron poco. Se asegura que el Cardenal Caprara, Legado de la Santa Sede en Francia, ha sido nombrado Arzobispo de Milán. El 28 del pasado se concluyó en una de las salas de este montepío la venta de gran número de quadros de l</t>
  </si>
  <si>
    <t>strado satisfecho del nombramiento dei General Eledouvilie para residir cerca de su persona----- El Cardenal Caprara ha recibido de parte de S. S. el aviso de que iban á despacharse sus bulas para el Arzobispado de Milán; y se las enviarán por el ciud. Lebrun, Ayudante del primer Cónsul, quando</t>
  </si>
  <si>
    <t>r sus derechos diocesanos en los países de la izquierda del Rhin. Este breve lo recibió en París el Cardenal Caprara, quien lo puso en manos del ciud. Talleyrand, Ministro de Relaciones exteriores. El Sto. Padre envió al gran Cabildo de Arensberg otro breve casi semejante al del Elector. Ratisbo</t>
  </si>
  <si>
    <t>Abril. hi-vtracto de las resoluciones de los Cónsules de la República del dia 8. „ Artículo i.° El Cardenal Caprara, enviado á Francia con el título de Legado a latere, está autorizado á exercer las facultades expresadas en la huía dada en Roma el lunes 24 de Agosto de 1801 , con la condición d</t>
  </si>
  <si>
    <t>Caraccióló la Prefectura de la Sta, Cardenal</t>
  </si>
  <si>
    <t>Cardenal Caraccióló la Prefectura de la Sta</t>
  </si>
  <si>
    <t>perior de la casa y de la iglesia de Jesús, al Cardenal Roverella. Igualmente ha conferido S. S. al Cardenal Caraccióló la Prefectura de la Sta. Congregación de indulgencias y de las santas reliquias. Avisan de Nápoles que se hallan en aquel puerto 3 navios rusos de 50 cañones: créesé' que en ellos se embarcarán las tropa</t>
  </si>
  <si>
    <t>Caracciolo, Carlos</t>
  </si>
  <si>
    <t>Carlos Caracciolo</t>
  </si>
  <si>
    <t>, Capitán General de'áttílF^^ié¥rS^íy;CoHse}erolntinKrde Estado de S. M. Siciliana; y el Excmo. Sr. D. Cárlos Caracciolo, Duque de Santo Teodoro , Marques de Caprigla y Villamaina, Noble del Libro de Oro de Ñapóles, caballero- de la Injigoe - orden, 4« • S. Genaro, Gentilhombre, de Cámara cónuexerci</t>
  </si>
  <si>
    <t>Carássa y Figueroa, Joseph</t>
  </si>
  <si>
    <t>Joseph Carássa y Figueroa</t>
  </si>
  <si>
    <t>e y Aissa, D. Tomas Urrecha y Assua, D. Ramón de Móyua y Mazarredo, D. Francisco Tamayo y Reynalte, D. Joseph Carássa y Figueroa, D. Francisco Xavier Saravia, D. Ramón Torre y Pellicer, D. Manuel Bernal y Petriz, D. Antonio Nuñez Fálcon, D. Joaquín Elgueta y Hernández , D.Francisco Sarrachaga y Zavala, Don</t>
  </si>
  <si>
    <t>Carbó y Feliu, Francisco</t>
  </si>
  <si>
    <t>Francisco Carbó y Feliu</t>
  </si>
  <si>
    <t>la parroquia de Pariava, en la misma diócesis de Gerona, vacante por muerte de D. Jayme Frígola, á D. Francisco Carbó y Feliu: para otro de residencia, baxo ia invocación de S. Jayme, unido con otro de S. Bartolomé de la parroquial de la villa de Verdu, diócesis de Soisona , vacante por . muerte de D. Si</t>
  </si>
  <si>
    <t>Carbonera y Masa, Antonio</t>
  </si>
  <si>
    <t>Antonio Carbonera y Masa</t>
  </si>
  <si>
    <t>^í^íorifjló * D. ¡Andrbs Allende Salazar, D: Lorenzo dé Parra y VÚlalba-, D; Ramón Matsia y Páger* D. Antonio Carbonera y Masa, D. Jóseph;¿e Colmenares, D. Lorenzo de Mazarredo, D. Rafael Calviilo y Lara ,D. Antonio Cagada y Cerponti, D. Luis Na</t>
  </si>
  <si>
    <t>Cardaba, Manuel</t>
  </si>
  <si>
    <t>Manuel Cardaba</t>
  </si>
  <si>
    <t>90. 3. Id. Manuel Cardaba............. Bartolomé, Baltasara Esteban......... ........................... Molpeceres.. Molpeceres... 182. 19. Id. Gerónimo.Calzón............ . Juan, Josefa</t>
  </si>
  <si>
    <t>Cardenal, Francisco</t>
  </si>
  <si>
    <t>Francisco Cardenal</t>
  </si>
  <si>
    <t>...... 105. 18. Id. Francisco Cardenal........ Bartoiomé, MarianaMiu— guez...... .......... ......... . S. Martin de.. Saldaüa.........</t>
  </si>
  <si>
    <t>Cardeñoso, Manuel</t>
  </si>
  <si>
    <t>Manuel Cardeñoso</t>
  </si>
  <si>
    <t>. 8. Licenciado. Manuel Cardeñoso.......... . . Manuel, Mana Gil........ .Paredes........ Palencia....... 217. 8. Presidio. Francisco Botcilo....... . Ju</t>
  </si>
  <si>
    <t>Cardo, Nicolás</t>
  </si>
  <si>
    <t>Nicolás Cardo</t>
  </si>
  <si>
    <t>403. 33. Id. Nicolás Cardo......... . Ambro^,», Manuela Martínez. ................................ San terbás.... León............. yl««</t>
  </si>
  <si>
    <t>Careaga, Juan Antonio</t>
  </si>
  <si>
    <t>Juan Antonio Careaga</t>
  </si>
  <si>
    <t>^Joan Mesías* y D. Tomas Avalde. ' A Capitanes de Fragata los Tenientes de Navio D. Joseph Meneses, D. Juan Antonio Careaga, D. Vicente Foxa y Montúfar, D. Rosendo Porlier, D. Joseph Iturrigaray, D. JuanBernazi y Retamar, D. Ramón Blanco Criado, D. Pedro Valencia, D. Tomas rando, D. Antonio Aguirre y V</t>
  </si>
  <si>
    <t>CárIcs, Archiduque</t>
  </si>
  <si>
    <t>Archiduque CárIcs</t>
  </si>
  <si>
    <t>ron ag esta ceremonia, que se hizo con mucha solemnidad. El día 24 por la mañana volvió de Viena el Archiduque CárIcs._La tarde del mismo dia hicieron SS. MM. un viage á Carlsbürgo. tt t Viena 20 de Mayo. vJn batallón del regimiento de infantería de Auesberg , que forma parte de nuestra guarnició</t>
  </si>
  <si>
    <t>Caries, Joseph Ramón</t>
  </si>
  <si>
    <t>Joseph Ramón Caries</t>
  </si>
  <si>
    <t>el regimiento de Reales Guardias Españolas á Teniente de cazadores al segundo Teniente de fusileros Don Joseph Ramón Caries. En el de Reales Guardias Walonas á primer Teniente de granaderos al de fusileros D. Pedro Boringe de Nangi; á primer Teniente ai segundo Teniente de granaderos D, Luis Perjgault</t>
  </si>
  <si>
    <t>Cario</t>
  </si>
  <si>
    <t>no, guarniciones y plumages correspondientes para los Caballos,en la quál iban los Siméis. Infantes D. Cario sy D. Francisco. La tiraban 6 caballos, con á cochero^, 4 lacayos y 8 mancebos ; y acompañaban los batidores7 dé Reales Guardias de Corps y las partidas regulares , y al estribo e</t>
  </si>
  <si>
    <t>CáriosDominieh</t>
  </si>
  <si>
    <t>isco de PaulaiZayas, D. Francisco Tórdi, I&gt;. Joaquiti Ruiz, Don Ignacio Salazar , 0* Martin Boneo , D. CáriosDominieh , D.í Manuel de los Ríos , y Di Mariano Julián. : :... : Jl-r: ) » &gt;&gt;: . ^ . -.T ¡; i úEn.-segunMa fecfttá . r: . ...-i , Dv Miguel de la Puente y Aranguren , r 0. Juan Miyares y</t>
  </si>
  <si>
    <t>CarisforJ, Lord</t>
  </si>
  <si>
    <t>Lord CarisforJ</t>
  </si>
  <si>
    <t>ovar la guerra; pero que atendidas las circunstancias había valido mas hacer la paz. Aprovechóse el Lord CarisforJ de estas expresiones dét Lord Pelham para solicitar que a lo ménos se diese á la Cámara conocimiento de aquellas circunstancias táh imperiosas que obligáron al ministerio á no romper l</t>
  </si>
  <si>
    <t>Cárloii</t>
  </si>
  <si>
    <t>. Juan Ordoñez, D. Francisco Vallejo, D. Antonio López Sopeña, D. Antonio Hurtado, Condé de Olocau, D. Cárloii v</t>
  </si>
  <si>
    <t>Carlos María</t>
  </si>
  <si>
    <t>r se vistió la corte de gala en el Real sitio de Aranjuez eon motivo del cumpleaños del Sr. Infante D. Carlos María, hijo segundo del Rey. La Real academia de la Historia, por medio de su director D. Francisco Martínez Marina y de su individuo D. Manuel Abella , ha tenido la honra de presentar</t>
  </si>
  <si>
    <t>s suyas en columna y por su orden el Príncipe Ntro. Sr., la Sra. Infanta novia y los Sres. Infantes D. Cárlos María, D. Francisco de Paula y D. Antonio, llevándoles á sus sillas la mesa, y sirviéndoles el tintero los mismos que la habian llevado y servido á SS. MM. Sentóse despues el Sr. Embaxa</t>
  </si>
  <si>
    <t>umplimentáron á SS.MM. y AA. con tan plausible motivo , y el de ser igualmente dias del Sr. Infante D. Carlos María, de la Sra. Infanta Princesa del Brasil, del Sr. Infante D. Cirio? Luis, y,de la Reyna de Ñapóles.0 ;n * * - La noche delv3 én cóhtínüacion de los festejos conque ésta léál 'ciuda</t>
  </si>
  <si>
    <t>Carlos, Archiduque</t>
  </si>
  <si>
    <t>Archiduque Carlos</t>
  </si>
  <si>
    <t>os transportes que hicieron durante la guerra por cuenta de las tropas del Emperador,.* presidio el Archiduque Carlos , y concurrieron el Ministro de Estado Conde de Kollowrath , el Vice-Cancilíer Conde de Cobentzel, el Consejero íntimo Barón de Bartenstein, y otros individuos del Ministerio ,Mé</t>
  </si>
  <si>
    <t>las artes tuvo el i.° del corriente una sesión, en la qual nombró por sus individuos honorarios al Archiduque Carlos, al Conde de Fríes, y otros sugetos. Espérase en esta corte por Embaxador de la Sublime Puerta al Baxá de tres colas Abdul-Achmet, que en la última guerra con el Austria y lg Rusi</t>
  </si>
  <si>
    <t>mandante general de aquella provincia ha recibido del Consejo de Guerra de Viena el aviso de que el Archiduque Carlos irá la próxima primavera á revistar las tropas de dicho país. Los comerciantes de la propia ciudad y de los otros pueblos de la misma provincia, que sacaban géneros y mercancías d</t>
  </si>
  <si>
    <t>a. En recompensa de ello quedarán libres de dar nuevas tropas en caso de otro armamento general. El Archiduque Cárlos ha expedido al exército una orden prohibiendo dar de palos á los soldados sin noticia y consentimiento de los xefes de los cuerpos___ En toda la monarquía austríaca se establecen</t>
  </si>
  <si>
    <t>e este color no es de duración para dichas tropas, volverán á darles uniforme blanco. Ha llamado el Archiduque Cárlos á esta capital muchos Generales y oficiales de plana mayor de las provincias , para que le informen de los auxilios que cada una necesita, á fin de suministrárselos según se pueda</t>
  </si>
  <si>
    <t>uvias, y por haberse derretido la mucha nieve que ha caído. * . Dícese que Baswan-Oglow escribió al Archiduque Carlos con el objeto de conseguir licencia para establecerse en dominios del Emperador, trayendo .todas sus riquezas, y despidiendo primeramente sus tropas; y que el Archiduque le respon</t>
  </si>
  <si>
    <t>ia, ó si sus dueños los enagenarán en un plazo señalado, como se ha executado con los bienes que el Archiduque Carlos poseía en los Países Baxos. En los años de 1794 y 95 se hicieron proposiciones para la compra de algunas de dichas propiedades , particularmente de las que pertenecen al Duque de</t>
  </si>
  <si>
    <t>mbio et Brirgaw. Parece que no ha podido convencerle á que adopte este partido. Por disposición del Archiduque Carlos se formará en la Secretaría dé la Guerra una cokcckm dé todas its obras, planes, cartas y memorias reüti</t>
  </si>
  <si>
    <t>a volvió Mr. de Bildt, Ministro de Suecia, á hablar deí nronurnento que ha de erigirse en honor del Archiduque Carlos, y cuya erección se propuso al Cuerpo germánico de parte de S.M, Sueca. El Ministro directoría! de Maguncia dixo que habia recibido un modelo de un profesor de Eichstadt; pero no</t>
  </si>
  <si>
    <t>examinar los asuntos relativos á dichos ramos. Esta junta acaba de suprimirse; y se ha confiado ai Archiduque Cárlos el despacho de todo lo relativo á la marina y comercio. Acaba el Príncipe de Anhalt-Bernburgo de prohibir en sus estados el uso del tormento, por ser un medio peligroso y muy incier</t>
  </si>
  <si>
    <t>urcos no son'mas favorables que las de estas provincias de Europa. Vierta 2 de Marzo. H a estado el Archiduque Cárlos enfermo de cuidado; pero se ha restablecido. Se asegura que la próxima Dieta de Hungría durará algunos meses. Los magnates del Rey no hacen grandes preparativos para presentarse en</t>
  </si>
  <si>
    <t>el Imperio ofrece contribuir con una crecida suma para el monumento que ha de erigirse en honra dei Archiduque Carlos.</t>
  </si>
  <si>
    <t>utando gente á íin de completarle. Esta academia de bellas artes ha nombrado académico honorario al Archiduque Carlos. Berlín 2 t de Marzo. A, ntes de ayer salió de aquí el General HedouviUe con su familia y los empleados de su embaxada para Petersburgo, adonde se propone llegar en 14 dias de via</t>
  </si>
  <si>
    <t>en Viena con el nuevo Nuncio Apostólico. Dícese que así que se concluya la Dieta de Hungría irá el Archiduque Carlos á París y Londres. Londres 28 de Marzo, E i General O-Hara, Gobernador de Gibraltar que acaba de morir, dexa una herencia quantiosa: á uno. de sus exiados, que es negro, le ha leg</t>
  </si>
  <si>
    <t>n parece, con los buenos oficios del Enviado de -Francia en el Haya. •Se asegura que por respeto al Archiduque Carlos no se secularizarán las posesiones de la orden Teutónica; y aun añaden que se conferirá la dignidad de Elector á los Grandes Maestres de dicha orden. A RaiEbona ha llegado un Cons</t>
  </si>
  <si>
    <t>responderá con el departamento de Venecia, baxo la dirección del Conde de Brenneville, Ayudante del Archiduque Carlos. No menos los frutos y comestibles que todos los géneros han aumentado mucho de precio en esta capital, y al mismo tiempo baxa el valor de los fondos públicos, los quaies pierden</t>
  </si>
  <si>
    <t>ndo escribían esto de Corfú se trataba de pasarlos por las armas.” Venecia de Marzo. H a enviado el Archiduque Cárlos al Coronel Lespina , comandante de los lastimosos restos de nuestra marina, orden de poner en venta en el discurso del mes de Junio los 3 navios y la corbeta nombrada el Austria,</t>
  </si>
  <si>
    <t>que se conserva en la armería de esta ciudad. Viena jo de Abril. H a estado otra vez muy enfermo el Archiduque Carlos: temióse que perdiera la vida, pero ya está fuera de peligro. El Conde dé Cpbentzel, Embaxador imperial en Paris, ha hecho por órden de esta corte representaciones al Presidente d</t>
  </si>
  <si>
    <t>474 ... Dresde, y en el qual se verán el Rey de Prusia, el Archiduque Carlos, el Elector de Saxonia, el Gran Duque Constantino, el Duque de Brunswick y el Landgrave de Hesse-Cassel. Ha regalado el Rey de Inglaterra al Teniente General Kleist un hermoso cab</t>
  </si>
  <si>
    <t>asegura que no volverá á tratarse en la dieta sobre el monumento que habia de erigirse en honor del Archiduque Carlos, porque la corte de Berlín y algunos Príncipes del Imperio no quieren contribuir á ios gastos. Wi’sel /p de Abril. E n virtud de un convenio ajustado entre el gobierno de Rusia y</t>
  </si>
  <si>
    <t>rado al Príncipe de Castel-Franco por su Embaxador cerca de S..M. Imperial. -*;[ oHa ipreséntada el Archiduque Cárlos un' huevo plan de uniforme para ilosr oficialías ;del exércitoí líhpéíial&gt; según el qual llevarán 'Sombrero galoneado en lugar de casco, sable con cinturón por el hombro en vez de</t>
  </si>
  <si>
    <t>ntonio, Luis y Renato; y de allí siguieron á la casa de la Dirección de la guerra para convidar, ai Archiduque Cárlos, y luego fuéron al Belveder para hacer igual proposición al Archiduque .Fernando. Volvieron los diputados á palacio , y se les sirvió á todos una esplendida comida por los oficial</t>
  </si>
  <si>
    <t>Cárlós, Archiduque</t>
  </si>
  <si>
    <t>Archiduque Cárlós</t>
  </si>
  <si>
    <t>ona. Antes de concluirse la sesión de este día nombró la dieta diputadas, que fuesen á presentar al Archiduque Cárlós él testimonio de agradecí;— miento de todos los húngaros por los grandes é importantes servicios que hizo á este Rey no durante la guerra, y para recomendar la nación á la bénevol</t>
  </si>
  <si>
    <t>nta á $. M. Imperial de lo que ocurre en los varios ramos del ministerio. Ha venido de Presburgo el Archiduque Carlos; pero se cree que ett breve volverá á aquella ciudad; Hannóver *4 d* Mayo, L a nota ú oficio que el Barón de Rheden, Enviado extraordinario y Ministro plenipotenciario de S. M. el</t>
  </si>
  <si>
    <t>V ademas un chal magnífico para madama Bonaparté , Valuado en más de 6® florines. ¡ ' Por orden del Archiduque Cárlos sé están*vendiendo los bienes que tenia en los Paises-Baxos, etttre ellos el hermoso palacio de Schoowerg , qité legóá dicho Príncipe la Archiduquesa MarfóChrisjtinal :’ ' i■p ' B</t>
  </si>
  <si>
    <t>a muy lisonjera y honorífica. Refieren las noticias de Viena que según los planes propuestos por el Archiduque Cárlos, y adoptados por el gabinete imperial, el exército austríaco se aumentará con 5 o© hombres, de los quales dará una gran parte el Reyño de Hungría. Este aumento de fuerzas se compo</t>
  </si>
  <si>
    <t>A mediados de este mes se hará la inauguración de un monumento dedicado por el Barón de Haisdorf al Archiduque Carlos en un parage llamado la Isla, á media legua de esta ciudad. Consiste en un templete de arquitecttira romana, con qúatro colunas, y sostenido sobre quatro cabezas de león. En su inte</t>
  </si>
  <si>
    <t>Dr. Quarin, primer médico de aquella corté, ha ido con la mayor priesa á Presburgo para asistir al Archiduque Cárlos, que ha caído gravemente enfermo. « Según muchas gazetas alemanas las negociaciones entabladas en París en orden á los resarcimientos'de los Príncipes de Alemania se han seguido e</t>
  </si>
  <si>
    <t>ha■ce mención del Piamonte. r\ ^ 'x-V-h.*-'-* . El ciudé' Audouin, grabador de París, remitió al ‘ Archiduque Carlos algunos exemplares ddi tetráto de S. A i- muy bien grabado. Satisfecho el Príncipe de su trabajo, y dé laidea deLautóri que en uriifba^o ycelieve re-^ Í&gt;resentó el suceso memorabl</t>
  </si>
  <si>
    <t>ar de señáles y de voces de mando, que /también se han suprimido. Vierta j.° de Agosto, H aliase él Archiduque Cárlos libre del riesgo en que estuvo estos días, pues se llegó á temer por su vida. Quantos médicos se han consultado hasta ahora convienen en que no puede S. A. dedicarse con el empeño</t>
  </si>
  <si>
    <t>despacha actualmente la Presidencia del Gohsejo de Guerra, y firma todos los asuntos en nombre del Archiduque Carlos. Ha pedido el Emperador le presenten un proyecto para renovar los.castigos y suplicios que estaban en uso en tiempo de Alaría Teresa. La fre</t>
  </si>
  <si>
    <t>an ialsos los billetes quando los recibió. Viena 18 de Agosto. M anana sale de aquí para Silesia el Archiduque Carlos: viajará 5 ó 6 semanas á fin de restablecer su salud, pues le prueba mejor el exercicio y la mudanza de ayres, que todos los medicamentos. Se padece gran sequedad en el Austria in</t>
  </si>
  <si>
    <t>Ha salido para Praga el Archiduque Carlos: revistará las tropas de Bohemia, y- pasará luego á Branau con el mismo objeto. Cerca de esta última ciudad habrá un campamento de hombres. Berlín 24 de Agosto, A yer llegó de Pet</t>
  </si>
  <si>
    <t>ivo al año último. ... ...... •... .."\Viena » 8 de Agosto. S egun cartas de pr^covia ha llegado el Archiduque Carlos á aquella ciudad, y ha pasado revista á lás tropas de Moravia, que formaban dos campamentos separados. Todas hiciéron evoluciones y exercicios, de los quales quedó el Archiduque m</t>
  </si>
  <si>
    <t>estados del Reyno. Viena 2 de Octubre, S e ha recibido de Bohemia la desagradable noticia de que el Archiduque Cárlos se halla nuevamente enfermo en la$ haciendas del Conde de Trautmannsdorf. De resultas de una conferencia de estado, celebrada el día 22 del mes Ultimo á presencia de S. M. I. , se</t>
  </si>
  <si>
    <t>'Plenipotenciario;”'¿ * • ' ' &gt;. p a Praga iz -de Octubre. .Ayer á las 6 de la tarde llego aquí el Archiduque Cárlos. Fué recibido •con salva de 180 cañonazos, y con todas las demostraciones de amor y respeto.de los habitantes* Por la noche se iluminó la ciudad. £1 Príncipe Estethazi ha ido dé L</t>
  </si>
  <si>
    <t>uéron las sesiones que tuvo la dieta este año. Desde el dia 2 se halla de vuelta en esta capital el Archiduque Carlos. El Gran Duque Constantino, que deseaba conocer personalmente á este Príncipe, de cuyo mérito está prendado, fué desde luego á visitarle. El ciud. Champagni, Ministro de Francia,</t>
  </si>
  <si>
    <t>a i.° de este mes hasta el 19 han pasado por el Sund 59$ embarcaciones. Viena * 1 de Noviembre. E 1 Archiduque Carlos, que conti unamente trabaja en asuntos de estado, acaba demandar que los Generales, oficiales del estado mayor, y ios principales empleados en los varios ramos del departamento de</t>
  </si>
  <si>
    <t>Carlosse, Archiduque</t>
  </si>
  <si>
    <t>Archiduque Carlosse</t>
  </si>
  <si>
    <t>insurgentes! Viena 11 de Enero. E * n un consejó de guerra celebrado 1él:dia 6, y presidido por el Archiduque Carlosse trató de liquidar las cuentas sobre abastos hechos por los «estados del Imperio á las tropas austríacas durante la guerra. El 5 de este- mes murió la Archiduquesa Carolina Fernand</t>
  </si>
  <si>
    <t>Carlota de Hesse-Casscl, Princesa</t>
  </si>
  <si>
    <t>Princesa Carlota de Hesse-Casscl</t>
  </si>
  <si>
    <t>uela Catalina n. Hambitrgo 27 de Abril. E 1 24 de este mes se celebró en Cassel el matrimonio de la Princesa Carlota de Hesse-Casscl con el Príncipe heredero de Saxonia-Gotha. D e aquí á dos meses habrá muchos campamentos militares en Alemania. Uno bastante crecido de tropas dinamarquesas se formará en los Duca</t>
  </si>
  <si>
    <t>Carlota de Hesse-Cassel, Princesa</t>
  </si>
  <si>
    <t>Princesa Carlota de Hesse-Cassel</t>
  </si>
  <si>
    <t>E 1 dia 24 se celebráron en Cassel los esponsales del Príncipe heredero de Saxonia Gotha , y de la Princesa Carlota de Hesse-Cassel, hija segunda del Landgrave. Hablase mucho de un convenio hecho entre los Príncipes eclesiásticos de Alemania para obrar todos de acuerdo en el asunto de las secularizaciones. Aña</t>
  </si>
  <si>
    <t>Carmichael Smith</t>
  </si>
  <si>
    <t>pesos. En una de las últimas sesiones de la misma Cámara presentó Mr. Wilberforce una petición del Dr. Carmichael Smith, que ha tenido la felicidad de descubrir un remedio eficaz para las fiebres contagiosas, y al mismo tiempo preserva su propagación. Dice que este remedio cortó muy pronto los estr</t>
  </si>
  <si>
    <t>Carmona, Manuel Salvador</t>
  </si>
  <si>
    <t>Manuel Salvador Carmona</t>
  </si>
  <si>
    <t>pintor de Cámara de S. M. y de su Real academia, grabada á expensas de D. Baltasar de la Puente por D. Manuel Salvador Carmona, siendo pensionista de S. M., de su Real academia y de la Real de París. = Estampa nuevamente grabada del glorioso tránsito de S. Joseph. Se venden en la librería de Escribano, ca</t>
  </si>
  <si>
    <t>l Padre Eterno y la Seráfica virgen, hallándose esta en abstracción : las dos primeras grabadas por D. Manuel Salvador Carmona, grabador de Cámara, y director de la Real academia de S. Fernando; y la tercera por D. Blas Ameller, académico en la misma Real academia. Se hallarán á 3 rs. cada una en las libr</t>
  </si>
  <si>
    <t>antísima, patrona de España y sus indias, pintada por el célebre Murillo , y dibuxada y grabada por D. Manuel Salvador Carmona, grabador de cámara de S. M. y director énlá Real'ácademia'dé S. Fernando: se ha estampado én papel avitelado y en papéFmás pequeño de marca mayor. Se hallará en las librerías de</t>
  </si>
  <si>
    <t>ía de te. lucha, entre, el ángel y lucifer: pintada por Lúea* Jordán , y grabada;al agua fuerte por D. Manuel Salvador Carmona, Grabador del Rey. Sé hallafá^con ótfás obras del mismo autor en las librerías de Barco, carre-’ ra de S. Gerónimo , de Escribano, cálle de lasCarrefas,y déEsparzi, puc.rta" efe S</t>
  </si>
  <si>
    <t>Carnara, Manuel</t>
  </si>
  <si>
    <t>Manuel Carnara</t>
  </si>
  <si>
    <t>. Joseph Torres, el Marques de "Iranda, D. .Joseph Catalan, Don Joseph Erquível, D. Toribio Olalde, D. Manuel Carnara y D. Ceferino Carrillo. En sintaxis , baxo la dirección de su maestro D. 'Rufino Espada, D. Francisco Necochea, D. Pedro Goosens, D. Fermín Cia, D. Joseph Gaytan de Avala, D. Agustín</t>
  </si>
  <si>
    <t>Carné, Pedro</t>
  </si>
  <si>
    <t>Pedro Carné</t>
  </si>
  <si>
    <t>cuerpo: en las compañías de infantería ligera de Cataluña, ñxas de la Havana, á Capitán al Teniente D. Pedro Carné; á Teniente al Subteniente D. Máximo du-Bouchet; á esta resulta á D. Antonio Castilla, y á la de Alférez, que este dexa, ai Cadete Don Juan Miguel du-Bouchet: en el regimiento de</t>
  </si>
  <si>
    <t>Carnicero, Antonio</t>
  </si>
  <si>
    <t>Antonio Carnicero</t>
  </si>
  <si>
    <t>o esposo, grabados por D. Juan Bruneti al estilo de Bartolozi,Opiados por los dibuxos originales de D. Antonio Carnicero, pintor de cámarafe¡¡s„; 5®., y maestro de dibuxo del Príncipe Ntro. Sr. y Sres. Infantes. Se hallarán 1 es la librería de Escribano, á 6 rs. cada uno. Luego sé publicarán «1 de l</t>
  </si>
  <si>
    <t>Carnicero, Miguel</t>
  </si>
  <si>
    <t>Miguel Carnicero</t>
  </si>
  <si>
    <t>14. II. Id. Miguel Carnicero........ .. Migue||(jMaría Carnicero... Comparafion, Soria. 73* 9* Id. Josef García............... Vicent^ Bárbara Prieto...</t>
  </si>
  <si>
    <t>Carnot</t>
  </si>
  <si>
    <t>. Domingo sin llevar consigo un General ni un Xefe de brigada de ingenieros. El ciud. Carnot, á quien el primer Inspector habia nombrado para la expedición, porque era uno de los Generales de ingenieros que no estuvo empleado en las dos últimas campana</t>
  </si>
  <si>
    <t>Carolina, Princesa</t>
  </si>
  <si>
    <t>Princesa Carolina</t>
  </si>
  <si>
    <t>zelos á la Puerta. h vj '■ -y.. . Copenhague ugde JAunUi^Ay^v :-y Jül Príncipe Real, su esposa y la Princesa Carolina su hija llegaron el 16 ¿ Odensee *, cuya guardia militar urbana se habia tendido roerá de la pueitadela ciudadpararccibirlos. Al día siguiente examinó S. A, todos los establecimie</t>
  </si>
  <si>
    <t>Carpentier, General</t>
  </si>
  <si>
    <t>General Carpentier</t>
  </si>
  <si>
    <t>n incluye úna .carta del clud: Melzi, Vice-Presidente de la República, dirigida con fecha del 10 al General Carpentier, Comandante de las tropas francesas auxiliares, á. quien avisa ue 409 hombres están en marcha para apoyar la proclama del primer 2 ¡ónsulá los suizos. Después le dice que se ha re</t>
  </si>
  <si>
    <t>Carracedo, Pedro</t>
  </si>
  <si>
    <t>Pedro Carracedo</t>
  </si>
  <si>
    <t>13a* 8* Id. Pedro Carracedo................. Jacobo, Josefa Alvarez.... San Martin deMeis.... Santiago.....</t>
  </si>
  <si>
    <t>Carrafa, Juan</t>
  </si>
  <si>
    <t>Juan Carrafa</t>
  </si>
  <si>
    <t>á los Alféreces de granaderos D. Jéaní Nepomuceno Prats y D. Cájlos Daunoy. ,• Al Mariscal.de Campo D. Juan Carrafa ha conferido el Rey lá Capitanía general del exército y provincia^ de;: Extremadura,5con la Presidenciá de aquella Real Audiencia. r^-:¡ Éu América. En el regimiento de dragones .</t>
  </si>
  <si>
    <t>D. Felipe Beautort, D. Salvador Perillos, D. Melchor Calatayud, D. Manuel Lapeña, D. Joseph Bureau, D. Juan Carrafa, el Marques de la Solana, D. Arturo O-Neille, Duque de San Carlos, D. Francisco Xavier Castaños, D. Francisco Ta— raneo, el Marques de Alcocebar, D. Francisco Fguia, Duque de Fría</t>
  </si>
  <si>
    <t>Carranza, Juan</t>
  </si>
  <si>
    <t>Juan Carranza</t>
  </si>
  <si>
    <t>arte y Borla, D. Rafael de Hore, y D. Joseph Espinosa Tello. A Capitanes de Navio los de Fragata ■i D. Juan Carranza, D. Bruno Palacio*, D. Juan Elizalde y Uztariz, D. Tomas Herrera y Cruzat, D. Juan Ignacio Bustillos, D. Felipe Tcurneil, D. Pedro Esquível, D. Pedro de Mesa, D. Ignacio Olaeta, D</t>
  </si>
  <si>
    <t>Carrasco y Malfeyto, Joseph</t>
  </si>
  <si>
    <t>Joseph Carrasco y Malfeyto</t>
  </si>
  <si>
    <t>de D. Juan Rafael PorceLá la Abadía de Sta, Fe, Dignidad de la metropolitana de aquella ciudad , á D. Joseph Carrasco y Malfeyto. En el regimiento de .infantería de Toledo se h,a servido promover S. M. á primer Teniente de granaderos ai de fusileros D. Domingo Abreu: en el de Nápoles á segundo .Subteniente</t>
  </si>
  <si>
    <t>Carrascosa, Alexandro</t>
  </si>
  <si>
    <t>Alexandro Carrascosa</t>
  </si>
  <si>
    <t>Ayudantes que eran de las propias milicias; y Sargentos mayores de las de dragones á los Capitanes D. Alexandro Carrascosa y D. Pedro Benedi, y á los Ayudantes D. Pedro de Campo y Arpa y D. Millan Bustos. ; El Rey se ha servido nombrar para el empleo de Contador ordenador del tribunal mayor de cuentas del</t>
  </si>
  <si>
    <t>Carretero, Juan</t>
  </si>
  <si>
    <t>Juan Carretero</t>
  </si>
  <si>
    <t>116 . 12* Id. Juan Carretero..................... Miguel, Antonia Redondo. Bertavillo........ Búrgos.......</t>
  </si>
  <si>
    <t>Carrias de Santa Cruz, Andrés</t>
  </si>
  <si>
    <t>Andrés Carrias de Santa Cruz</t>
  </si>
  <si>
    <t>518 Losada á la Dignidad de Tesorero de la misma , á D. Andrés Carrias de Santa Cruz: piara otra de la colegial de Calaf, diócesis de Vich, á Don Antonio Pradell y Gurri: para otra de la metropolitana de Zaragoza, vacante por fallecimiento de D. Ignacio de Barrene</t>
  </si>
  <si>
    <t>Carrillo, Antonio</t>
  </si>
  <si>
    <t>Antonio Carrillo</t>
  </si>
  <si>
    <t>la misma ciudad: para la dignidad de Chantre de la catedral de Calahorra, vacante por promoción de D. Antonio Carrillo al Deanato de la misma iglesia, á D. Joseph Gonzalo y Orduña, coa retención de la Canongia que obtiene: para una Canongía de la catedral de Mondoñedo, vacante por muerte de D. Tib</t>
  </si>
  <si>
    <t>Carrillo, Francisco</t>
  </si>
  <si>
    <t>Francisco Carrillo</t>
  </si>
  <si>
    <t>o de D. Francisco Baquerieo; y el Beneficio de Tena jas, vacante en la misma diócesis por muerte de D. Francisco Carrillo, á D. Rafael de Aldunate , con retención de la demás renta eclesiástica que goza. Asimismo se ha servido S. conferir plaza de Ministro de capa y es— áda del Consejo de Indias, vac</t>
  </si>
  <si>
    <t>Carrillo, Ramón</t>
  </si>
  <si>
    <t>Ramón Carrillo</t>
  </si>
  <si>
    <t>Andrés Beiztegui, los seminaristas D. Joseph de Torres, eí Marques de Iranda, D. Martin Esterripa, D. Ramón Carrillo, D. Francisco Barraicua, D. Mariano Zapata, D. Ramón Zuloaga y D. Luis Duran. En sintaxis, baxo la dirección de su maestro Dw Rufino Espada, D. Joachín Fernandez de Medrano, D. Fr</t>
  </si>
  <si>
    <t>ernardino Echagfte, el Marques de Iranda, D. Luis Vidarte, D. Toribio Olalde, D. Valentín Martínez, D. Ramón Carrillo, D. Ceferino Carrillo y D. Manuel Carnara. En matemáticas, baxo la dirección de sus dos profesores D. Joseph Antonio de Ojea y el Subteniente D. Antonio Isidoro de Ojea , fueron e</t>
  </si>
  <si>
    <t>Carrion, Julián</t>
  </si>
  <si>
    <t>Julián Carrion</t>
  </si>
  <si>
    <t>43 T una Canongía de la metropolitana de Lima , vacante por fallecimiento de D. Julián Carrion, al Racionero D. Joseph Joaquín de Ustariz ; y para la referida al Medio-Racionero D. Pedro Tadeo Bravo de Rivero. El Real y supremo Consejo de Castilla se ha dignado conceder fac</t>
  </si>
  <si>
    <t>Carro, Francisco</t>
  </si>
  <si>
    <t>Francisco Carro</t>
  </si>
  <si>
    <t>31. 10. Id. Francisco Carro................... Salvador, Juliana Varella.. S. Adrián....... Santiago........ 46. 33. Id. Nicolás González................Pedro, Polonia Márcos....</t>
  </si>
  <si>
    <t>Carslreagh, Lord</t>
  </si>
  <si>
    <t>Lord Carslreagh</t>
  </si>
  <si>
    <t>icho título gozarán sus dos herederos sucesivos.—ü El mismo dia ^señaló la Cámara ¿proposición del ¿Lord Carslreagh 10® libras , esterlinas para gastos del establecimiento de í£ierra-Xeona. Según cartas de aquella colonia los negros llamados tymmanis atacaron repentinamente por segunda vez la c</t>
  </si>
  <si>
    <t>Carta, Diego Antonio</t>
  </si>
  <si>
    <t>Diego Antonio Carta</t>
  </si>
  <si>
    <t>de Menchaca, Sargento mayor del de León: en el de Toledo á primer Teniente al segundo de granaderos D. Diego Antonio Carta; y en el de Voluntarios de Castilla á Capitán á D. Vicente Chico, primer Teniente de granaderos del de la Corona. En el regimiento de caballería de Calatrava se ha servido el Rey</t>
  </si>
  <si>
    <t>Carvajal y Salamanca, Antonio</t>
  </si>
  <si>
    <t>Antonio Carvajal y Salamanca</t>
  </si>
  <si>
    <t>Onc¡e de León y Morejon, D. Sancho Ponce de León y Morejon, D-. Joaquín Lobo .de Verseó y Mehdieta, D. Antonio Carvajal y Salamanca $ i). Jbsephi de Mesa y Figueroa, D. Eusebio de Tispar y 'Pedrosa v D^iGaspár Romero y Díaz de Herrera, D. Jacinto de * Aguiiar y Tablada, 0. Joreóh Cortés y Azua, O. Basilio de G</t>
  </si>
  <si>
    <t>Carvallido, Alonso</t>
  </si>
  <si>
    <t>Alonso Carvallido</t>
  </si>
  <si>
    <t>o..... 109. 28. Id. Alonso Carvallido............... Benito, Tomasa Rodríguez. S. Pedro del Puerto..... Santiago.....</t>
  </si>
  <si>
    <t>Carvallo, Ventura</t>
  </si>
  <si>
    <t>Ventura Carvallo</t>
  </si>
  <si>
    <t>70. 12. Licenciado, Ventura Carvallo.............. Santiago, Baltasara Espino. Ponferrada.. Ponferrada.. 14- *4. Id. Manuel Astorga................ Antonio,IsabelFuentes... Vill</t>
  </si>
  <si>
    <t>Carysfort</t>
  </si>
  <si>
    <t>irá con el: mismo carácter al Haya;Mr- Wickham á-BerMn en calidad de Ministro pler i\ipotenciario; Mr. Carysfort á Petersburgoj; Roberto Fitzgerald á Lisboa, y Mr. Jayme Crawfurt á Stpckolmo; Con Mr. Listón va al Haya de secretario de legación el Lord Henifique Stuart ,hijo del Marques de Bu</t>
  </si>
  <si>
    <t>Cas</t>
  </si>
  <si>
    <t>extracto de los nuevos experimentos sobre los contravenenos del arsénico por el ciud. Cas. Renault.En el extracto de estos nuevos experimentos, que constituye como una décima parte del opúsculo, hallarán especies curiosas é interesantes los médicos,</t>
  </si>
  <si>
    <t>Casaba, Nicolás</t>
  </si>
  <si>
    <t>Nicolás Casaba</t>
  </si>
  <si>
    <t>nso, D. Agapito Martínez, D. Pedro del Caño y D. Joseph Gallarte. En la segunda D. Romualdo Merino» D. Nicolás Casaba!, Dpn Nicolás Ramírez, D. Lucas de Soto, D. Fructuoso Cariñena, D* Patricio Gómez, D. Manuel Martínez-, D. Dionisio Pinedo, D. HemeterioMdtetio* D. Anacleto Orbañanos, D. Gerardo</t>
  </si>
  <si>
    <t>Casado, Joseph</t>
  </si>
  <si>
    <t>Joseph Casado</t>
  </si>
  <si>
    <t>2 10 Calatrava empleo de Alférez al Portaestandarte D. Joseph Casado: en el de Voluntarios de España segunda Tenencia al Alférez D. Eneas Elecher; y en el de dragones de Pavía Compañía al Ayudante, graduado de Capitán , D. Simón Maluenda. En el Rea</t>
  </si>
  <si>
    <t>Casado, Rafael</t>
  </si>
  <si>
    <t>Rafael Casado</t>
  </si>
  <si>
    <t>.... , 131. 16. I¿. Cabo 2.0 Rafael Casado.. . 8. 32. Id. Josef Perez.......................</t>
  </si>
  <si>
    <t>Casado, Simón</t>
  </si>
  <si>
    <t>Simón Casado</t>
  </si>
  <si>
    <t>'458. *3- Id. Simón Casado............... .. Cornelio, Josefa Martin... Tarazona..... Salamanca... 526. 3- Licenciado. Clemente Fernandez. Francisco . Teresa Alvare</t>
  </si>
  <si>
    <t>Casamayor, Joseph</t>
  </si>
  <si>
    <t>Joseph Casamayor</t>
  </si>
  <si>
    <t>ateo Arrióla, D. Gerónimo Verde, D. Juan Kindelan, D. Juan O-Neilie, el Conde de Castrillo y Orgaz, D. Joseph Casamayor , D. Joseph GenaroSa-? lazar, D. Gerónimo la Grúa* D. Joaquín Manuel de ViHena, D. Luis Idia-’ quez, D.' Manuel Továrv -D.!‘Pascual1 de la V egay 0. R aymundo Capece Minutólo, D.</t>
  </si>
  <si>
    <t>Casanate, Mateo</t>
  </si>
  <si>
    <t>Mateo Casanate</t>
  </si>
  <si>
    <t>E 1 Rey se ha servido nombrar para una Canongía de la catedral de Tarazona , vacante por muerte de D. Mateo Casanate,á D. Baltasar de Salas: para una Ración patrimonial de la misma catedral, vacante por promoción de D. Manuel Milagro y Santas á la Dignidad de Arcipreste de la propia iglesia, á D</t>
  </si>
  <si>
    <t>Casanova, Christóbal</t>
  </si>
  <si>
    <t>Christóbal Casanova</t>
  </si>
  <si>
    <t>: para el Beneficio de la catedral de Mallorca , vacante por fallecimiento de D. Jayme Canellas , á D. Christóbal Casanova: para otro de la parroquia de Sta. María del Mar de la ciudad de Barcelona , vacañte .por muerte de D. Domingo Marti, á D. Mariano Deo : para otro de la parroquia de S. Justo y Pa</t>
  </si>
  <si>
    <t>Casanova, Mateo</t>
  </si>
  <si>
    <t>Mateo Casanova</t>
  </si>
  <si>
    <t>atro Villas á Coronel al Capitán del misino cuerpo D. Joseph Fernando Muñoz; á Ayudante al Teniente D. Mateo Casanova, y á esta clase los Sargentos primeros Veteranos D. Joseph Francisco de la Torre y D. Joseph de la Paz González: en el batallón de igual clase de Cuba y Bayanio á Teniente Veteran</t>
  </si>
  <si>
    <t>Casanovas, Vicente</t>
  </si>
  <si>
    <t>Vicente Casanovas</t>
  </si>
  <si>
    <t>la parroquia de Santa María dei Mar de la ciudad de Barcelona, por renuncia de D. Miguel Rodon , á D. Vicente Casanovas. En América. En el regimiento de infantería de la Corona de NuevaEspaña se ha servido el Rey promover á Capitán al Teniente de granaderos D. Manuel Saenz; á Teniente de granaderos</t>
  </si>
  <si>
    <t>Casáres, Joseph Antonio</t>
  </si>
  <si>
    <t>Joseph Antonio Casáres</t>
  </si>
  <si>
    <t>el a£o de 1778 salió de Campeche para la Havana O, Vicente Antonio Berrazueta , desando en poder de D. Joseph Antonio Casáres , é ínterin dispusiese de ellos, mil pesos. Desde entónces se han practicado varias diligencias para averiguar su paradero -, y se ha sabido que naufragó sobre la Berdiutiá vinien</t>
  </si>
  <si>
    <t>Casasola, Pedro Antonio</t>
  </si>
  <si>
    <t>Pedro Antonio Casasola</t>
  </si>
  <si>
    <t>Juan Vázquez, D. Alberto Moreyra, D. Joseph de Lago, D. Juan María de Moráles, Dé 'Joseph Coppola, D. Pedro Antonio Casasola^'D. Joseph*Molina , D. Miguel Taboada, D. Pedro Espinosa, D. Ramón Varela ¿ D. Melchor Magrat, Don Antonio Laprieta, D. Francisco Ezpeleta, D. Juan Albérni, D. Joaquín Puertolas,</t>
  </si>
  <si>
    <t>Casimiro</t>
  </si>
  <si>
    <t>o Blancher: para una Ración de la colegial de Bayona, diócesis de Tuy, vacante por fallecimiento de Don Casimiro ligarte,, á D. Pedro Barreyro, Cura de la misma colegial: para el Beneficio de la villa de la Rambla ^ en la diócesis-de Córdoba, que obtenía D. Francisco de Armenta, y resulta va</t>
  </si>
  <si>
    <t>Casimiro Alonso</t>
  </si>
  <si>
    <t>55. 26. Licenciado* Casimiro Alonso............. .. Juan, Agata Cabrero....... Moraleja....... Coca.......... , Pablo García.,.......... .. Pedro, Bárbara Saiz....... Paules Agua. Búrgos...,.,.. 40. 13. Id. D</t>
  </si>
  <si>
    <t>Casimiro Antonio Gómez</t>
  </si>
  <si>
    <t>ón de Marques de Ja Nava de Barcinas, regulado en 11% ducados. Quien quisiere hacer postura acuda á D. Casimiro Antonio Gómez, Escribano del número, en el término de 30 dias, que corren desde 10 de este mes. En la ciudad de Borja, reyno de Aragón, se halla vacante la cátedra de gramática y retórica, cuya</t>
  </si>
  <si>
    <t>nte el Señor I). Manuel de Torres Cónsul, Teniente Corregidor de esta villa, y por la escribanía de D. Casimiro Antonio Gómez, en el término de 30 dias contados desde 7 de este mes. En el anuncio inserto en la gazeta última sobre la venta de la casa de la calle de la Montera, núm. 39, manz. 291, donde di</t>
  </si>
  <si>
    <t>Casimiro de Egmont, Conde</t>
  </si>
  <si>
    <t>Conde Casimiro de Egmont</t>
  </si>
  <si>
    <t>ortan mas de 120© florines. Francfort $ de Febrero. A los 75 años de edad ha muerto en Brunswick el Conde Casimiro de Egmont, Pignatelii, Príncipe de Grave y del S. R. L, Duque de Lusache, Grande de España &amp;c. El Príncipe Obispo de Constanza, Coadjutor de Maguncia, salió de Achaffenburgo el 29 de Enero</t>
  </si>
  <si>
    <t>Casimiro de Mendoza</t>
  </si>
  <si>
    <t>D. Francisco Zey, D. Ghristóbal Fohn, D. Joséph Trax* ler, D. Francisco Joseph Márcos de Courten * D. Casimiro de Mendoza^ D. Baltasar Samitier, D. Joseph Plano, D. Camilo Arroyo , D. Rafael Mariano, D. Félix Zurbano, D. Juan Lieutaud, D.«Alonso Ribera, Don Pedro Joseph de GamezyD. Vicente Morodo, Di</t>
  </si>
  <si>
    <t>Casimiro García</t>
  </si>
  <si>
    <t>4. 27. Id. Casimiro García.................. Santiago , Teresa García... Rioseco.......... Rioseco........ . 125. 11. Id. Santiago la Varga............... Santiago,Bernarda Martinez.viiiamartin.. León....</t>
  </si>
  <si>
    <t>Casimiro Montero</t>
  </si>
  <si>
    <t>isco de Torres, D. Cárlos Larras, D. Joseph del Castillo, D. César Baibiam, D. Bartolomé Arguelles, D. Casimiro Montero, D. Antonio Montaña, D. Joseph S?avedra, D. Joseph Sastre, D; Francisco Nuñez, D. Maximiliano Saut Maxent, D. Tadeo Muniesa, D. Fernando Bienpica, D. Juan O-Snlivan, í). joseph de</t>
  </si>
  <si>
    <t>Casou, Juan</t>
  </si>
  <si>
    <t>Juan Casou</t>
  </si>
  <si>
    <t>ada en la Real casa Aduana, y en las provincias á los comisionados siguientes. En Alicante......... D. Juan Casou y compañía. En Avila.............. D. Fernando de Echepare. En Badajoz.......... D. Manuel de la Peña. En Barcelona...... D. Ramón de Llordella é hijo. En B tíraos.......... D. Andr</t>
  </si>
  <si>
    <t>la Real casa Aduana, y en las provincias á ios comisionados siguientes. • .. En Alicante........... D. Juan Casou y compañía. En Avila............. ✓.. D. Fernando de Echepare y sobrinos. En Badajoz............ D. Manuel de la Peña. En Barcelona........ D. Ramón de Llordella é hijo. En Burgos..</t>
  </si>
  <si>
    <t>en la Real casa Aduana, y en las provincias á los co* misionados siguientes. En Alicante........... D. Juan Casou y compañía. En Avila.......... ...:. D. Fernando de Echepare y sobrinos* ' En Badajoz...... . D. Manuel de la Peña. , , En Barcelona....... D. Ramón de Liordella é hijo* En Burgos..</t>
  </si>
  <si>
    <t>ituada en la Real casa Aduana , y en las provincias á los comisionados siguientes: . En Alicante....D. Juan Casou y compañía. Y En Avila...............D. Fernando de Echepare# En Badajoz...,.,.... D. Estdban de V^aldivieíso. En Barcelona.......D. Ramón de Llordella é hijo» En Biírgos...........</t>
  </si>
  <si>
    <t>en la Real casa Aduana, y en las provincias á ios C#« misionados siguientes; En Alicante.......... D. Juan Casou y compañía. En Avila..............D. Fernando de Echepare. En Badajoz...... D. Estéban de Valdivielso. En Bdrcelona....... D. Ramón de Llordella é hijo. En Burgos....... ..... D. An</t>
  </si>
  <si>
    <t>adaíen la Real casa Aduana, y en las provincias á los comisionados siguientes: En Alicante...»..... D. Juan Casou y compañía. En Avila*...........*. D. Fernando de Echepare. - En Badajoz.......... D. Estéban de Valdivielso. En Barcelona........D. Ramón de Llordella é hijo. En Burgos*...........</t>
  </si>
  <si>
    <t>Aduana , y en las provincias á los comisionados siguientes: '.i í.,;,Í -ih *. • -jjc -¿EnMHcante^,^ D. Juan Casou y compañía. ,• ^ ¿ n En j4w7^....’..¿¡¿...&gt;. D. Fernando de Echepareiy sobrinos» i • 1 ~^En-'Éadty0S.X'.j.¿*:D&amp;Bséébzn defValdiéíelsov*'v••&gt; tbaw ~ En EÁUflai &amp; Ramqn'ide^Llordclla'</t>
  </si>
  <si>
    <t>da en la Real casa Aduana , y en las provincias á los comisionados siguientes ¿ En Alicante"....... D. Juan Casou y compañía. • En Avila.............. D. Fernando de Echepare y sobrinos. ri &gt; En Badajoz......".* D; Estéban de‘;Valdi vielso.;. En Barcelona^..... D. Ramón de Llordella é hijo. En</t>
  </si>
  <si>
    <t>Casset, Miguel</t>
  </si>
  <si>
    <t>Miguel Casset</t>
  </si>
  <si>
    <t>roquia de Sta. María del Mar, de la ciudad de Barcelona, por renuncia también de D. Miguel Rodon, á D. Miguel Casset. S. M. ha nombrado Ingeniero en segundo de sus exércitos, plazas y fronteras á D. Juan Bouligni, Ingeniero ordinario; y para este empleo al extraordinario D. Joseph Falck. El Rey</t>
  </si>
  <si>
    <t>Cassini, Conde</t>
  </si>
  <si>
    <t>Conde Cassini</t>
  </si>
  <si>
    <t>icilia los Ministros de Rusia y Londres. i ‘• Roma i * de Mayo. E 1 Sto. Padre ha dado audiencia al Conde Cassini recien llegado 4 esta dudad como Encargado de Negocios del Emperador de Rusia cerca de la santa Sede. Ha salido de aquí Monseñor Lorenzo Galeppi para Lisboa, en calidad; de Nuncio</t>
  </si>
  <si>
    <t>Castalio, Félix</t>
  </si>
  <si>
    <t>Félix Castalio</t>
  </si>
  <si>
    <t>y Fuentes, Oficial quarto de la Contaduría general de Alcabalas del propio Reyno; y esta resulta á D. Félix Castalio, Escribiente de la misma renta: y ha nombrado á D. Joseph Victoriano Calderón para la plaza de Oficial primero</t>
  </si>
  <si>
    <t>Castaño, Francisco</t>
  </si>
  <si>
    <t>Francisco Castaño</t>
  </si>
  <si>
    <t>76. 14. Id. Francisco Castaño......... Josef García, Rosa García.. Vi lia marco... León................ 340. 11. Id. Josef Fernandez................... Antonio, Olaya Perez........ Meyr</t>
  </si>
  <si>
    <t>Castaños, Francisco Xavier</t>
  </si>
  <si>
    <t>Francisco Xavier Castaños</t>
  </si>
  <si>
    <t>. Joseph Bureau, D. Juan Carrafa, el Marques de la Solana, D. Arturo O-Neille, Duque de San Carlos, D. Francisco Xavier Castaños, D. Francisco Ta— raneo, el Marques de Alcocebar, D. Francisco Fguia, Duque de Frías, Duque del Infantado, D. Juan Ordoñez, D. Francisco Vallejo, D. Antonio López Sopeña, D. Anton</t>
  </si>
  <si>
    <t>Castellano Cabrejano, Cipriano</t>
  </si>
  <si>
    <t>Cipriano Castellano Cabrejano</t>
  </si>
  <si>
    <t>Ms cion de la catedral de Cuenca, vacante por fallecimiento de D. Nicolás Próspero Villalonga, á D. Cipriano Castellano Cabrejano: para una Ración de Maestro de-Ceremonias de la catedral de Ibiza, vacante por muerte de D. Francisco Aquenza, &gt;á De Francisco Blancher: para una Ración de la colegial de Bayona,</t>
  </si>
  <si>
    <t>Castilla, Antonio</t>
  </si>
  <si>
    <t>Antonio Castilla</t>
  </si>
  <si>
    <t>apitán al Teniente D. Pedro Carné; á Teniente al Subteniente D. Máximo du-Bouchet; á esta resulta á D. Antonio Castilla, y á la de Alférez, que este dexa, ai Cadete Don Juan Miguel du-Bouchet: en el regimiento de milicias disciplinadas de infantería de la Havana, á Tenientes Veteranos de granaderos</t>
  </si>
  <si>
    <t>Castillo, Ramón</t>
  </si>
  <si>
    <t>Ramón Castillo</t>
  </si>
  <si>
    <t>nuel María Perez, D. Jorge Vi«* llers y D. Joseph Recio ; á Subtenientes de compañía los de bandera Don Ramón Castillo, D. Joseph María Canalejo y D. Domingo Gallegos; y í esta última clase el Cadete D. Joseph de Córdoba y D. Miguel de la Fontecilia, Soldado distinguido del mismo cuerpo: en las co</t>
  </si>
  <si>
    <t>Castrillo, Santiago</t>
  </si>
  <si>
    <t>Santiago Castrillo</t>
  </si>
  <si>
    <t>...... 443. it. Id. Santiago Castrillo............ .. Manuel, Ventura Ruiz.. .. Búrgos........... Búrgos.......... 510. 16. Id, Juan Barrera............ . Juan, Ana Morán.............. Valencia....</t>
  </si>
  <si>
    <t>Castro</t>
  </si>
  <si>
    <t>Pajares, en Sevilla en la de Caro, y en Barcelona en la de Üson. Sermones morales y panegíricos del Dr. Castro, formados sobre los tres estilos, sublime, mediocre y familiar : dirigidos á los predicadores jóvenes, y útiles á toda clase de fieles. = No vena rio doloroso de María Santísima:</t>
  </si>
  <si>
    <t>Casu, General</t>
  </si>
  <si>
    <t>General Casu</t>
  </si>
  <si>
    <t>mbre, y el 14 por la mañana tomamos posesión de los castillos de ía ciudad , al mismo tiempo que el General Casu lla ocupó- á S. Pedro con un destacamento de 20Ó hombres: los habitantes celebraron muchísimo nuestra llegada: el Fuerte de Francia y S. Pedro se iluminaron aquella noche, y porto</t>
  </si>
  <si>
    <t>Catalá, Antonio</t>
  </si>
  <si>
    <t>Antonio Catalá</t>
  </si>
  <si>
    <t>regimiento de infantería del Príncipe se ha servido el Rey promover á segundo Subteniente al Cadete D. Antonio Catalá : en el de Saboya á segundo Teniente al Subteniente de granaderos D. Calixto Sancho , y á primeros Subtenientes á los segundos D. Cayetano Perchet y D. Juan Rodríguez Cuervo: en e</t>
  </si>
  <si>
    <t>Catalan, Joseph</t>
  </si>
  <si>
    <t>Joseph Catalan</t>
  </si>
  <si>
    <t>éron examinados D. Joachín del Rio, D. Luis Vidarte, D. Toribio Olalde, D. Joseph Mar ría Esquivel, D. Joseph Catalan, D. Blas de Lezo, D. Joseph Martínez, D. Luis Verganza y D. Zeferino Carrillo. En rudimentos.de latinidad, baxo la dirección de su maestro D. Andrés Beiztegui, los seminaristas D.</t>
  </si>
  <si>
    <t>Catalina de Alfaro</t>
  </si>
  <si>
    <t>e tiene de sitio 2174! pies, y está tasada en 139,753 rs., pertenecientes á la capellanía que fundó Doña Catalina de Alfaro* y la otra en la calle de la Luna, con accesorias á la de Silva, núm. 11, manz. 469 , que tiene de sitio 3824 pies , y está tasada en 149,603 rs. , perteneciente á la capellanía q</t>
  </si>
  <si>
    <t>Catalina del Campo</t>
  </si>
  <si>
    <t>se cita y emplaza d todas las personas que seaú descendientes de D. Pedro, D. Gonzalo , í). Juan y Doña Catalina del Campo , sus hijos é hijas, ó á jas que pretendan tener derecho al mayorazgo qué con Real facultad fundé J&gt;. Pedro del Campo , vecino que fue de la ciudad de Segovia, por escritura que o</t>
  </si>
  <si>
    <t>Catalina Herrera</t>
  </si>
  <si>
    <t>iguiendo autos entre los interesados en la herencia abintestato del Sr. Conde que fue de Maceda , y Doña Catalina Herrera, viuda, de D. Juan de Lucena y Prada , y única heredera de su hijo D. Juan Joseph , administrador que fue del estado de Tcvaruela, sobre aprobación de las cuentas presentadas de d</t>
  </si>
  <si>
    <t>Catalina Reínoso</t>
  </si>
  <si>
    <t>rde, comprehensiva de 67gr pies, de sitio ’ ra da en acioso, perteneciente á la memoria fundaoa por Doña Catalina Reínoso; y tres pedazos de tierra, de caber ia fanegas y 3 celemines, tasados en 1r rs situados en término del lugar de Vallécas , pertenecientes á la memoria que en él fundó Doña Teresa</t>
  </si>
  <si>
    <t>Catalina, Manuel</t>
  </si>
  <si>
    <t>Manuel Catalina</t>
  </si>
  <si>
    <t>Id. Manuel Catalina................ Josef, María Calleja...........Carnillo........... Búrgos........... 375. 3a. Id. Agustín Domínguez............Pascual, María Magaña... Sta.Christina. León...</t>
  </si>
  <si>
    <t>Cataneo, Carlos</t>
  </si>
  <si>
    <t>Carlos Cataneo</t>
  </si>
  <si>
    <t>la Compañía Italiana á segundo Teniente ai Alférez D. Ramón de San Martin; á esta resulta al Exento Don Carlos Cataneo; á Exento de número al supernumerario D. Christóbal Montes, y á Exento supernumerario al Brigadier de la misma Compañía Italiana D. Benito Capini. El Rey se ha servido conferir en</t>
  </si>
  <si>
    <t>Catiét y Ponz</t>
  </si>
  <si>
    <t>enla que tanto(interesante '&amp;»;, i: 1 &gt;■ ■ 'eY-üetaen CafatJüña, 4 de Junio. '• Catiét y Ponz, Médico titular de la eilfá dé Calaf, de</t>
  </si>
  <si>
    <t>Catrera, Manuel</t>
  </si>
  <si>
    <t>Manuel Catrera</t>
  </si>
  <si>
    <t>y quarto, xefes 4eJ mismocuerpo y otros concurrentes., Losde primera clase iuéron D. Manuel Juano, D. Manuel Catrera y D. Antonio Chicheri soJbre;yarjo? puntos ^ J^ ordena^ailliálilirí y se*vfc*&gt; *y¿Mg®hasipartéf;i4«. 4e cpsmog^g^ y geografía ¿ilgebr^y dlEjixo ;*&lt;y ios .3 prese atáronplanos de forfi</t>
  </si>
  <si>
    <t>Cattaneo</t>
  </si>
  <si>
    <t>imer Magistrado del gobierno definitivo, que en breve tendrá esta República, al ciud. Cattaneo con el título de Dux. En el .dia es Ministro de Génova en Milán; El navio de línea francés Atlante de s cañones y 900 hombres de tripulación, mandado porv el C</t>
  </si>
  <si>
    <t>Cattanéo</t>
  </si>
  <si>
    <t>$én.a&lt;mí: Gerónimo Durazzo para lá dignidad dé l)üx, por no haberla a^imtíqq^éf ciud. Cattanéo. ’ ; r' V’ Y4 Y'Y’ YY. f5 De Tolon han salido baxo Jas órdenes del Contm-Al^rapté Chegué. el navio Duquésné, una corbeta y ün bergantm»! y, en alta ¿jujjr!fse!</t>
  </si>
  <si>
    <t>Caudevila, María</t>
  </si>
  <si>
    <t>María Caudevila</t>
  </si>
  <si>
    <t>e ra los discípulos y , Mícprirordia. v fundaciones de D. Juan. s. Vicente, nuestra enora Navarro y Dona María Caudevila, bamilas condiciones"^ «ámen—Para Estimular á la buena educación Xo las mismas cona X darán seis premios, quatro para mnos, “d"! oara S díla sfX plicas de la dudad de Segorbe, bax</t>
  </si>
  <si>
    <t>caudillo Mulka-Row</t>
  </si>
  <si>
    <t>o en la provincia de Guzerate, porque los rebeldes entregaron á los enemigos su caudillo Mulka-Row. Él 30 de Abril se atacaron las líneas de Kenf, y se ganarán á bayoneta calada. .Maya 26de Octubre, H a hecho la corte de «Lisboa en Holanda un empréstito de 1</t>
  </si>
  <si>
    <t>Caulincourt, Coronel</t>
  </si>
  <si>
    <t>Coronel Caulincourt</t>
  </si>
  <si>
    <t>udad al General Hedouville, Ministro de la República francesa; hasta su llegada permanecerá aquí el Coronel Caulincourt. Los Consejeros íntimos Lapuchin y Neindiskoi-Meleskoi, que de orden de S. M. fueron á Uk.rania para visitar aquella provincia-, y examinar la conducta de los empleados en el cump</t>
  </si>
  <si>
    <t>Cauliucourt, Coronel</t>
  </si>
  <si>
    <t>Coronel Cauliucourt</t>
  </si>
  <si>
    <t>ine á mudarle, lo comunicará al público con 6 meses de anticipación á favor de los comerciantes. El Coronel Cauliucourt, Encargado de Negocios de la República francesa , ha despachado un correo á París. Dícese que quanto antes se dará orden para que se corten y achiquen los sombreros de la oficiali</t>
  </si>
  <si>
    <t>Caunedo, Nicolás</t>
  </si>
  <si>
    <t>Nicolás Caunedo</t>
  </si>
  <si>
    <t>ranaderos D. Ramón León de Albéar-en el de Asturias á segundo Teniente al Subteniente de granaderos D. Nicolás Caunedo: en el batallón de cazadores Voluntarios^ de Barbastro áCapitán segundo al primer Teniente D. Antonio Volante: en el de Voluntarios de Valencia á segundo. Subteniente al Sargento</t>
  </si>
  <si>
    <t>Cavaleri y Ponce, Luis</t>
  </si>
  <si>
    <t>Luis Cavaleri y Ponce</t>
  </si>
  <si>
    <t>n, D. Agustín; Mqnzon,D. Francisco deja Torre, D. Joseph deí Camino,D. Francisco González Calderón, D. Luis Cavaleri y Ponce, Don Orberto Michelena, D. Alipio de Roda y Duran, Di Aiexandro Marín Na.4 yarro, D. Vicente Camino, D. Joseph deQcio, y SalJzar , D. Miguel Triarte, í). Francisca G;rageray Gotdo</t>
  </si>
  <si>
    <t>Cavaleri, Miguel</t>
  </si>
  <si>
    <t>Miguel Cavaleri</t>
  </si>
  <si>
    <t>l y Sada, D. Francisco Cortés y Posada, ©. Francisco. Antolinez y Salazar , D. Joseph de la Cresta, D. Miguel Cavaleri, Don1 Ñuño de Ja Cueva y Alcedo, D. Santiago Zaldivar y BurgíSa, D. Joseph Caamuño y Pardo, IX Martin Sarratea y Mayora, D. Martín Lazaga ys Uria , D. Manuel- de Camba -y Leys, D.</t>
  </si>
  <si>
    <t>Cavaller, Christóbal</t>
  </si>
  <si>
    <t>Christóbal Cavaller</t>
  </si>
  <si>
    <t>nes, entre ellas á los hijos del Alcaide de esta villa Dr. D. Vicente Colas, y de los médicos Dres. Don Christóbal Cavaller, D. Francisco la Cruz y D. Nicolás Esteller. Con estos exemplos se animaron tanto los demas vecinos, que en solos 3 meses se inocularon 633 de todas edades, por aquellos y otros f</t>
  </si>
  <si>
    <t>Cavan, Lord</t>
  </si>
  <si>
    <t>Lord Cavan</t>
  </si>
  <si>
    <t>ingleses de los que están en Malta se han embarcado para Egipto. En Alexandría quedaba mandando el Lord Cavan. El dia 19 se juntáron las dos Cámaras del Parlamento, y al cabo de varios debates que hubo en una y otra entre los Ministros y algunos vocales de la oposición, volvieron á suspen</t>
  </si>
  <si>
    <t>. El General Oalles está nombrado comandante de Alexandría, en donde sentarán su qúartel general el Lord Cavan, Comandante en xefe, y el General Hope; en la misma plaza se aquartelarán todos los regimientos británicos. El General Baird mandará una brigada de cipayos, como también la ciudad</t>
  </si>
  <si>
    <t>erde , que se dice descendiente de Mahoina, y por'esto se reputan como inviolables sus personas. El Lord Cavan sin apreciar el color del turbante otando-formarle causa , y se le ahorco publicamente. —La mayor parte del exército. turco quedaba-en Roseta ,yhalwehdo balido de Alexandríá á ins</t>
  </si>
  <si>
    <t>Cavanilics, Antonio Joseph</t>
  </si>
  <si>
    <t>Antonio Joseph Cavanilics</t>
  </si>
  <si>
    <t>con dicha traducción castellana en el despacho de la Imprenta Real. Descripción de las plantas que D. Antonio Joseph Cavanilics demostró en las lecciones: públicas de Botánica del año de 1801 , precedida de los principios elementales de esta ciencia. Se hallará á 16 rs. en rústica en el despacho de la imprent</t>
  </si>
  <si>
    <t>Cavanilles, Antonio Joseph</t>
  </si>
  <si>
    <t>Antonio Joseph Cavanilles</t>
  </si>
  <si>
    <t>mpezará el curso de botánica, y demostrará las plantas en el Real jardin de esta c &gt;rte su profesor D. Antonio Joseph Cavanilles á las de la tarde, y continuará sus lecciones públicas los martes, juéves y sábados de cada semana á la misma hora. El medico del hospital de la Latina de esta corte, D. Santiago</t>
  </si>
  <si>
    <t>empezará el curso de botánica, y demostrará las plantas en el Real jardín de esta corte su profesor D. Antonio Joseph Cavanilles á las 4! de la tarde, y continuará sus lecciones públicas los martes, juéves y sábados de cada semana á la misma hora. La Real junta de dirección y gobierno de los Reales hospital</t>
  </si>
  <si>
    <t>— . ......... 1 11 . ......... . ■■ • Anales de ciencias naturales, mím. 14, contiene: discurso que D. Antonio Joseph Cavanilles leyó en el Real jardín botánico en 1.° de Abril de este afio: introducción á la Criptogamia de España : de la Anagálide encarnada como remedio pontra la mordedura'del perro rabios</t>
  </si>
  <si>
    <t>Cavanilles, Joseph Antonio</t>
  </si>
  <si>
    <t>Joseph Antonio Cavanilles</t>
  </si>
  <si>
    <t>Salvador'Perellós, -D.’! Jijan del Cas^ tillo y Carróz, Barón de Casa-Ddvalillo, D. Joseph Company, D. Joseph Antonio Cavanilles, D. Joseph Chaix, D. Joseph Ortizf y D. Joaquín de la Croix, secretario, se verifico la primera junta de dicha diputación en casa del Exc. Sr. Presidente el dia 20 de Mayo. El Con</t>
  </si>
  <si>
    <t>Cavarcas, Juan Joseph</t>
  </si>
  <si>
    <t>Juan Joseph Cavarcas</t>
  </si>
  <si>
    <t>Panamá, vacante por ascenso de D. Tomas Antolih Baxo y Ocerin á la Tesorería ce la misma iglesia, á D. Juan Joseph Cavarcas. En el regimiento de milicias disciplinadas de infantería de Puerto-Rico se ha servido promover el Rey á Capitán al Teniente de granaderos Don Vicente Andino: á Teniente de granad</t>
  </si>
  <si>
    <t>Cavezzali</t>
  </si>
  <si>
    <t>este año: noticias necrológicas: método de extraer el azúcar de la miel, por el ciud. Cavezzali. Se subscribe en la librería de Escribano, calle délas Carretas, pagando los subscriptores de Madrid cta rs. por 3 meses ó 6 números, y los de fuera 32 rs. rec</t>
  </si>
  <si>
    <t>Caviedes, Manuel</t>
  </si>
  <si>
    <t>Manuel Caviedes</t>
  </si>
  <si>
    <t>D. Francisco Xavier Troncoso, y para la Media-Ración, vacante en la referida iglesia por muerte de D. Manuel Caviedes, á D. Pedro Joseph Mendez de la Parra, Capellán del monasterio de religiosas Carmelitas .descalzas del Potosí. El 16 de Diciembre último falleció en esta corte á los 36 años y med</t>
  </si>
  <si>
    <t>Cayaignac</t>
  </si>
  <si>
    <t>Didelot, Prefecto de palacio , para Ministro plenipotenciario en Stuttgard: al ciud. Cayaignac para Residente y Comisario de Relaciones mercantiles en Máscate: al ciud. Parandier para primer Secretario de la embaxada francesa en Constantinopla, al ciud.</t>
  </si>
  <si>
    <t>Caycedó, Fernando</t>
  </si>
  <si>
    <t>Fernando Caycedó</t>
  </si>
  <si>
    <t>e Santa Fe, vacante por promoción de D. Juan Joseph del Gimo á Canongia de la catedral de Tudela, á D. Fernando Caycedó. También ha conferido S.-M. Tenencia en el re2imient0.de infantería dd Rey lixo de Manila á D. Antonio Chacón y Conde, Guardia de Córps de Ja Real compañía Americana. El Consejo,</t>
  </si>
  <si>
    <t>Cayetano Francisco</t>
  </si>
  <si>
    <t>61. 28. Id. Cayetano Francisco............ Miguel, Ana Fernandez... Bus ti lio..........León................ Si. 13. Id.</t>
  </si>
  <si>
    <t>Cayetano, Cardenal</t>
  </si>
  <si>
    <t>Cardenal Cayetano</t>
  </si>
  <si>
    <t>tos que la destruyen. Elección de prelado conforme á la doctrina de Sto, Tomas de Aquino y del Emo. Cardenal Cayetano : discurso que escribió el M. Fr. Juan Clavería: obra necesaria á los que exercen el cargo de la prelacia, y á los súbditos que hayan de asistir á los capítulos y prestar su voto</t>
  </si>
  <si>
    <t>Cazoria, Francisco</t>
  </si>
  <si>
    <t>Francisco Cazoria</t>
  </si>
  <si>
    <t>árraga, D. Ramón Marvés y D. Francisco Antonio Malpica; á Subteniente de granaderos ai de fusileros D. Francisco Cazoria ; á Subtenientes de fusileros y de bandera á los Cadetes D. Rafael Paez., P. Joseph María,Monagas, D, Francisco, Leandro Paez , D. Joseph Antonio Paez, D^Domipgo Xaboada y D. Jose</t>
  </si>
  <si>
    <t>Cbristóbal, General</t>
  </si>
  <si>
    <t>General Cbristóbal</t>
  </si>
  <si>
    <t>Marmelade arrollando un cuerpo enemigo de 1200 soldados y otros tantos cultivadores mandados por el General Cbristóbal. Supe que la intención de los enemigos era defender el distrito de Enneri y los Gonaives; y á íin de acorralarlos quanto fuese posible en aquel paráge , envié al General Debelie a</t>
  </si>
  <si>
    <t>Ccmvay, Juan</t>
  </si>
  <si>
    <t>Juan Ccmvay</t>
  </si>
  <si>
    <t>á Ayudante al Teniente D. Ignacio Pafeja; y en el de Villaviciosa 3&gt;axa el mismo empleo al Teniente D. Juan Ccmvay. JZn América. S. M. se ha servido conferir el Gobierno militar del Real Fuerte de San Cárlos del Perote, en el Reyno de TSueva-España, al Teniente Coronel I). Tomas Kindelan, Coma</t>
  </si>
  <si>
    <t>Ccvallos, Pedro</t>
  </si>
  <si>
    <t>Pedro Ccvallos</t>
  </si>
  <si>
    <t>la Real y distinguida órden española de Cdrlos -m. ; Las ha concedido S. M.’ á los Exchió's/S'reM: D. Pedro Ccvallos ; D. Joseph António Caballero.p'D. DotnirigOyGrahdállaria; D. Miguel Cayetano Soler; D. Díegb de Godojr; D. JoisépKCEüstía^óip ?M0renü;¿Mar^ués dé Gerralbo; Marques de San Simón;</t>
  </si>
  <si>
    <t>Ce, Almirante</t>
  </si>
  <si>
    <t>Almirante Ce</t>
  </si>
  <si>
    <t>e-Cónsul sueco en Túnez que el Bey de Trípoli desechó todas las proposiciones que le hizo el Contra»Almirante Ce— derstrom, y ademas ha declarado guerra á la Suecia. Desde entonces nuestras fragatas cruzan delante del puerto de Trípoli formando su bloqueo, y esperan algunos buques de guerra</t>
  </si>
  <si>
    <t>Ce, Juan</t>
  </si>
  <si>
    <t>Juan Ce</t>
  </si>
  <si>
    <t>adas; á Subteniente de granaderos al de fusileros D. Mariano González Maldonado, y á Subtenientes á D. Juan Ce</t>
  </si>
  <si>
    <t>Cebrian, Manuel</t>
  </si>
  <si>
    <t>Manuel Cebrian</t>
  </si>
  <si>
    <t>el Esquive!. Se hallará á lors. en la calcografía establecida en la imprenta Real. El 13 de Febrero D. Manuel Cebrian é hijo, de Valencia, remitieron y endosaron á D. Angel González de Villanueva, de Cádiz, 6 vales Reales de á &lt;5oo pesos,de r.° de Mayo, con los nums. 399,173,399,11$, 396,01$, 391</t>
  </si>
  <si>
    <t>Cederstrom, Almirante</t>
  </si>
  <si>
    <t>Almirante Cederstrom</t>
  </si>
  <si>
    <t>uedaba el comandante Tornquist disponiéndose para ir á Trípoli, en cuyas aguas encontrará al Contra-Almirante Cederstrom. Créese que el navio sueco que lleva los regalos para el Bey de Túnez habrá llegado igualmente á su destino. Los diputados de los estados del Reyno han concluido la revisión de la</t>
  </si>
  <si>
    <t>Cedestrom, Almirante</t>
  </si>
  <si>
    <t>Almirante Cedestrom</t>
  </si>
  <si>
    <t>edestrom.__-Mahoinet-el-Degbais.” r: Han llegado á Tólon en la fragata Freya, mancada por el Contra-Almirante Cedestrom, losregalos del Baxá, que consistente11 dos yeguas árabes, tres gacelas9 un halcón y dos papagayosque hablan, el uno el turco, y árabe,el.otro. ■ i ',¡ . .V . • ■ ■«.’ , Sobre lov</t>
  </si>
  <si>
    <t>Ceferino Carrillo</t>
  </si>
  <si>
    <t>el Marques de Iranda, D. Luis Vidarte, D. Toribio Olalde, D. Valentín Martínez, D. Ramón Carrillo, D. Ceferino Carrillo y D. Manuel Carnara. En matemáticas, baxo la dirección de sus dos profesores D. Joseph Antonio de Ojea y el Subteniente D. Antonio Isidoro de Ojea , fueron examinados de aritmética D.</t>
  </si>
  <si>
    <t>Celada, Cardenal</t>
  </si>
  <si>
    <t>Cardenal Celada</t>
  </si>
  <si>
    <t>arzobispado : para el Beneficio de Albacete, en la diócesis; de Cartagena ¿ vacante por muerte del Cardenal Celada, á D. Diego Hidalgo Barquero de Godóy ; y para la Capellanía de la Real capilla de Sres. Reyes nuevos de la ciudad de Toledo, que resultará vacante por prprnociop ae D. Diego de l</t>
  </si>
  <si>
    <t>S. M. : para el Beneficio de Chinchilla, en la diócesis de Cartagena, vacante por fallecimiento del Cardenal Celada* á D. Manuel Gispert; y para la Capellanía Doctoral de la Real capilla, de S. Fernando de la ciudad de Sevilla, vacante por la promoción jde D..Manuel María de Arjona á la Canongí</t>
  </si>
  <si>
    <t>Celada, Miguel</t>
  </si>
  <si>
    <t>Miguel Celada</t>
  </si>
  <si>
    <t>Pascual Agustín Martínez, y á Subtenientes de compañía y de bandera á los Cadetes D. Juan Vianqui, D. Miguel Celada, D. Cosme Ramírez de Arellano y D. Isidro Mendez, y á los Sargentos D. Joaquín Sánchez, D. Antonio Cermeño y D. Juan González. El Consejo, á consulta de la Comisión gubernativa de</t>
  </si>
  <si>
    <t>Celedonio Eguizabal</t>
  </si>
  <si>
    <t>segundo Teniente, con sueldo de tal v mando sobre el propietario , al Ayudante de la misma Compañía D. Celedonio Eguizabal ; para el de Alférez al Exento Don Vicente Percebal ; para el bastón de Exento de número, que este dexa, al supernumerario D. Félix Calvillo, y ha nombrado también Exento supernum</t>
  </si>
  <si>
    <t>Celedonio Fgüizábal</t>
  </si>
  <si>
    <t>. ^ v r,„ • ■ ' 'T24 Máfiscdles de Campo los Brigddiér^sl^h JEs^fiai, 1 Jl * D. Francisco Barradas, D. Celedonio Fgüizábal* AoSÁatidb Látbüi ret, D. Ramón de San Martin, D. Santiago Lusarretá , D, Vicente rQasa' sola* D. Alonso VtlUfáñe, D. Cayetano Marimon * D. Jbseph Barón de Mer , D. Alexáñdro Cond</t>
  </si>
  <si>
    <t>Celeste</t>
  </si>
  <si>
    <t>en manos del nuevo Senado, que se congregó baxo la presidencia de su decano el ciud. Celeste. Tenia que dividirse en 5 magistraturas el Senado en quien reside la autoridad del gobierno, aunque no la exercita colectivamente. En su primera junta nombró l</t>
  </si>
  <si>
    <t>Cenon Álvarez</t>
  </si>
  <si>
    <t>ros... ior. 10. Id. Cenon Alvarez................. Estéban, Manuela Bordon. Villaviciosa.. Oviedo.......... 182. 14. Id. Antonio Boix....................... Roque, María Vives....... Pasa roya....... A</t>
  </si>
  <si>
    <t>Cenon, Diego</t>
  </si>
  <si>
    <t>Diego Cenon</t>
  </si>
  <si>
    <t>decían ahitos y otras indisposiciones de bastante consideración, han curado de ellas. A" un hijo de D. Diego Cenon, Regidor de esta ciudad, de edad dé 3 años, á pocos dias de vacunado le abocó escarlatina al mismo tiempo que la viruela estaba supurando, y ambas enfermedades siguiéron sus trámi</t>
  </si>
  <si>
    <t>Cerain, Juan Bautista</t>
  </si>
  <si>
    <t>Juan Bautista Cerain</t>
  </si>
  <si>
    <t>D. Pedro Fuertes, D. Iñigo Ortes de Velasco, D. Joseph Alaría Ortes de Velasco, D. Antonio Giiman, Don Juan Bautista Cerain y D. Joaquín Fernandez Medrano. En gramática castellana, baxo la dirección de D. Francisco Aranzabal, D. Bernardino Echagfte, el Marques de Iranda, D. Luis Vidarte, D. Toribio Olalde,</t>
  </si>
  <si>
    <t>Cerdan y Landa, Joseph</t>
  </si>
  <si>
    <t>Joseph Cerdan y Landa</t>
  </si>
  <si>
    <t>de Ordenes, á I). Torquato Antonio Coi!ado: para el Corregimiento de letras de la villa de Olmedo á D. Joseph Cerdan y Landa: para la Vara de Alcalde mayor de la de Navalcarnero á D. Antonio Lorente Ximenez de Castro: p^jríft &lt;e| Corregimientp de letras de la de Sahagun que este dexa á D. Joseph riano M</t>
  </si>
  <si>
    <t>Cerezo, Joaquín</t>
  </si>
  <si>
    <t>Joaquín Cerezo</t>
  </si>
  <si>
    <t>pitán de granaderos aí de fusileros D. Joaquín .Velazquez; á Capitán dé fusileros al Ayudante mayor D. Joaquín Cerezo ; ál empleo que este dexa á D. Miguel Gutiérrez, Teniente de gra</t>
  </si>
  <si>
    <t>Cermeño, Antonio</t>
  </si>
  <si>
    <t>Antonio Cermeño</t>
  </si>
  <si>
    <t>guel Celada, D. Cosme Ramírez de Arellano y D. Isidro Mendez, y á los Sargentos D. Joaquín Sánchez, D. Antonio Cermeño y D. Juan González. El Consejo, á consulta de la Comisión gubernativa de consolidación de Vales, y con aprobación de S.M., ha acordado la trígesimaprima amortización de 300 Vales de 6</t>
  </si>
  <si>
    <t>Cervera, Lorenzo</t>
  </si>
  <si>
    <t>Lorenzo Cervera</t>
  </si>
  <si>
    <t>l Cadete D. Antonio de León: en el de Córdoba á segundos-Tenientes á los Subtenientes de granaderos D. Lorenzo Cervera y D. Antonio González: en el de América á primer Teniente al segundo de granaderos D. Salvador de Molina,y á segundo Teniente al Subteniente de granaderos D. Carlos Quiroga: en el de</t>
  </si>
  <si>
    <t>Cervigon, Gregorio</t>
  </si>
  <si>
    <t>Gregorio Cervigon</t>
  </si>
  <si>
    <t>...... 490. 44. Id. Gregorio Cervigon.............. Francisco, Catalina Villalba....................................... Villarejo........ Cuenca.......... 18, 45. Id. Juan González..................... P</t>
  </si>
  <si>
    <t>César Baibiam</t>
  </si>
  <si>
    <t>as. En América, D. Pedro Salcedo, D. Francisco de Torres, D. Cárlos Larras, D. Joseph del Castillo, D. César Baibiam, D. Bartolomé Arguelles, D. Casimiro Montero, D. Antonio Montaña, D. Joseph S?avedra, D. Joseph Sastre, D; Francisco Nuñez, D. Maximiliano Saut Maxent, D. Tadeo Muniesa, D. Fernan</t>
  </si>
  <si>
    <t>César Telémaco</t>
  </si>
  <si>
    <t>la población de aquel pais. Pía confirmado el primer Cónsul el nombramiento del ciud. César Telémaco para Mayre ó Corregidor del Cabo, en la isla de Santo Domingo; como también la promoción del Capitán de navio Magon á Contra-Almirante. Asimismo ha concedido s</t>
  </si>
  <si>
    <t>Cesáreo de Gardoqui</t>
  </si>
  <si>
    <t>l Intendente de este exército y Principado D. Blas de Aranza,y al del exército de Castilla la Vieja D. Cesáreo de Gardoqui; y el empleo de Comisario Ordenador en propiedad coa el sueldo de tal al de Guerra D. Antonio Vago. Madrid J2 de Octubre. E 1 Rey se ha servido dirigir, en 5 de éste mes al Sr. D.</t>
  </si>
  <si>
    <t>Céspedes, Miguel</t>
  </si>
  <si>
    <t>Miguel Céspedes</t>
  </si>
  <si>
    <t>rimer Teniente ai segundo D. Antonio Baraya, y el de segundo Teniente de granaderos al de fusileros D. Miguel Céspedes. Por oficio que con fecha de 20 de Marzo, de este año ha dirigido el Real tribunal de consulado de Buenos-Ay res al de Cádiz, le participa que para dirección y segura guia de las</t>
  </si>
  <si>
    <t>Cetto</t>
  </si>
  <si>
    <t>no de los bienes de aquellos Príncipes en Alsacia , han pedido se levante el seque s tro , alegando Mr. Cetto el tratado de Luneville y el que se concluyo últimamente en París, y Mr. Pappenheim el de neutralidad firmado también en París á principios del año de 99 ; pero el gobierno francés</t>
  </si>
  <si>
    <t>Cevalios, Joseph Antonio</t>
  </si>
  <si>
    <t>Joseph Antonio Cevalios</t>
  </si>
  <si>
    <t>to** ral de la metropolitana de Lima, vacante por fallecimiento de D. Tomas Aniceto de la Bodega, á D. Joseph Antonio Cevalios, Cura propio de la D cetrina de Caraba lio. S. M. se ha dignado promover én el segundo batallón del regimiento de infantería de Voluntarios de Cartagena á Capitán de fusileros al</t>
  </si>
  <si>
    <t>Cevallos, Manuel</t>
  </si>
  <si>
    <t>Manuel Cevallos</t>
  </si>
  <si>
    <t>D. Francisco Collell, D. Cárlos Villemont, D. Tomas Portel), D. Nicolás Iberri, D. Manuel Benisia, D. Manuel Cevallos, D. Pedro Fabregues, D. Agustín Ramírez, D. Joseph María Abate , D. Diego García Conde, D* Francisco Frías,-D. Manuel Pastor, D. Pedro Quevedo, Don Juan de Villanueva, D. Domingo.</t>
  </si>
  <si>
    <t>Cevallos, Pedro</t>
  </si>
  <si>
    <t>Pedro Cevallos</t>
  </si>
  <si>
    <t>Aranjuez e£ 'viernes- de la semana anterior. En 3 de AbriL se ha servido el Rey expedir al Exc. Sr. D, Pedro Cevallos, y á los Consejos de S. M. el Real decreto siguiente, ,, Hallándose vacante mi Secretaría de Estado y despacho de Marina, y teniendo- el mas fundado concepto de la idoneidad, zelo</t>
  </si>
  <si>
    <t>lejo y Caballero , discípulo de la misma Real academia en la expresada clase : dedicada al Exc. Sr. D. Pedro Cevallos. Se hallará en la librería de Dávila, calle de las Carretas. Seis dúos para dos flautas ú oboes, por Graeff: 6 minuetes con sus trios á dos violines y baxo, porHaydn; y otros 6 á</t>
  </si>
  <si>
    <t>^^PJtaTjiOe?lera^ de los Reales exércltos, y Coronel general de las tropas Suizas: y el Exorno. Sr. D. Pedro Cevallos, Consejero de Estado y Gentilhombre de Cámara con exercicio, primer Secretario de. Estado y def Despacho universal , y Supermtendente general de Correos y Postás en España ¿Indias</t>
  </si>
  <si>
    <t>rvidumbre. Aquella misma mañana pasó el Sr. Embaxador con todo su tren á cumplimentar al Excmo. Sr. D. Pedro Cevallos, primer Secretario de Estado, quien poco después le correspondió en.los mismos téiminos. Détermináron SS. MM. que la solemne, función del otorgamiento de la escritura dé capitulac</t>
  </si>
  <si>
    <t>la del Toyson : D. Juan de Lángara, Gran Cruz de la de Cárlos m ,Capitán General de la Real Armada: D. Pedro Cevallos, primer Secretario de Estado y del Despacho: D. Miguel Cayetano Soler, del Consejo de Estado, Secretario de Estado y del Despacho de Hacienda, y Superintendente general dé ella: D</t>
  </si>
  <si>
    <t>Cezon, Felipe</t>
  </si>
  <si>
    <t>Felipe Cezon</t>
  </si>
  <si>
    <t>88. 31. Id. Felipe Cezon................... . Baltasar,CasildaChercoles. Huelmedes... Sigüenza........ 530* *7- Licenciado* Segunda Compañía de Fusileros.</t>
  </si>
  <si>
    <t>Chabert, Almirante</t>
  </si>
  <si>
    <t>Almirante Chabert</t>
  </si>
  <si>
    <t>2&lt;)6 á París. El dia 15 asistió á la parada, y tuvo audiencia del primer Cónsul, El Almirante Chabert (borrado de la lista de los emigrados) ha sido presentado al primer Cónsul. Tiene 78 años, y por lo mucho que ha trabajado en astronomía se le ha debilitado la vista. Levantó un m</t>
  </si>
  <si>
    <t>Chacón y Conde, Antonio</t>
  </si>
  <si>
    <t>Antonio Chacón y Conde</t>
  </si>
  <si>
    <t>Caycedó. También ha conferido S.-M. Tenencia en el re2imient0.de infantería dd Rey lixo de Manila á D. Antonio Chacón y Conde, Guardia de Córps de Ja Real compañía Americana. El Consejo, á consulta de la Comisión gubernativa dfe consolidación dfc Vales, y con aprobación de S. M., ha acordado la¿trigesima</t>
  </si>
  <si>
    <t>Chacón, Joseph</t>
  </si>
  <si>
    <t>Joseph Chacón</t>
  </si>
  <si>
    <t>ón: en el de Guadalaxara á Capitán al primer Teniente de granaderos, graduado, de Teniente Coronel, D. Joseph Chacón: en el de Toledo á segundo Subteniente al agregado en esta clase D. Pedro Hermosllla: en el de Mallorca á segundo Teniente al Subteniente de granaderos D. Antonio Plernandez: en e</t>
  </si>
  <si>
    <t>Chacoñ, Salvador</t>
  </si>
  <si>
    <t>Salvador Chacoñ</t>
  </si>
  <si>
    <t>a : » - y ■ pj.A .L D, Ramón Topete^Di Ju|# Morales ^DaTlt}t?Mires.fa[, Di Ju^nri4ntt% nlo Salinas, D. Salvador Chacoñ, D, FernaBdorValcárcel y Vargas , Doii Eelipe Villaviccricio, &gt;D. Félix Azara, D-: Juan ^Herrera: Dávilai, JÓ- Juan Suarez, D. Antonio Cañedo , D.Joseph Aramburu,D. Isidoro García</t>
  </si>
  <si>
    <t>Chacón, Tomás</t>
  </si>
  <si>
    <t>Tomás Chacón</t>
  </si>
  <si>
    <t>, D. Gabriel Gutiérrez, ¿0* Manuel&lt; Herrera, D. Ramón García, D. Joseph Escario, 0. Joseph'de Sotó, D. Tomas Chacón,D. Carlos Abaxo, O..Julián de Altana* 0. Antonio de Parga^ 0. Pascual Martínez* Don</t>
  </si>
  <si>
    <t>Chaix, Esteban</t>
  </si>
  <si>
    <t>Esteban Chaix</t>
  </si>
  <si>
    <t>eyrolpn^y, publicó la adjudicación del premio de una medalla de plata con el .nombre del premiado á D. Esteban Chaix, de S. Felipe , autor de una meníoria en que se describen todas las lagunas y pantanos del Rey no de Valencia, y se individualizan los medios de desecar la de Ayora, para cuyo asu</t>
  </si>
  <si>
    <t>Chaix, Estéban</t>
  </si>
  <si>
    <t>Estéban Chaix</t>
  </si>
  <si>
    <t>que se siguió la.lectura por el secretario, de otra intitulada la Pdz, qüe habla remitido él socio D. Estéban Chaix. Dixo igualmente una capción en alabanza de la sociedad él individuo de mérito P. Rafael dél Angel Custodio, de las Escuelas Pías, y se concluyóla judta con una anacreóntica! trab</t>
  </si>
  <si>
    <t>Chaix, Joseph</t>
  </si>
  <si>
    <t>Joseph Chaix</t>
  </si>
  <si>
    <t>del Cas^ tillo y Carróz, Barón de Casa-Ddvalillo, D. Joseph Company, D. Joseph Antonio Cavanilles, D. Joseph Chaix, D. Joseph Ortizf y D. Joaquín de la Croix, secretario, se verifico la primera junta de dicha diputación en casa del Exc. Sr. Presidente el dia 20 de Mayo. El Consejo, á consulta</t>
  </si>
  <si>
    <t>Chaixy, Esteban</t>
  </si>
  <si>
    <t>Esteban Chaixy</t>
  </si>
  <si>
    <t>res de Valencia y otras éiudades de su Reynó.'El awessit de una medalla de plata de segunda clase á D. Esteban Chaixy autor de otra memoria sobre el mismo objeto, y una carta de distinción á' D. Vicente Ignacio Franco y Fr, Desiderio del Valle, autores de doc escritos que concurriéron al premió ,</t>
  </si>
  <si>
    <t>Chamizo, Joseph</t>
  </si>
  <si>
    <t>Joseph Chamizo</t>
  </si>
  <si>
    <t>a , y á Subtenientes de bandera al Sargento primero de granaderos D. Bernardo Espert, y los Cadetes D. Joseph Chamizo y D. Antonio Nuñez: en el de Cuba á Capitán de granaderos al de fusileros D. Manuel Martínez; á Capitanes D. Antonio Aldana y D. Manuel Rodríguez, el primero Teniente de granaderos, y</t>
  </si>
  <si>
    <t>Chamizo, Vicente</t>
  </si>
  <si>
    <t>Vicente Chamizo</t>
  </si>
  <si>
    <t>ayor dé.las. citadas compañías y de la Veterana fixa del mismo ramo, en aquellas islas, al Teniente D. Vicente Chamizo py las Subtenencias de esta última compañía al Sargento del Real cuerpo de, Artillería D. Joseph Nava^ jas, y al Soldado distinguido del/mismo,cuerpo D. Joseph Arnaiz. ~. .£n Amer</t>
  </si>
  <si>
    <t>Chamorró, Santiago</t>
  </si>
  <si>
    <t>Santiago Chamorró</t>
  </si>
  <si>
    <t>39. 8. Muerto. Santiago Chamorró....... . Santiago Bárbara Martinez.. S. Pedro..... León......... 587» 8. Licenciado, Francisco Alvarez.......... FrancisJ</t>
  </si>
  <si>
    <t>Champagne</t>
  </si>
  <si>
    <t>res, y los alumnos le recibieron formados en orden de bata¿lla en el patio. Los ciudadanos Champagne, directa* del Pritaneo, y Cham</t>
  </si>
  <si>
    <t>Champagni</t>
  </si>
  <si>
    <t>l Archiduque Antonio convenga en ello. Ha habido en VIena un altercado entre el ciud. Champagni, Embaxador de Francia, y el Conde de Razowmosky , Embaxador ruso , con motivo de una preferencia ó etiqueta sobre quien había de entrar primero en palacio en l</t>
  </si>
  <si>
    <t>r; y que nuestro Ministro el ciud. DLesbacch fué muy bien recibido en Viena. El ciud. Champagni, Embaxador de la República francesa, lo presentó aí Conde de Cobentzel, y este al Emperador. El General francés Lecourbe ha pasado revista á un cuerpo bastante</t>
  </si>
  <si>
    <t>e de la secretaría de la embastada de Francia en Petersbutuo: entregó cartas al ciud. Champagni, Embaxador francés en esta corte, v siguió su camino para alcanzar al General Iíedouville antes que llegue á itusia___ Se asegura que el ciud. Champagni irá de</t>
  </si>
  <si>
    <t>isterio. Hace 3 dias llegó aquí un correo de Constantinopla con pliegos para el ciud. Champagni, Ministro de Francia, y luego continuó su camino á París. Ayer se levantó la tapa de los sesos de un pistoletazo el ciud. Maurisson , empleado en la legación f</t>
  </si>
  <si>
    <t>encido de que tendrá el mas feliz iníluxo en la duración de la paz. El referido ciud. Champagni ha notificado, igualmente á este gabinete el tratado de paz reden concluido entre la República francesa y el Duque de Wurtemberg; y ha pedido que el Consejo áu</t>
  </si>
  <si>
    <t>á este Príncipe, de cuyo mérito está prendado, fué desde luego á visitarle. El ciud. Champagni, Ministro de Francia, ha obsequiado al referid# Gran Duque Constantino con una fiesta y, sarao muy lucidos. _ Los obispados de Trento y Brixen, situados en la</t>
  </si>
  <si>
    <t>Chaperon, Manuel</t>
  </si>
  <si>
    <t>Manuel Chaperon</t>
  </si>
  <si>
    <t>de Cedenilla, D. Pedro de Tagle y D. Atanasio Sotelo. , Agrado de Capitán los Tenientes: en España, D. Manuel Chaperon y D. Leoncio Carrasco. Agrado de Teniente los Alféreces D. Dionisio Beccas y D. Miguel Sobrevilla. También se ha servido S. M. conceder honores de Consejero del Supremo de Guerra al I</t>
  </si>
  <si>
    <t>Chaptal</t>
  </si>
  <si>
    <t>s contra quienes mandó exércitos durante la guerra. Antes de ayer llegó aquí el ciud. Chaptal, Ministro de lo interior. Su venida se comunicó al público con salva de artillería. Se espera en breve al primer Cónsul, y será recibido con la mayor ostentaci</t>
  </si>
  <si>
    <t>Génova 25 de Julio. L os ciudadanos Dufourny y Chaptal llegaron el 2$ de Junio á Roma desde Ñapóles, adonde se cree que volverán para recibir y despachar á Francia la celebrada estatua de Palas de Veletri, llamada</t>
  </si>
  <si>
    <t>Chaqué, Joseph</t>
  </si>
  <si>
    <t>Joseph Chaqué</t>
  </si>
  <si>
    <t>£&gt;. Juan Rayberte, D. Juan Borlasca, D. Víctor Wirtz , D. Francisco Schnernaver, Don Jayme Stóffel, D. Joseph Chaqué, D. Jayme Steudinger, D. Juan Cristiano Bagnioud, D. Francisco Zey, D. Ghristóbal Fohn, D. Joséph Trax* ler, D. Francisco Joseph Márcos de Courten * D. Casimiro de Mendoza^ D. Bal</t>
  </si>
  <si>
    <t>Chardenoux, Joseph</t>
  </si>
  <si>
    <t>Joseph Chardenoux</t>
  </si>
  <si>
    <t>rtillo, D. Tomas Salcedo, D. Fernando Moyano, D. Juan Alabés, D. Juan Macarti, 0. Dionisio Sánchez, D. Joseph Chardenoux, D. Joaquín de la Hoz, D. Mateo Rodrigue?, D. Gervasio Gasea, D. Joseph Metzguer; y áD. Ignacio Paino y Mateos, grado de Milicias. En América, D. Pedro Salcedo, D. Francisco de To</t>
  </si>
  <si>
    <t>Charpentier, General</t>
  </si>
  <si>
    <t>General Charpentier</t>
  </si>
  <si>
    <t>o constitucional, ha regalado el vice-Presidente Melzi una preciosa caxa guarnecida de diamantes al General Charpentier , xefe de la plana mayor del exército, y ha hecho otros regalos igualmente ricos al General Broussier, Comandante de la plaza , y al ciud. Beaumont, Ayudante del General en xefe.</t>
  </si>
  <si>
    <t>Charron</t>
  </si>
  <si>
    <t>pales de los pueblos; y el segundo el de la instrucción pública. Finalmente, el ciud. Charron ha sido nombrado Comisario general de Policía en Turin, con las mismas facultades-y poderes que tienen los dé Marsella, León y Burdeos; y el ciud. Juan Bautist</t>
  </si>
  <si>
    <t>Chasteller, General</t>
  </si>
  <si>
    <t>General Chasteller</t>
  </si>
  <si>
    <t>rá el servido de las plazas y guarniciones) está ya casi enteramente arreglada baxo las órdenes del General Chasteller: el Consejo de Guerra conferirá los empleos de Tenientes Coroneles y Sargentos Mayores , y los estados del país nombrarán á ios Capitanes y Tenientes. Los empleos de Coronel queda</t>
  </si>
  <si>
    <t>Chatcau-Giron</t>
  </si>
  <si>
    <t>Marzo á León, de donde seguirá por Villafranca á Macón. Por Nancí ha pasado el ciud. Chatcau-Giron , Secretario de la legación francesa en Rusia,adonde vuelve con pliegos de este gobierno para las cortes de Viena y Petersburgo. Está ahora perfectamente libre</t>
  </si>
  <si>
    <t>Chateau Girón</t>
  </si>
  <si>
    <t>erador de Rusia está nombrado el General He— douville: por primer Secretario el ciud. Chateau Girón, y por segundo el ciud. Maximiliano Rayneval. Habiéndose movido dudas en algunos puertos sobre si podía permitirse la introducción de carbón de piedra de Ingla</t>
  </si>
  <si>
    <t>Chateller, General</t>
  </si>
  <si>
    <t>General Chateller</t>
  </si>
  <si>
    <t>prohibición, los estudiantes de medicina y de derecho. De Inspruck escriben que se ha conferido al General Chateller, Comandante del Tirol, lá propiedad del nuevo regimiento de cazadores dé aquel pais , yél mando en xefedetodas sus milicias. -.'&lt; • : - ‘/ Berlín 18 de Mayo. L a* revista de Potsd</t>
  </si>
  <si>
    <t>Chaudet</t>
  </si>
  <si>
    <t>del instituto el busto de mármol del celebre Lamoignon-Malesherbes hecho por el ciud. Chaudet. Para Comandante militar de Brest está nombrado el General de división Bollemont , y para Grenoble el General de brigada Moranger. Los Ministros de Relaciones</t>
  </si>
  <si>
    <t>Chaves, Nicolás</t>
  </si>
  <si>
    <t>Nicolás Chaves</t>
  </si>
  <si>
    <t>91. 18. Licenciado. Nicolás Chaves................. Josef, María'Garda.......... Lillo.............. Mancha......... 10. 16. Id. Cabo 2. 0 Ramón Domínguez.................................. Lorenzo, Ju</t>
  </si>
  <si>
    <t>Chazar</t>
  </si>
  <si>
    <t>abertura de la nueva escuela de sordo-mudos, en la qual habrá de aquí adelante 20 niños y 10 niñas. Mr. Chazar, conocido por varias obras, y autor del proyecto de este establecimiento, destinó para él una buena suma y su casa de Rosenau; pero mientras buscaba algunos subscriptores que le a</t>
  </si>
  <si>
    <t>Chazarreta, Antonio</t>
  </si>
  <si>
    <t>Antonio Chazarreta</t>
  </si>
  <si>
    <t>María del Tojo : Compamas eüii el batallón de milicias disciplinadas de Campeche a los Subtenientes Don Antonio Chazarreta y D. Lorenzo de la Roca; Subtenencias á los Cadete*. P. Francisco Ósullivan, del batallón veterano de Castilla, y a p. Jaseplí María Ibarra, D. Joseph Ignacio Zarripolea, D.Jpseph lgp</t>
  </si>
  <si>
    <t>Chiarri, Joseph María</t>
  </si>
  <si>
    <t>Joseph María Chiarri</t>
  </si>
  <si>
    <t>ndez; Tenientes de fusilero$““al Subteniente de granaderos D. Andrés Sartorio, y á los de fusileros D. Joseph María Chiarri y D. Felipe Fabrega; Subteniente de granaderos al de fusileros D. Joseph María dé A y ala» y Subteoicñres de fusileros á los Cadetes í). Félix Paredes, D. Mateo Matos, D. Joseph Anton</t>
  </si>
  <si>
    <t>Chico, Gregorio</t>
  </si>
  <si>
    <t>Gregorio Chico</t>
  </si>
  <si>
    <t>a, hija de Doña Gerónima Figueroa, la qual ha facilitado su casa repetidas veces para la operación. Don Gregorio Chico, tana</t>
  </si>
  <si>
    <t>Chico, Vicente</t>
  </si>
  <si>
    <t>Vicente Chico</t>
  </si>
  <si>
    <t>nte al segundo de granaderos D. Diego Antonio Carta; y en el de Voluntarios de Castilla á Capitán á D. Vicente Chico, primer Teniente de granaderos del de la Corona. En el regimiento de caballería de Calatrava se ha servido el Rey promover á Portaestandarte al Cadete D. Antonio Gallarza. S. M. s</t>
  </si>
  <si>
    <t>Chinchilla, Carlos</t>
  </si>
  <si>
    <t>Carlos Chinchilla</t>
  </si>
  <si>
    <t>. Mariano Merchante, D. Christóbal Manzano, D. FranciscoFaxardo, D. Andrés Orozco, D. Miguel Duran, D. Cárlos Chinchilla, D&gt;. Antonio Texád a, D. Juan Ximenez, D. Ma^ nuél Díaz, D. Martilel Fprcarda, I&gt;. Manuel Teran, D. Joaquín Ribera^ D;; Pedro Muñoz, D, Juán Davadié , D. Agustín Sánchez, I}. Manu</t>
  </si>
  <si>
    <t>Chnstóbai Krucker</t>
  </si>
  <si>
    <t>cias de Buenos-Ayres D. Joseph Antonio Azebpy; y eu ei de suizos de Rutiman á Subteniente al Cadete D. Chnstóbai Krucker. El Rey ha promovido á Capitán de la compañía fixa de Estepona, una de las de infantería de la Costa de Granada, al Teniente de la misma Don Ildefonso Matildo Monasterio. También</t>
  </si>
  <si>
    <t>Choiseuil-Goufiier, Conde</t>
  </si>
  <si>
    <t>Conde Choiseuil-Goufiier</t>
  </si>
  <si>
    <t>rquía.fue encerrado en el castillo de las Siete-Tor— res; pero alcanzó su libertad á instancias del Conde Choiseuil-Goufiier, Embaxador de Francia. Está nombrado como Ministro austríaco en ConstantinóplaMr: de Sturmer, que ha sido primer Secretario interprete en la misma legación. ¡ En los estados hered</t>
  </si>
  <si>
    <t>Chris</t>
  </si>
  <si>
    <t>e hallaban 26 con virúetas. Para detener los rápidos progresos que iba haciendo la epidemia, acordó D. Chris tabal María Rodtiguézi Cirujano titular , poner en execucion el invento de La&gt;vacuna, según le . había (meditado con Anticipación , vistas las observaciones de losl Sres. Pigullen</t>
  </si>
  <si>
    <t>Chrisóstomo de la Llave, Juan</t>
  </si>
  <si>
    <t>Juan Chrisóstomo de la Llave</t>
  </si>
  <si>
    <t>dra, D. Juan Amiant, D. Baltasar de Béllét * 0. Joseph Craiwinckel, D. Joseph Augusto S e la Porte, D. Juan Chrisóstomo de la Llave, el Condé de Castroterreño* D. Joseph de Vargas, D.JoaquinBlake, D. Carlos Luxan,D._ Vidal Marín, el Conde de Cotdagués, D. Francisco TefradellasyP. Manuel dé Mi randa, D. Rodulfo</t>
  </si>
  <si>
    <t>Christiano Federico, Príncipe</t>
  </si>
  <si>
    <t>Príncipe Christiano Federico</t>
  </si>
  <si>
    <t>74* tura le presentaron el título de individuo honorario, como también al Príncipe Christiano Federico, hijo mayor del. Príncipe Federico , hermano del ■Rey.-': .. .V:;: R Hamburgo 28 Je Junio. ¿I Emperador de Rusia salió de Merpehel dia ,16 por la.mañana, y una hora después salió</t>
  </si>
  <si>
    <t>Christiano Herrgen</t>
  </si>
  <si>
    <t>de nuestro globo, publicada para uso del Real estudio mineralógico de esta córte por su Catedrático D. Christiano Herrgen , por órden superior. Se hallará en el despacho de la Imprenta Real. A virtud de órden del supremo Consejo,y por providencia de D. Vicente Iglesias de Rumoroso, Alcalde mayór de l</t>
  </si>
  <si>
    <t>ChristóbabOsorio Nieto de Páz</t>
  </si>
  <si>
    <t>la referida iglesia» y para una Ración dé la catedrai de Mérida de Maracaybo, vacante por muerte de D. ChristóbabOsorio Nieto de Páz, á D. Luis Ignacio de Mendoza» Cura Párroco de la ciudad de Barinás, en él mismo obispado. Él Rey se ha dignado nombrar Ayudante veterano dél batallón de Pardos libres de Panamá a</t>
  </si>
  <si>
    <t>Christóbahde Rey</t>
  </si>
  <si>
    <t>is Alifíélá J Dí Joaquín: ¡Domínguez y'./JoaquinMontenegro,* B^Atnéonio Záfate^ D. Joséplt de Luna, D. Christóbahde Rey na, D. Joaquin de‘Miguel, Ooñf Joaquin Crame, D. Miguel Antonio Panes ^D.5Ramón Tovar y¡ IX RamOii Cucalón. . . ’ -- * - . ..j-. - * j^ ¿^ »i -4. *. *. ¡ x l* , S. M.seha servido</t>
  </si>
  <si>
    <t>Christóbal Andrés</t>
  </si>
  <si>
    <t>4^* 8« Id« Christóbal Andrés............... Mateo ^Catalina Llamas... S Pedro Cea.. León............ 838. 13. id. Justo Pascual....................... Andrés^ juana Sánchez...</t>
  </si>
  <si>
    <t>Christóbal Martín</t>
  </si>
  <si>
    <t>íguez, Cura del pueblo, supo que había muerto embarazada de tres meses ; y con esta noticia instó á D. Christóbal Martin , cirujano del mismo lugar, para que hiciese la Operación cesárea en dicha difunta, sin que le detuviese la reflexión de los rigurosos fríos (acaso no conocidos por los vivientes)</t>
  </si>
  <si>
    <t>Christóbal, General</t>
  </si>
  <si>
    <t>General Christóbal</t>
  </si>
  <si>
    <t>las 3, el mulato Sangos, que hacia de Capitán de puerto, llegó al navio almirante, y declaró que el General Christóbal habia despachado un correo á Louverture pidiendo instrucciones , y que hasta tener respuesta recibiría á la esquadra á cañonazos, pegaria fuego á la ciudad, y pasaría á cuchillo á</t>
  </si>
  <si>
    <t>habitantes que él General Christóbal habia llevado consigo, han vuelto; y todos están contentos, sin embargó de sus inmensas pérdidas, porque al fin se ven para siempre libres de la horrible tiranía de estos bárbaros</t>
  </si>
  <si>
    <t>zca la tranquilidad pública, y renazca la felicidad de la colonia. Al remitir el General Leclerc al General Christóbal una proclama paralos isleños , le escribió la siguiente carta: ,,He llegado á saber con indignación que os negáis á recibir la esquadra francesa, y el exército francés de mimando,</t>
  </si>
  <si>
    <t>Christobal, General</t>
  </si>
  <si>
    <t>General Christobal</t>
  </si>
  <si>
    <t>y (lo que ya manifiesta claramente el plan concertado por los rebeldes) las órdenes escritas por el General Christobal al Comandante de la plaza mandándole se defendiese contra los franceses hasta el último extremo , echase á pique nuestros navios , y si no podía conservar el puesto, pegase á todo</t>
  </si>
  <si>
    <t>y la de Hardy se apoderó de Enneri á bayoneta calada, según su coítumbre. Defendia aquel puesto el General Christóbal con 1© hombres de tropa y 1 2co cultivadores. Marcháron todos ellos en retirada á la hacienda de Bayonnai, de donde el dia siguiente fueron arrojados por la brigada del General Sa</t>
  </si>
  <si>
    <t>en comq nulo;dicho artículo.” Quartel general del Cabo 20 de Abril. Él General de división Hardy al General Christóbal. ,,E1 Capitán Vilton me? ha comunicado, ciud. General, la carta que le habéis escrito, y que yo he puesto en noticia del General en xefe. Por las particularidades que contáis a es</t>
  </si>
  <si>
    <t>Christophe, General</t>
  </si>
  <si>
    <t>General Christophe</t>
  </si>
  <si>
    <t>balandra con la respuesta, que se reducía á una carta llena de atenciones ; pero en la que decia el General Christophe que las órdenes que el Gobernador y Capitán general de la isla Toussaint Louverture le había dexado antes de su partida para Santo Domingo eran tan precisas y tan terminantes, par</t>
  </si>
  <si>
    <t>Chueca, Joaquín</t>
  </si>
  <si>
    <t>Joaquín Chueca</t>
  </si>
  <si>
    <t>para otro de la de S. Miguel-de los Narros, de la ciudad de Zaragoza, vacante por fallecimiento de D. Joaquín Chueca, á D. Dionisio de la Ballina. La Real academia de la Historia, con arreglo á sus estatutos, celebró el 21 del corriente por la tarde en la Real casa de la Panadería, señalada por</t>
  </si>
  <si>
    <t>Chuquiguanca, Gregorio</t>
  </si>
  <si>
    <t>Gregorio Chuquiguanca</t>
  </si>
  <si>
    <t>Manuel de Verdeja, Maestrescuela de la propia iglesia: para la Maestrescolía al Canónigo de gracia D. Gregorio Chuquiguanca: para esta Canongía al Racionero D. Pedro Joseph Mansilla: para esta Radon al Medio-Racionero D. Francisco Xavier Troncoso, y para la Media-Ración, vacante en la referida iglesia</t>
  </si>
  <si>
    <t>Cia, Joseph</t>
  </si>
  <si>
    <t>Joseph Cia</t>
  </si>
  <si>
    <t>spada, D. Joachín Fernandez de Medrano, D. Francisco Necocheay D. Agustín Duran, D. Pedro Goossens, D. Joseph Cia y D. Joseph Gaitan de Avala. En las humanidades y retórica, baxo la dirección de su profesor D. Pedro Fuertes, los seminaristas D. Antonio Gilmán, D. Iñigo Ortes de Velasco y D. Josep</t>
  </si>
  <si>
    <t>a, D. Rodrigo Tavira, D. Antonio Gil-, mán, D. Fernando Adan de Yarza, D. Manuel de la Riva Agüero, D. Joseph Cia, D. Leopoldo Menendez, D. Joseph de Torres, D. Joseph Munive, D. Luis Verganza, D. Luis Vidarte, D. Joachín del Rio, D. Francisco 1 respalacios , D. Francisco ÍNecochea , D. Josep</t>
  </si>
  <si>
    <t>Cíaeessens, Manuel</t>
  </si>
  <si>
    <t>Manuel Cíaeessens</t>
  </si>
  <si>
    <t>nio Abaxos. Del tratado de esfera y atlas geográfico elemental de Vázquez D. Manuel de Lardizabal , D. Manuel Cíaeessens, D. Antonio Ligarte, D. Ignacio Lardizabal, Cadete de Reales Guardias Española*, D. Jo«e:&gt;k Alaría KindeUn, primer Subteniente del regimiento de infantería de Uátonia, D. Ignacio</t>
  </si>
  <si>
    <t>Cid Monroy, Manuel</t>
  </si>
  <si>
    <t>Manuel Cid Monroy</t>
  </si>
  <si>
    <t>de Burgos, que vacó por la traslación del limo. Sr. D. Ramón Joseph de Arce al de Zaragoza, al Sr. D. Manuel Cid Monroy, Dean de la catedral de Zamora. En la Compañía Americana del Real cuerpo de Guardias de Corps se ha servido el Rey promover á Brigadier al Sub-Br»gadier D. Vicente Iglesias ; á Su</t>
  </si>
  <si>
    <t>Cid y Monroy, Manuel</t>
  </si>
  <si>
    <t>Manuel Cid y Monroy</t>
  </si>
  <si>
    <t>o 23 de Mayo se consagraron en la iglesia oratorio de S. Felipe Nefi de esta corte los limos. Sres. D. Manuel Cid y Monroy^Arzobispo de Bureos y D. Manuel Gómez de Salazar , Obispo de Avila ; fué. su consagrante el Excmo. é Umo. Sr. D. Ramón Joseph de Arce, Arzobispo .de Zaragoza, InqtV iclor generalv</t>
  </si>
  <si>
    <t>Cid, Francisco Xavier</t>
  </si>
  <si>
    <t>Francisco Xavier Cid</t>
  </si>
  <si>
    <t>ntis in prosécútionem inventi pulsifici So* laniadi ad regiam academiam médicam Edimburgensem : por D. Francisco Xavier Cid, médico del Dean y Cabildo de Toledo.El tarantismo observado en Espa— fia, con que se prueba el de la Pulla» dudado .de algunos , y tratado por otros de-fabuloso^ y memorias para</t>
  </si>
  <si>
    <t>Ciedera, Pedro Joseph</t>
  </si>
  <si>
    <t>Pedro Joseph Ciedera</t>
  </si>
  <si>
    <t>desconocida en este pueblo y los inmediatos se ha introducido en ellos poj el profesor de medicina D. Pedro Joseph Ciedera, vacunando desde primeros de Febrero de este año hasta últimos de iVlayd masrde 160 niños de todas edades f entre los quales se cuenta su hijo, con quien hizo el primer ensayo. To</t>
  </si>
  <si>
    <t>Cifuentes, Gerónimo</t>
  </si>
  <si>
    <t>Gerónimo Cifuentes</t>
  </si>
  <si>
    <t>annel Andrade, D. Antonio;Diez dé4,Riv¿rí¿ P; Antonio Galiano, el Matques dé Mos, D¿ António Arce * D. Gerónimo Cifuentes, y D. Antonio de Zamoranó. !í _ . ■ En América. - C D. Juan Bautista VaUlant, D. Pedro Garibay, D. Miguel de Tejada, P. Antonio Narvaez, el Conde Ruiz de Castilla, 0. Joaquín .Cab</t>
  </si>
  <si>
    <t>Cines, Manuel</t>
  </si>
  <si>
    <t>Manuel Cines</t>
  </si>
  <si>
    <t>egundo Tentéhte al Subteniente de granaderos D. Manuel López j á esta resulta al primer Subtenlente D. Manuel Cines; á. primer Subteniente al segundo D. Vicente Sardana, y á segundo Subteniente al Cadete D. Luis López $ en el de España á Teniente Coronel al Coronel D. Francisco Fulgosío , Coman</t>
  </si>
  <si>
    <t>CIoftstatitiiío, Duque</t>
  </si>
  <si>
    <t>Duque CIoftstatitiiío</t>
  </si>
  <si>
    <t>a S¿ M. visto^y coáferénciaao en aquella ciudaÓ con d Rey de Prusia. • :"'*5 v No ha vuelto el Gran Duque CIoftstatitiiío dél campamento*' ^ qufe ba</t>
  </si>
  <si>
    <t>Cirera, Juan</t>
  </si>
  <si>
    <t>Juan Cirera</t>
  </si>
  <si>
    <t>o, D. Manuel Barrientos, D. Nicolás Povil, D, Juan de Robles, D, Rafael Seáis, D. Joseph Sotolongo, D. Juan Cirera, D. Joseph de la Cuesta, D. Francisco Quesada, D. Joseph Domeneo ,;D. Joaquín de Rayas?, P. Nicolás Guascoñi, D. Mariano Vives, Don Juan de la Garma j D. Miguel Plowes, D. Marcos</t>
  </si>
  <si>
    <t>Ciriaco de Cevallos</t>
  </si>
  <si>
    <t>ché , de la academia de ciencias de Paris, y la segunda por el Capitán de fragata de la Real armada D. Ciriaco de Cevallos. Se hallarán á 10 rs. en la librería de Aguilera, calle de Atocha. Investigación de la naturaleza, y causas de la riqueza de las naciones , escrita en ingles por el Dr. Adam Smith</t>
  </si>
  <si>
    <t>Ciríaco de Plano y GarayyD</t>
  </si>
  <si>
    <t>a, D. Tomas rando, D. Antonio Aguirre y Villalba, D. Joseph González y Ortiz, D. Antonio. Aguilera, D. Ciríaco de Plano y GarayyD.1 Pedro Albarracin Quero’/D. 'Antonio Albarracin y Quero, D¿ Igiácio Basabe, Joseph Póncé de Leonj DI Joseph QueVedo y Hoyos, D. Luis Zuazo Ximentz, D. Bernardo Bonávia, D. Manuel</t>
  </si>
  <si>
    <t>Ciríaco Fernández</t>
  </si>
  <si>
    <t>...... 363. 30. id. Ciríaco Fernandez............... Josef,Catalina Mendoza... Bañares......... Sto.Domingo. 233. 14. id. Agustín Baeza..................... Francisco, Angela Qu</t>
  </si>
  <si>
    <t>Cirilo Cros</t>
  </si>
  <si>
    <t>i.° de Julio de este afio. En la ciudad de Cartagena se halla establecida y corriente la fábrica de Don Cirilo Cros, maestro D. Joseph Agwera, de fortes-pianos á la inglesa, de última invención , los inas con tres registros á los pies, de g octavas, de fefaut, re grave hasta fefaut agudo $ de c</t>
  </si>
  <si>
    <t>Cirio</t>
  </si>
  <si>
    <t>mente dias del Sr. Infante D. Carlos María, de la Sra. Infanta Princesa del Brasil, del Sr. Infante D. Cirio? Luis, y,de la Reyna de Ñapóles.0 ;n * * - La noche delv3 én cóhtínüacion de los festejos conque ésta léál 'ciudad ha celebrado la venidá de sus augustos Soberanos, se representó</t>
  </si>
  <si>
    <t>Cirios Andrés</t>
  </si>
  <si>
    <t>DiJosephMaríaMáne^táu; y para Í a de Oidor de la Audiencia de Mailorca , que aexa elteferidoDiez, 1 Don Cirios Andrés. También ha venido S. en jubilar áD. Fránchco Valladares y Sotomayor,*Fiscal de lo civil de dicha Audiencia de Valencia, en atención i su avanzada edad y achaques, conservándole t</t>
  </si>
  <si>
    <t>Cirios Rodríguez de Moya</t>
  </si>
  <si>
    <t>ch y Nadal, del Consejo de S. M. y su Alcalde..de casa ,y ,corte¿ por la escribanía de provincia de D. Cirios Rodríguez de Moya. El partida d* médico de la villa de Cuéllar , en. la provincia de Segovia*, está vacante; su dotación es 4® 3800 rs.: se le dan también 180 ,rs. por el hospital de convalecientes</t>
  </si>
  <si>
    <t>Cirios, Archiduque</t>
  </si>
  <si>
    <t>Archiduque Cirios</t>
  </si>
  <si>
    <t>lI Archiduque luan^qué es director general de ingenieros, lé ha nomibrado el EihperaJdr adjunto del Archiduque Cirios su hermano, para que háxo sd; dirección inmediata perfeccióne: sus &gt; conocimientos en todos los ramos dél arte militar;y en caso que este último Príncipe no pueda aténder á su des</t>
  </si>
  <si>
    <t>Cisneros de la Oliva, Felipe</t>
  </si>
  <si>
    <t>Felipe Cisneros de la Oliva</t>
  </si>
  <si>
    <t>414 . de Gorvea , Fiscal de la de Líma,á D. Felipe Cisneros de la Oliva, Alcalde del crimen de ella. El benéfico establecimiento del Real Monte de Piedad de esta corte, que procedió de los mas débiles y escasos principios, en pocos años reunió casi pr</t>
  </si>
  <si>
    <t>as jas; gracias siguientes: á D. Lúeas Muñoz y Cubero, Regente, de Ja Real Audiencia de Santa Fé; á D. Felipe Cisneros de la Oliva, Regente de la de Manila, y á D. Benito de la Mata Linares, Regente de la Audiencia de Buenos-Ayres, honores del Consejo de Indias. A D. Miguel Bachiller y Meoa,Asesordel Vireyrta</t>
  </si>
  <si>
    <t>Cisneros, Diego María</t>
  </si>
  <si>
    <t>Diego María Cisneros</t>
  </si>
  <si>
    <t>pañolas se ha servido el Rey promover á Comandante del segundo batallón al Capitán del mismo cuerpo D. Diego María Cisneros. En América. Él Rey se ha servido nombrar para la Dignidad de Maestrescuela de la catedral dé Nicaragua.» vacante por fallecimiento de D. Jo-" seph Agustín Larrainzar, á D.Juan Jo</t>
  </si>
  <si>
    <t>Civit y Nadal, Antonio</t>
  </si>
  <si>
    <t>Antonio Civit y Nadal</t>
  </si>
  <si>
    <t>na , va-': cante por promoción de D. Pedro .María de Mairimon:si' Arcedianato de 4a de Barcelona, á D. Antonio Civit y Nadal: para otra de La colegial de Ca-. laf, diócesis dé Vique, á D. Mariano Susanax'para otraCan ngia Penitenciaria de la de Alabanza, en la diócesis de Patencia ,r&gt; &amp; D. Tomas Cu en a</t>
  </si>
  <si>
    <t>Claessens, Manuel</t>
  </si>
  <si>
    <t>Manuel Claessens</t>
  </si>
  <si>
    <t>na, aplicación del álgebra á la geometría y secciones cónicas, D. Manuel de Lardizabal y Montoya, y D. Manuel Claessens: del cálculo diferencial y principios dei integral, D. Joseph María Kindelan. En esfera, baxo la dirección de los mismos dos profesores, D. Luis Verganza, D. Joachín del R io, D.</t>
  </si>
  <si>
    <t>Cláfcke</t>
  </si>
  <si>
    <t>24® francos para socorrer á su familia , que no tenia, otro recurso. Encontró y detuvo efcte buque Mr. Cláfcke, Capitán de navio de la marina inglesa; el qual halló en los papeles dél dinamarqués la. prueba incontrastable de que ios dichos 24® francos eran del ciud. Dubuc, y por consiguien</t>
  </si>
  <si>
    <t>Clare, Lord</t>
  </si>
  <si>
    <t>Lord Clare</t>
  </si>
  <si>
    <t>ientan la esperanza de que en breve se firmará el tratado de paz definitivo. Ha muerto en Dublin el Lord Clare, Gran Canciller de Irlanda. Este empleo se ha conferido á Mr. Juan Mitford, Orador ó Presidente de la Cámara de los Comunes, en la qual le reemplaza Mr. Abbot. Ayer se confirmó su</t>
  </si>
  <si>
    <t>Clark, Juan</t>
  </si>
  <si>
    <t>Juan Clark</t>
  </si>
  <si>
    <t>anuel de Muro, D. Francisco Ixart ,¿0. Miguelde CastroAjaoz, p. Juan Ramirez, Do* Fernando Amador , D. Juan Clark, fif. Vicente Folch, y P. Antonio/Urquiola» : i--i;y". ■ 'O. ,</t>
  </si>
  <si>
    <t>Claudio Martín, General</t>
  </si>
  <si>
    <t>General Claudio Martín</t>
  </si>
  <si>
    <t>icación, se les ha comunicado orden para que se reúnan el 14 de dicho mes. Ha muerto en la India el General Claudio Martin, que de soldado ascendió al mando del exército. Hizo todas las campañas contra Hider Ali y Tippoo-Saib , y dexa quantiosas riquezas. Aun no se ha perdido aquí el singular uso de q</t>
  </si>
  <si>
    <t>Clavijo, Manuel</t>
  </si>
  <si>
    <t>Manuel Clavijo</t>
  </si>
  <si>
    <t>ente letrado Asesor del gobierno de S. Salvador , en el Reyno de Goatemalá, vacante por renuncia de D. Manuel Clavijo*'i D. Pedio Barriere , Catedrático que fué de Cánones en la universidad de la ciudad de Sto^ Domingo. Desde i.° del próximo; Diciembre se recibirán en la Tesorería mayor y en las</t>
  </si>
  <si>
    <t>Cle</t>
  </si>
  <si>
    <t>el de la Cruz., D¿ Diego de Mesa , fc)oñ Pedro déPCastillo, D. Joaquín Oquendo, D. Vieente Rosique, D. Cle^* mente Falcon 9 D. Francisco Reyna ¿ D; AntonioBracho, D.Juan Munar-i Hié, D. Vicente Reyna ,'D. Fernando AgniWe, D^Fernando Gabriel, Don Ramón Lope, D. Juan Camargo, D. Juan Mar</t>
  </si>
  <si>
    <t>Clemente Campos</t>
  </si>
  <si>
    <t>onores de Intendente de exército A D. Pascual Valle jo, Intendente de la provincia de Valladolid; á Don Clemente Campos, que lo es de la Mancha; á D. Domingo de Arberas y Larragpri, Intendente honorario de provincia; á D. Juan de Piña y Rair, Idem, y sLD. Rafael Gómez Rombau, Comisario Ordenador de</t>
  </si>
  <si>
    <t>Clemente, Pablo</t>
  </si>
  <si>
    <t>Pablo Clemente</t>
  </si>
  <si>
    <t>4. 29. Id. Pablo Clemente............ Xavier, María Carvajo.... Benavente... Benavente...</t>
  </si>
  <si>
    <t>Clemente, Papa</t>
  </si>
  <si>
    <t>Papa Clemente</t>
  </si>
  <si>
    <t>estros vasallos se niegan á trabajar los antiguos dias feriados, suprimidos en virtud del breve dei Papa Clemente xiv de id de Mayo de 1772, y posr la ordenanza de nuestro antecesor el Elector Maximiliano Joseph ni, fecha á 14 de Diciembre dei mismo año; y que ademas, mochos de ellos proquara</t>
  </si>
  <si>
    <t>en otras de esta corte. Explicación mas copiosa de la doctrina christiana breve , que de orden del Papa Clemente viii compuso para los niños y adultos no instruidos en los misterios de nuestra religión el Cardenal Belarmino : aprobada en su original italiano por seis sumos Pontífices, y por</t>
  </si>
  <si>
    <t>Clervaux, Agustin (general)</t>
  </si>
  <si>
    <t>General Agustin Clervaux</t>
  </si>
  <si>
    <t>le abandonen hallarán acogida en el exército francés. 5.0 Se conserva en su grado y en su mando al General Agustin Clervaux, Comandante del departamento del Cibao, por quanto ha reconocido al gobierno de Francia y se ha sometido á la autoridad del Capitán general.” El Ministro de Marina y las Colonias</t>
  </si>
  <si>
    <t>Clervaux, General</t>
  </si>
  <si>
    <t>General Clervaux</t>
  </si>
  <si>
    <t>del mencionado puerto; y en varios ataques que dio á los negros tuvo algunos heridos y muertos, ti General Clervaux, que manda en el departamento de Cibao, y cut o quartel general ocupa el puesto importante de lla sometido. Es un mulato, y en su obediencia intervino el ciud. Mauvielle, Obispo d</t>
  </si>
  <si>
    <t>Clíment, Joseph</t>
  </si>
  <si>
    <t>Joseph Clíment</t>
  </si>
  <si>
    <t>ano , calle de las Carretas , á 10 rs. en rústica y 13 en pasta. Sermones panegíricos del limo. Sr. D. Joseph Clíment, Obispo de Barcelona: dos tomos en 4.0 Estos sermones y las pláticas dominicales del mismo autor debe» considerarse como una misma obra, en la qual teniéndola completa los párroco</t>
  </si>
  <si>
    <t>Clinton, General</t>
  </si>
  <si>
    <t>General Clinton</t>
  </si>
  <si>
    <t>del cuerpo diplomático. Ha entrado en Pórtsmouth Jla fragata Aretusa, que viene de la Madera con el General Clinton. Las tropas qué mandaba este General seguirán su viage á las Indias 'occidentales. El gobierno desaprueba mucho el modo indecente con que algunos escritores públicos del partido d</t>
  </si>
  <si>
    <t>Clive, Lord</t>
  </si>
  <si>
    <t>Lord Clive</t>
  </si>
  <si>
    <t>leve el 4 de Agosto dé 1800 por orden del Marques de Wellesley: copia de las cartas escritas por él Lord Clive en el mes de Setiembre de 1801 relativas á la pensión señalada á la familia del Nabab de Arcóte; y copia de la certificación del médico del Nabab sobre el estado de la salud de aque</t>
  </si>
  <si>
    <t>Closa, Joseph</t>
  </si>
  <si>
    <t>Joseph Closa</t>
  </si>
  <si>
    <t>a misma Chancillería. =£= Oración inaugural sobre los deberes del maestro de primera educación, que D. Joseph Closa, director primero del colegio Real académico de primeras letras de Barcelona, leyó en la junta general de 29 de Enero-de i8or, con motivo de haberse publicado en ella e! plan de e</t>
  </si>
  <si>
    <t>Cobian, Rafael</t>
  </si>
  <si>
    <t>Rafael Cobian</t>
  </si>
  <si>
    <t>Villapol, por la de cosmografía; en D. Joseph Antelo y D. Agustín Mollon, por la de geometría, y en D. Rafael Cobian, Don Pedro Gómez y D. Joseph Rivadulla, por la de aritmética. Estas circunstancias, y la confianza pública que va adquiriendo esta escuela, promete dentro de pocos años una extens</t>
  </si>
  <si>
    <t>Cocero, Felipe</t>
  </si>
  <si>
    <t>Felipe Cocero</t>
  </si>
  <si>
    <t>....... 177. 3. Id. Felipe Cocero................... Andrés, Vicenta Moreno.. La Granja.... Madrid............ 42. a. Id. Francisco Olguerras............. Félix , María de Pedro.</t>
  </si>
  <si>
    <t>Cochln</t>
  </si>
  <si>
    <t>ndose que no se venderá dicha Obra basta que se complete. . Pláticas 6 instrucciones familiares por Mr. Cochln, Cura párroco de Santiago de París, Entre; los muchos sermonarios y meditaciones evangélicas que se. han pu— v blicado se hallarán pocos qué tengan una serie tan completa de expli</t>
  </si>
  <si>
    <t>Codina, Domingo</t>
  </si>
  <si>
    <t>Domingo Codina</t>
  </si>
  <si>
    <t>pio Consejo D. Pablo Antonio de Ondarza, D. Juan Antonio López Altamirano, y al Fiscal de la Cámara D. Domingo Codina; al Conde de Torrecuéllar y al Conde de Roche, del Consejo de Ordenes; y asimismo á los Alcaldes de mi casa y corte Marques de los Llanos y D. Manuel Perez de Rozas. Para una de l</t>
  </si>
  <si>
    <t>Canga Arguelles. Y siendo su Real voluntad que se suprima la Fiscalía de la Cámara que obtened Sr. D. Domingo Codina, se ha servido mandar que entre los tres Sres. Fiscales de dicho Consejo sé repartan los negocios de la Cámara, así como se reparten los de aquel Tribunal. Por otro decreto de la</t>
  </si>
  <si>
    <t>Codina, Manuel</t>
  </si>
  <si>
    <t>Manuel Codina</t>
  </si>
  <si>
    <t>Doniingo Calaon , en Andúxar, ó á D. Manuel Ortis de Muga, én Madrid, calle de Leganitos, núm. xa. Don Manuel Codina y compañía, de Barcelona, remitiéron el it de Agosto é D. Manuel Buch y Buch ,de Cádiz, tres vales de 130 pesos, de i.°"de Setiembre, núms. 156,064, 416,405 y 184,110 , y uno de 300</t>
  </si>
  <si>
    <t>Coheredo-Mandsfeld, Príncipe</t>
  </si>
  <si>
    <t>Príncipe Coheredo-Mandsfeld</t>
  </si>
  <si>
    <t>la corte de España Príncipe de Castelfranco hizo el 31 de Octubre su primer visita dé ceremonia al Príncipe Coheredo-Mandsfeld, Canciller del Imperio; y al Conde de Cobentzel, MinitrO de Conferencias, á quien presentó copia de sus credenciales»‘Poco después le pagaron ámbos Ministros su visita. Parece que</t>
  </si>
  <si>
    <t>Coijiat, Juan Antonio</t>
  </si>
  <si>
    <t>Juan Antonio Coijiat</t>
  </si>
  <si>
    <t>Don Pedro Alfaro, D. Benito de Ribera, D. Agustín Alcayde, D. Vicente Royó , D; Jacinto Munárriz ^ D. Juan Antonio Coijiat, D. Joseph Fortuno, D. Joaquín Ollés de Regales; y en la clase de buenos, D. Fabian Lorenté', D. Joseph Ramón dé Andraca, D. Benito Sánchez, D. Manuel Ased, D. Manuel Garcés y D¿</t>
  </si>
  <si>
    <t>Coisnon</t>
  </si>
  <si>
    <t>s de los comandantes y comisionados en nuestras colonias. Extracto de carta del ciud. Coisnon, director de la institución de las Colonias y al Ministro de Marina; fecha en el Cabo-Francés d 2o de Febrero. ,,E1 7 del corriente á las 8 de la noche salí de</t>
  </si>
  <si>
    <t>Colbert</t>
  </si>
  <si>
    <t>alencia en Ja de Mallen , y en Barcelona en el despacho del Diario. Proyecto sobre el comercio, que Mr. Colbert presentó á Luis xiv. Esta memoria aunque de corto volumen, es muy interesante por la importancia de su argumento, y ensefia máximas conducentes al establecimiento de un comercio r</t>
  </si>
  <si>
    <t>Colera, Manuel</t>
  </si>
  <si>
    <t>Manuel Colera</t>
  </si>
  <si>
    <t>e Gistau, D. Joseph Marín y Andreu, D. Fernando y D, Bartolomé Naval, D. Tomas Benedicto y Burillo, D. Manuel Colera y D. Juan Antonio Sancho. Este pronunció un discurso ensalzando la utilidad de la buena educación, y excitando á que se promueva. Valencia 6 de Febrero. L a Real sociedad económica de</t>
  </si>
  <si>
    <t>Collantes, Ramón</t>
  </si>
  <si>
    <t>Ramón Collantes</t>
  </si>
  <si>
    <t>y á Alférez al Portaestandarte D. Baltasar Belmonte : en el de la Reyna á Portaestandarte al Cadete D. Ramón Collantes: en el del Principe á segundo Teniente al Alférez D. Manuel Arjona: en el de Borbon á primer Teniente al segundo de Carabineros D. Antonio Gonzale?: en el de Alcántara á segundo T</t>
  </si>
  <si>
    <t>Collell, Francisco</t>
  </si>
  <si>
    <t>Francisco Collell</t>
  </si>
  <si>
    <t>oD. Joseph Soto, D. Francisco Leysél, D. Mauricio de Zúñiga, D. Pedro Bermudez, D. Ramón de Villar, D. Francisco Collell, D. Cárlos Villemont, D. Tomas Portel), D. Nicolás Iberri, D. Manuel Benisia, D. Manuel Cevallos, D. Pedro Fabregues, D. Agustín Ramírez, D. Joseph María Abate , D. Diego García C</t>
  </si>
  <si>
    <t>Collingwood, Almirante</t>
  </si>
  <si>
    <t>Almirante Collingwood</t>
  </si>
  <si>
    <t>fice que no pueden acceder á lo que previene en su breve sobre la renuncia de sus mitras. El Contra-Almirante Collingwood ha recibido orden de ir á reforzar la esquadra de la Mancha con 6 navios de línea y una fragata. En Plimouth se están acopiando víveres y municiones para 8 navios de línea surtos</t>
  </si>
  <si>
    <t>Colmenares y Lastiri, Francisco</t>
  </si>
  <si>
    <t>Francisco Colmenares y Lastiri</t>
  </si>
  <si>
    <t>reda. A Tenientes de Navfo los de Fragata D. Pedro de Anda,D. Vicente Bernabeu, D. Mariano Segovia, Don Francisco Colmenares y Lastiri, D. Joaquín Bilbao y Angosto, D. Rafael Asprer y Janer,D.Francisco Pareja y Tortolero,D. Joseph Labayen, Don Domingo de Paz, D. Aiexandro Morales,D.Pedro Joseph de Lemus, Don Manu</t>
  </si>
  <si>
    <t>Colon</t>
  </si>
  <si>
    <t>ia. La hija del Conde de Markoff, Embaxador de Rusia ért ésta República, haJ sido vacunada aquí por Mr. Colon á presencia de Mr. Hakenszmit, médico ruso , que vino á París con dicho Embaxador. Este facultativo ibtentó la nueva inoculación en los gobiernos dé Podolia y Volhinia, v vacunó j</t>
  </si>
  <si>
    <t>os granos de sus inoculados, se lia aprovechado de su venida á esta capital para asistir en casa de Mr. Colon á todos los trámites y efectos de la verdadera vacuna : y habiéndose convencido de que sus primeros ensayos no eran satisfactorios , lleva ahora la materia de la verdadera vacuna</t>
  </si>
  <si>
    <t>Colon de Larreategní, Félix</t>
  </si>
  <si>
    <t>Félix Colon de Larreategní</t>
  </si>
  <si>
    <t>illalbá, y el otro del segundo director D. Hipólito E$r tevez : tuéron presididos por el Brigadier D. Félix Colon de Larreategní, Protector de este establecimiento,. y diéron principio por una oración que en sus respectivos dias dixéron Vifialba y Estevez, á que siguió haber ex-; plicado los alumnos las mat</t>
  </si>
  <si>
    <t>Colon, Félix</t>
  </si>
  <si>
    <t>Félix Colon</t>
  </si>
  <si>
    <t>la Real escuela veterinaria de esta corte exámenes públicos de miologia presididos por el Brigadier D. Félix Colon, protector de este establecimiento. El profesor D. Antonio Bobadi11a, á cuyo cargo ha estado esta cátedra, dixo una oración alusiva á la materia del exámen; y después de haber exp</t>
  </si>
  <si>
    <t>: que sigan componiendo esta Sala. D. Pedro, £ablo Pomar, D. Joseph Genaro Salazar, y el Secretario D. Félix Colon : que este entienda en solo lo gubernativo y. económico, ventilándose lo. contencioso por el Escribano de Cámara , deli Consejo: que se oiga ai Fiscal Militar en lo primero, y en</t>
  </si>
  <si>
    <t>Colona, Conde</t>
  </si>
  <si>
    <t>Conde Colona</t>
  </si>
  <si>
    <t>Brigadieres los Coroneles: en España. D. Joaquín Ferrandiz, el Marqués de Lazan, D. Juan Magín, el Conde Colona, D. Antonio García Conde , D. Fernando Saavedra, D. Juan Amiant, D. Baltasar de Béllét * 0. Joseph Craiwinckel, D. Joseph Augusto S e la Porte, D. Juan Chrisóstomo de la Llave, el</t>
  </si>
  <si>
    <t>Colonua, Nicolás</t>
  </si>
  <si>
    <t>Nicolás Colonua</t>
  </si>
  <si>
    <t>entender en el pago dé los acreedores que en estos dominios dé España dexó él Eiémo. y Excuso. Sr. D. Nicolás Colonua, Nuncio Apostólico que fué en ellos, con la pensión de 10&amp; ditacados anuales que á este efecto se le consignáron sobre la Mitra del arzobispado ide Santiago, por sus dias y por 8</t>
  </si>
  <si>
    <t>Colosia, Pedro</t>
  </si>
  <si>
    <t>Pedro Colosia</t>
  </si>
  <si>
    <t>el Beneficio simple dé la parroquia de Coya, en la diócesis de Oviedo, vacante por fallecimiento de D. Pedro Colosia, y la Prestamera de la villa de Almodóvar del Rio , eixjel obispado de Córdoba, vacante por promoción de D. Joséph Soler á una Canongía de la metropolitana de Sevilla, a D. Joaquí</t>
  </si>
  <si>
    <t>comandante Crautzne</t>
  </si>
  <si>
    <t>des-r pues el Fiscal Kum y algunos empleados de policía prendieron al valeroso comandante Crautzne , y entregaron la fortaleza á los ingleses. Según los preliminares de paz recobrarémos aquella posesión luego que se firme el tratado definitivo. Berna 10 de F</t>
  </si>
  <si>
    <t>Comandante de París</t>
  </si>
  <si>
    <t>ama de Permont, descendiente de la casa de Commene, y suegra dei General Junot, Comandante de París, murió hace 8 dias, y fue enterrada en el cementerio de Sta. Margarita con un acompañamiento y una pompa que por no ser ahora común mereció la atención pública. El entierro atravesó una</t>
  </si>
  <si>
    <t>comandante Kocfor</t>
  </si>
  <si>
    <t>ones., y solo tairdáron 8 dias en concluirse; bien que para conseguirlo tuvo el comandante Kocfor que hacer amenazas y preparativos de atacar la ciudad. La paz se firmó por 6 años. Mr. Loveñdon, primer Piloto y Capitán comandante de este puerto* ha publicad</t>
  </si>
  <si>
    <t>comandante Omer</t>
  </si>
  <si>
    <t>rzáron el palacio de Haki, y robaron sus tesoros, y todos sus efectos. El nuevo comandante Omer, á fin de preservar á esta ciudad de otros excesos semejantes de parte de los albaneses, resolvió pagarles los sueldos caídos, y alejarlos de aquí; pero no tuv</t>
  </si>
  <si>
    <t>comandante Tornquist</t>
  </si>
  <si>
    <t>eadero el navio despachado con los regalos para el Rey de Marruecos* Quedaba el comandante Tornquist disponiéndose para ir á Trípoli, en cuyas aguas encontrará al Contra-Almirante Cederstrom. Créese que el navio sueco que lleva los regalos para el Bey de Túnez</t>
  </si>
  <si>
    <t>Comandante Veterano</t>
  </si>
  <si>
    <t>icente* Vinegra y D. Eugenio Tarrio. El Rey se ha servido conferir el empleo de Comandante Veterano de la primera división de milicias de la Costa del Norte del Reyno de Nueva España al Teniente de granaderos del regimiento provincial de Celaya Don Joseph Garrote;</t>
  </si>
  <si>
    <t>comandante Watteville</t>
  </si>
  <si>
    <t>ortación que han publicado con esta fecha en el quartel general de Friburgo los comandantes Watteville. y Aufder-Maur, en la qual aconsejan á los habitantes del país de Vaud que abandonen el partido del gobierno, contra el qual añaden seguirán su marcha á fin de</t>
  </si>
  <si>
    <t>Comat, Juan Antonio</t>
  </si>
  <si>
    <t>Juan Antonio Comat</t>
  </si>
  <si>
    <t>ios medios de.fomentar y perfeccionar la agricultura; D. Vicente Royo, sobre los abonos en general; D. Juan Antonio Comat, de los graneros y conservación de los granos; D. Ildefonso González, sobre la preferencia de la agricultura á las artes y ei comercio; D. Joaquín Royo, D. Juan Joseph Iranzu y D.</t>
  </si>
  <si>
    <t>u quota natural y mercantil, y las alteraciones de los tres elementas én qué el precio se resuelve; D. Juan Antonio Comat, de primer ¿ño , sobré él origen y progresos de la moneda hasta hacerse instrumento general del éómerció y medida común de los precios , las circunstancias ^üe deterñimah él' Válo</t>
  </si>
  <si>
    <t>Comcndador de Puertoílaao</t>
  </si>
  <si>
    <t>. Nicolas Arredóndo^ Pélegrtn, Haedo &amp;c. , cabalIero dé la érden de Calatráva , Comcndador de Puertoílaao , Teniente General dé</t>
  </si>
  <si>
    <t>Cometti</t>
  </si>
  <si>
    <t>espléndida comida, á la qual asistieron ios vocales de la Junta de gobierno, el ciud. Cometti, Enviado de la República italiana y los demas Ministros extrangeros. Al dia siguiente salió de aquí S. E. para Roma: pero se detendrá algunos dias en Sarzana p</t>
  </si>
  <si>
    <t>Commetti</t>
  </si>
  <si>
    <t>sta misma esperanza queda aquí el Arzobispo de Burdeos. Genova 10 de Enero. E 1 ciud. Commetti, nuevo Ministro cisalpino, presentó el 29 de Diciembre sus credenciales á este gobierno. El ciud. Saliceti, Enviado extraordinario del gobierno francés en Lúea</t>
  </si>
  <si>
    <t>Compañía, Príncipe</t>
  </si>
  <si>
    <t>Príncipe Compañía</t>
  </si>
  <si>
    <t>623 moverá Alférez al Cadete D. Joseph.de VatioosteronuY en el regimiento de infantería del Príncipe Compañía á su Caballero Page D. Pedro Angel Goróstizá. " ; ^ * • ....... - r r.' " ; V í -: " ° En América.' El Rey se ha servido nombrar para una Radon de idioma Matzahua de la colegiata</t>
  </si>
  <si>
    <t>Company, Joseph</t>
  </si>
  <si>
    <t>Joseph Company</t>
  </si>
  <si>
    <t>seph MariáPuig, D. Salvador'Perellós, -D.’! Jijan del Cas^ tillo y Carróz, Barón de Casa-Ddvalillo, D. Joseph Company, D. Joseph Antonio Cavanilles, D. Joseph Chaix, D. Joseph Ortizf y D. Joaquín de la Croix, secretario, se verifico la primera junta de dicha diputación en casa del Exc. Sr. Presid</t>
  </si>
  <si>
    <t>Comwallis, Lord</t>
  </si>
  <si>
    <t>Lord Comwallis</t>
  </si>
  <si>
    <t>e la Regencia arzobispal. Londres jp de Diciembre. A yer llegó el Coronel Littehales eon cartas del Lord Comwallis, é inmediatamente se celebró un consejo de gabinete. El ciud. Otto fue presentado el día 16 ai Rey en calidad de Ministro de Francia. A causa de los vientos contrarios ha vuelto á</t>
  </si>
  <si>
    <t>Conde de Brahe, Mariscal</t>
  </si>
  <si>
    <t>Mariscal Conde de Brahe</t>
  </si>
  <si>
    <t>oenkoeping contra los nobles que en la última dieta celebrada en Norkoping se desmandáron contra el Mariscal Conde de Brahe. Fueron sentenciados á crecidas multas, y S. M. confirmó la sentencia. Con este motivo escribió el Rey de propio puño una carta al Consejo, en la qual declara que qualquier noble</t>
  </si>
  <si>
    <t>Conde de Bryas, Francisco</t>
  </si>
  <si>
    <t>Francisco Conde de Bryas</t>
  </si>
  <si>
    <t>ta. En el de Reales Guardias Waíonas á Capitanes á los primeros Tenientes de fusileros y granaderos D. Francisco Conde de Bryas y D. Mariano Ruiz de Cárdenas. jBVz América. El Rey se ha servido nombrar para el Obispado de Buenos-Ayfes, vacante por promoción de D. Pedro Inocencio Vejarano al de Sigüenza, á D. B</t>
  </si>
  <si>
    <t>Conde de Lilwen, General</t>
  </si>
  <si>
    <t>General Conde de Lilwen</t>
  </si>
  <si>
    <t>egó ft Riga el Emperador de Rusia con el Conde de Kotschubey, Ministro de negocios extrangeros , el General Conde de Lilwen, él ^Ayudante mayor Príncipe de Wolkouskoy, el Chambelán Novossiltrof y el Conde Tolstoy, gran Mariscal de la corte. Aquella noche concurrió S. M. I. al teatro, en el que fué muy</t>
  </si>
  <si>
    <t>Conde de Meyerfeít, Feld-Mariscal</t>
  </si>
  <si>
    <t>Feld-Mariscal Conde de Meyerfeít</t>
  </si>
  <si>
    <t>tsund el tribunal superior dóWismar, en Pomerania; y se establecerá en la casa que fué del -difunto Feld-Mariscal Conde de Meyerfeít, que se ha comprado para él -Intentó. : ' ; ■' ' V" ;'De Carlsruhe ha llegado el Barón de Gensiítf, 'primer Chanibeían de ta zortfe ele Badén, y acompañará desde aquí á la Triúces</t>
  </si>
  <si>
    <t>Conde de Moy, Carlos</t>
  </si>
  <si>
    <t>Carlos Conde de Moy</t>
  </si>
  <si>
    <t>l propio Cuerpo. Y en el de Reales Guardias Walonas á primer Teniente de granaderos al de fusileros D. Carlos Conde de Moy ; á Alféreces de granaderos á los de fusileros D. Juan Nepomuceno de Prats, D. Carlos Daunoy y D. Antonio Cao Beños de Les, y á Alférez de fusileros al Cadete D. Gaspar de Aramend</t>
  </si>
  <si>
    <t>Conde de Santa Clara, Teniente General</t>
  </si>
  <si>
    <t>Teniente General Conde de Santa Clara</t>
  </si>
  <si>
    <t>a de Santa María de la villa de Blanes , en la propia diócesis de Gerona , ¿ D. Joseph Pasapera. AI Teniente General Conde de Santa Clara, segundo Comandante general del exército de Cataluña, se ha servido el Rey conceder el grado de Capitán general de Provincia. .En el regimiento de infantería de Saboya se ha servi</t>
  </si>
  <si>
    <t>Conde de Schulcnburgo-Kéhncrt, General</t>
  </si>
  <si>
    <t>General Conde de Schulcnburgo-Kéhncrt</t>
  </si>
  <si>
    <t>e Conídes de VáléUgin, . / r&lt; ■ Escriben de Hildesheim que el 3 de Agosto_entró en aquella plaza él General Conde de Schulcnburgo-Kéhncrt al frente de 3® hombres: puso lina guardia de honor en el palacio del Príncipe Obispo, y despidió inme* diatamente las tropas de este prelado. Todos los empleados civiles presta»</t>
  </si>
  <si>
    <t>Conde de Wachtmeister, Coronel</t>
  </si>
  <si>
    <t>Coronel Conde de Wachtmeister</t>
  </si>
  <si>
    <t>de S. M. , y empezaron los ejercicios el dia 14. Dividíanse en dos cuerpos mandados por el Teniente Coronel Conde de Wachtmeister, y por el mayor General Barón de Triesendorf. Siguen las tropas sus maniobras, y como el tiempo .es hermoso acude muchísima gente á presenciarlas. ;-!t 1 / v:. '■ - Por orden .Rea</t>
  </si>
  <si>
    <t>Conde de Wachtmeister, General</t>
  </si>
  <si>
    <t>General Conde de Wachtmeister</t>
  </si>
  <si>
    <t>él campamento de landsgúrdsgarten, y el dia 19 se, figuró el ataque de Un castillo. Le acometió el General Conde de Wachtmeister; y el Rey al frente de un cuerpo dividido en 3 colanas acudió’al socorro de la fortaleza, y obligó al General á Retirarse. Ayer sé presentó la idea de una batalla.: atacó el Rey a</t>
  </si>
  <si>
    <t>Conde de Warteasjeben, Teniente General</t>
  </si>
  <si>
    <t>Teniente General Conde de Warteasjeben</t>
  </si>
  <si>
    <t>as de su mando; las del Mar yor general Lestocq tomarán posesión del Obispado de Paderborn: las del Teniente General Conde de Warteasjeben ocuparán los territorios de Eielis</t>
  </si>
  <si>
    <t>Conde de Whtérsíében, General</t>
  </si>
  <si>
    <t>General Conde de Whtérsíében</t>
  </si>
  <si>
    <t>s dé infantería,1 tres escuadrones de húsares, uno de granaderos, y un cué^o^de'corabas. B1 dementé General Conde de Whtérsíében oeutíilérósviy'el Teni^ít^Générjíl 31ucher ocupará á Eríurt GpslaG ííord hausen, rMu4h¥tfse$!'i&amp;Cí&gt;coyif'tíbnipdtéBte“ftíjméK&gt;' detropas. Acaba él'gobierno dé pü^icat clfdnforme d</t>
  </si>
  <si>
    <t>Conde de Zweyeri Eri, Coronel</t>
  </si>
  <si>
    <t>Coronel Conde de Zweyeri Eri</t>
  </si>
  <si>
    <t>Ratisbona. Le acompañará una división del regimiento de infantería de Faber mandada por el Teniente Coronel Conde de Zweyeri Eri orden a las' negociaciones que ha habido éntre los gabinetes de Viena y Paris sobre los resarcimientos del Archiduque Gran Duque, se ké Publicado lo que sigue: Habiendo desechado</t>
  </si>
  <si>
    <t>Conde y Oquendo, Francisco Xavier</t>
  </si>
  <si>
    <t>Francisco Xavier Conde y Oquendo</t>
  </si>
  <si>
    <t>nombrar para una Canongía de la catedral de la Puebla de los Angeles, vacante por fallecimiento de Don Francisco Xavier Conde y Oquendo, á D. Tomas Franco de la Vega, Racionero de la propia iglesia: para esta Ración al Medio-Racionero Don Francisco de Paula y Rodríguez; y para esta Media-Ración á D. Urbano Antonio</t>
  </si>
  <si>
    <t>Conde, Alexáñdro</t>
  </si>
  <si>
    <t>Alexáñdro Conde</t>
  </si>
  <si>
    <t>arretá , D, Vicente rQasa' sola* D. Alonso VtlUfáñe, D. Cayetano Marimon * D. Jbseph Barón de Mer , D. Alexáñdro Conde de.Coupigni, D. Pedro Antonio TE^éjo, Don Pedro Fermín de Meiidinueta, el Marques Dpuchét, P. Ramón Fernández Idarga , D. JuaW Bássecourt, D. Jaán Joseph de San Juan; I). ToriSid Mon</t>
  </si>
  <si>
    <t>Conde, Francisco</t>
  </si>
  <si>
    <t>Francisco Conde</t>
  </si>
  <si>
    <t>l.de Junñera de Ambia, diócesis de Orense, vacante por muerte de D. Joaquín 3 el Rio y Cortinela, ¿ D. Francisco Conde., Penitenciario de la misma iglesia. ¿ . . . ■*. Desde.1.0 del próximo Diciembre se recibirán en. la Tesoreriamayor y en las de Exército las acciones del Real empréstito de 24ó mi</t>
  </si>
  <si>
    <t>Conde, Joseph Antonio</t>
  </si>
  <si>
    <t>Joseph Antonio Conde</t>
  </si>
  <si>
    <t>n 4.°= Descripción de España de Xerif Aledris, conocido„por el Ñubiense , con traducción y notas de D. Joseph Antonio Conde: un tomo en 8.°.==:Catecismo católico trilingüe del P. Pedro Canisió, dispuesto parauso de la juventud española por D. Joseph Goya y Muniain : un tomo en 4.°=:Exámen de las medall</t>
  </si>
  <si>
    <t>Conde, Manuel</t>
  </si>
  <si>
    <t>Manuel Conde</t>
  </si>
  <si>
    <t>Rey promover en el regimiento de infantería de Milicias de Voluntarios de Santa Marta á Tenientes á D. Manuel Conde, Subteniente de la compañía de Artillería, y á D. Bernardo de la Peña , que lo era de granaderos; á Subteniente de granaderos al de fusileros D. Ensebio Navarro; á Subteniente de</t>
  </si>
  <si>
    <t>CondedeKling, General</t>
  </si>
  <si>
    <t>General CondedeKling</t>
  </si>
  <si>
    <t>n hastael 27* Dividióse elexército len. do*]ouerpaii, imo lnandadp por Si M¿ y otro por el referida General CondedeKling$por¿ y'tiginúron un ataque. •'Ál día siguiente desfilaron las tropas ápresencíadel Soberano, lay otto campo^ ií?&gt;Gomov; se. hax manifestado«este eb algunas: partes de liur qúía.yi</t>
  </si>
  <si>
    <t>Conejo, Fernando</t>
  </si>
  <si>
    <t>Fernando Conejo</t>
  </si>
  <si>
    <t>64. 6* Id. Fernando Conejo.......... Manuel, MelchoraLuengo. Villamayor.. León............. 457. 31. Id. Fernando García................ Bernardo, Maria González. Cereceda....... Búrgos....... su.</t>
  </si>
  <si>
    <t>Conrbon</t>
  </si>
  <si>
    <t>ual destino. El domingo 3 del corriente fuéron presentados al primer Cónsul los ciudadanos Conrbon, Obrien, Renaud, Chanal y Grosbos, sacerdotes de León. El primer Cónsul les. dixo que había visto con sentimiento las divisiones de los sacerdotes do aquella d</t>
  </si>
  <si>
    <t>Consalvi, Cardenal</t>
  </si>
  <si>
    <t>Cardenal Consalvi</t>
  </si>
  <si>
    <t>rreo del primer Cónsul que le comunicaba la feliz noticia del ajuste de la paz. Al dia siguiente el Cardenal Consalvi mandó publicar el tratado, y que hubiese iluminaciones y otros regocijos públicos. Posteriormente pasáron por aquí otros dos correos de París que iban á Ñapóles, adonde se sabe qu</t>
  </si>
  <si>
    <t>entender los habitantes lá satisfacción que tienen por haber vuéltá al dominio' de la Francia.’* El Cardenal Consalvi»Secretario de Estado dé S. S.» ha enviado al General Mauricio Mathiéu» comandante que fué de una división del exército francés en él Reyiio de Ñapóles» el retrato; del Papa» en se</t>
  </si>
  <si>
    <t>Consejero de Estado Moreau de Saint-Merí</t>
  </si>
  <si>
    <t>ciud. Zeidlitz, xefe de esquadron y comandante interino del cuerpo ^convidó al Consejero de Estado Moreau de Saint-Merí, Ministro de la República en esta corte, para que asistiese á la entrega de dichos estandartes. Formóse el regimiento en quadro por batallones en la plaza, teniendo en el centro á los porta</t>
  </si>
  <si>
    <t>Consejero de Estado Petiet</t>
  </si>
  <si>
    <t>gamo, Lodi y Cremona. También ha venido de Milán por orden del primer Cónsul el Consejero de Estado Petiet, Ministro de Francia en la República cisalpina. Se lia formado aquí un cuerpo de 150 habitantes, que se han equipado voluntariamente á sus expensas con caballos. Han elegido un uniforme, qu</t>
  </si>
  <si>
    <t>Consejero Westenrieder</t>
  </si>
  <si>
    <t>un discurso sobre los beneficios de que este cuerpo es deudor al Elector; y el Consejero Westenrieder, Secretario, leyó el programa de los premios, y dió noticia de los académicos recien elegidos: dos de ellos son Mrs. Mauricio Henri, astrónomo francés, y Carlos Pougens, individuos del instit</t>
  </si>
  <si>
    <t>Consejeros</t>
  </si>
  <si>
    <t>Se dirige al Consejo pequeño, y está concebida en los términos siguientes : ,, Ciudadanos Consejeros. Los infrascritos se ven c burgados para justificarse á sí mismos á responder en común al oficio que se les paso, como á otros varios individuos del Senado que</t>
  </si>
  <si>
    <t>Constantin</t>
  </si>
  <si>
    <t>ríncipe con abundancia de provisiones de toda especie.___Ha vuelto ¿ Francia el ciud. Constantin con la respuesta del Baza ¿ las credenciales del ciud. Beaussier*; / , r Se está trabajando ya con el may or .empeñoen la grande obra sobre la descripción-dei</t>
  </si>
  <si>
    <t>Constantino de Rdria, Duque</t>
  </si>
  <si>
    <t>Duque Constantino de Rdria</t>
  </si>
  <si>
    <t>rador irá hoy á Presburgo para cerrar lá Dieta de Hungría. '■ ^ i De Gálltzia escriben qtíe el Gran Duque Constantino dé Rdria ha »dó muy festejado y obsequiádo en tddpslos pueblos de loa-dominios de miestro Soberano por dondéhá hecho su viage,y particularmente eÓ Lembérg. Dícese que hoy llegará á esta ca</t>
  </si>
  <si>
    <t>Constantino de Rusia, Duque</t>
  </si>
  <si>
    <t>Duque Constantino de Rusia</t>
  </si>
  <si>
    <t>verán á juntarse los estados del Reyno, y en ellos se revocarán ó confirmarán para siempre. El Gran Duque Constantino de Rusia se ocopa algunas mañanas en mandar el exercicio á los cuerpos de caballería de esta guarnición. Dícese que de aquí á pocos dias saldaá de esta capital. r : 4 El nuevo Embaxador de</t>
  </si>
  <si>
    <t>er. . - ,. ; ij j Ha salido casi repentinamente de aquí para ¡yolver i Petersburgo S. A. I. eí Gran Duque Constantino de Rusia, pues recibió, un correo con orden de hallarse precisamente en aquella capital el 20 de este mes. El portador de la orden dexó dispuestos tiros para dicho Príncipe en todo el cami</t>
  </si>
  <si>
    <t>Constantino Ipsiianti, Príncipe</t>
  </si>
  <si>
    <t>Príncipe Constantino Ipsiianti</t>
  </si>
  <si>
    <t>Núm. 98. xa05 DEL VIERNES 3 DE DICIEMBRE DE 1802. Constantimpla 10 de Octubre. . . , I Príncipe Constantino Ipsiianti debe su dignidad de Hospodar de Valaqnia á la intervención del Emperador de Rusia, cuyo Embaxidar cerca del Gran Señor entregó al ministerio turco una nota tn que decia: Los Boyardos</t>
  </si>
  <si>
    <t>Constantino Ipsilanti, Príncipe</t>
  </si>
  <si>
    <t>Príncipe Constantino Ipsilanti</t>
  </si>
  <si>
    <t>in 28 de Setiembre. ' acriben de BucMrestque el Gran Señor ha nombrado para Hospodar de VaJaquia al Príncipe Constantino Ipsilanti. —También avisan que en las* fronteras de Moldavia se junta un cuerpo de tropas rusas cuyo destino se; ignora. ;, _ '^ . ? ■ :-V'v v v! r;¿rr No ha vuelto á hablarse de la marcha</t>
  </si>
  <si>
    <t>Constantino Joseph Malet Coud'Egruyere</t>
  </si>
  <si>
    <t>eros D. Manuel María Polo de Bernabé, y á Alféreces á los Cadetes D. Ramón Foxá Xatmar de Marignat, D. Constantino Joseph Malet Coud'Egruyere, D. Ramón de Miguel y Blondel y D. Ramón de E et. _ Las lecciones de química, que da eu el Real estudio de esta ciencia establecido en la calle del Turco el profesor D. Luís Prous</t>
  </si>
  <si>
    <t>Constantino Pavvlowitz, Duque</t>
  </si>
  <si>
    <t>Duque Constantino Pavvlowitz</t>
  </si>
  <si>
    <t>blioteca, que Paulo .1. tenia en el palacio de Graschina, y que por su muerte pasó á manos del Gran Duque Constantino Pavvlowitz, se ha traído y colocado en el palacio de mármol.</t>
  </si>
  <si>
    <t>Constantino Pawlowitz, Duque</t>
  </si>
  <si>
    <t>Duque Constantino Pawlowitz</t>
  </si>
  <si>
    <t>el Consejero de Estado Laba: lleva encargo de reconocer exacta y perfectamente aquel país. El Gran Duque Constantino Pawlowitz, hermano del Emperador, concurrió uno de estos días al teatro aleman, en que se representaba el Abate de TEpée. Hacia muchos años que ninguna persona de la familia Im</t>
  </si>
  <si>
    <t>Constantino, Duque</t>
  </si>
  <si>
    <t>Duque Constantino</t>
  </si>
  <si>
    <t>GAZETA DE MADRID DEL VIERNES 8 DE ENERO DE 1802. Petersburgo 14 de Noviembre de 1801. , &gt; E 1 Gran Duque Constantino llegó de Moscow á esta capital el dia 9. Ayer tarde volvió también de aquella ciudad el regimiento de Guardias, y. el dia 17 se espera al de Semmowitsch. Las Guardias de á caballo</t>
  </si>
  <si>
    <t>a Gaiitzta oriental, se han incorporado con la Galitzia occidental. Espérase en esta ciudad ai Gran Duque Constantino, hermano del Emperador de Rusia: se detendrá aquí algunos dias, y luego irá á París. Ratisbona 2 de Enero de j#02. S e asegura que el Ministro del Elector de Colonia recibid el 27</t>
  </si>
  <si>
    <t>resde, y en el qual se verán el Rey de Prusia, el Archiduque Carlos, el Elector de Saxonia, el Gran Duque Constantino, el Duque de Brunswick y el Landgrave de Hesse-Cassel. Ha regalado el Rey de Inglaterra al Teniente General Kleist un hermoso caballo padre, de sus caballerizas de Hanncver, cuyo</t>
  </si>
  <si>
    <t>l. Durante su ausencia queda la Emperatriz en la quinta de Pawlowsky con su augusta suegra. El Gran Duque Constantino permanece en esta capital, _ y de acuerdo con el Conde Nicolás Soltikow presidirá el Consejo hasta la .vuelta del Emperador, la qual será de aquí á 6 semanas. Asimismo, hasta que</t>
  </si>
  <si>
    <t>l 14 deí corriente á está guarnición. Hizo su ,entrada con toda pompa militar; y por orden del Gran Duque Constantino, que venia mandando este cuerpo f executó diversas maniobras y evoluciones en ¿la plaza del jardín de veranó á presencia del Príncipe Glocester de Inglaterra y de un concurso nume</t>
  </si>
  <si>
    <t>or la noche se iluminó la ciudad. £1 Príncipe Estethazi ha ido dé Lemberg á Dubno á esperar al Gran Duque Constantino; y desdé allí le acompañará hasta la misma ciudad de -Eembéig&gt; e-n la* quai .se hacen grandes preparativos para obsequiar á S. A. J. -Viena 16 de. Octubre. H *' a- enviado orden e</t>
  </si>
  <si>
    <t>la dieta este año. Desde el dia 2 se halla de vuelta en esta capital el Archiduque Carlos. El Gran Duque Constantino, que deseaba conocer personalmente á este Príncipe, de cuyo mérito está prendado, fué desde luego á visitarle. El ciud. Champagni, Ministro de Francia, ha obsequiado al referid# G</t>
  </si>
  <si>
    <t>Constantinopara, Duque</t>
  </si>
  <si>
    <t>Duque Constantinopara</t>
  </si>
  <si>
    <t>rias contra Ja ocupación dé Passau por las tropas austríacas. d Ayer salió dé aquí S. A. I. el Gran Duque Constantinopara revistar su divi ion aquartelada á las orillas del Nieper: su aus$ucfoidur»r* proba** blemente quatro semanas.</t>
  </si>
  <si>
    <t>Cónsul Bonaparte</t>
  </si>
  <si>
    <t>osiciones siguientes v ,,i.a Se erigirá un pórtico triunfal en honra del primer Cónsul Bonaparte. 2.a Este monumento se colocará en el sitio que actualmente ocupa el edificio llamado el gran Chatelet, cuya demolición está mandada por el gobierno. 3.a Se se</t>
  </si>
  <si>
    <t>2 18 menos la nueva constitución de la República italiana, que la elección del Cónsul Bonaparte para Presidente , y la del ciud. Melzi para vice-Presidente. Antes de ayer tarde llegó el General en xefe Murat; el mismo día se cantó un solemne Te Deitm en l</t>
  </si>
  <si>
    <t>Cónsul Cambacerés</t>
  </si>
  <si>
    <t>Durante la ausencia de Bpnaparte quedíji el segundo Cónsul Cambacerés encargado de despachar los asuntos corrientes de gobierno. Ha sido nombrado Senador el ciud. Lamartiiliere, General de división de artillería. Se ha publicado el</t>
  </si>
  <si>
    <t>encargará, los, Ministros el curppli miénto del presente decreto.——: El segundó Cónsul Cambacerés.” . : : ! • En la audiencia que. tuvieron el 5 deAMayo los Embajadores y Ministros .extrange ros, fu ¿ron presentados , por el Caballero Azara, Em baxador de S</t>
  </si>
  <si>
    <t>Cónsul Iscko</t>
  </si>
  <si>
    <t>cen las mayores angustias, temiendo fataafs resultas de este acontecimiento. El Cónsul Iscko ha huido á Borcsa pasa librar la vida ; pues también se veia amenazado por los insurgentes! Viena 11 de Enero. E * n un consejó de guerra celebrado 1él:dia 6,</t>
  </si>
  <si>
    <t>Cónsul Jove</t>
  </si>
  <si>
    <t>que había comprado anteriormente. r.V;. Cádiz 17 de Agosto* E 1 físico D. Diego Cónsul Jove, natural de Oviedo, director y dueño de la Real fábrica de hules de seda, establecida en esta dudad, ha ideado y qonserva en su gabinete varías curiosidades ,</t>
  </si>
  <si>
    <t>rtd de hora. / ; ■TJ. f i... v, .. Cádiz zo'de Octubre. / i-Ll físico p. Diego. Cónsul Jove, vecino de esta ciudad, habiendo convocado á su casa á los físicos del Real colegio de Cirugía y á los facultativos jde la misma ciudad , para que viesen ., examinasen y experiméntase,n e</t>
  </si>
  <si>
    <t>Cónsul Jove, Diego</t>
  </si>
  <si>
    <t>Diego Cónsul Jove</t>
  </si>
  <si>
    <t>ríncipe: dé Salm en un lugar que había comprado anteriormente. r.V;. Cádiz 17 de Agosto* E 1 físico D. Diego Cónsul Jove, natural de Oviedo, director y dueño de la Real fábrica de hules de seda, establecida en esta dudad, ha ideado y qonserva en su gabinete varías curiosidades , algunas de las quaíe</t>
  </si>
  <si>
    <t>Cónsul Mr</t>
  </si>
  <si>
    <t>n la audiencia de Embaxadores del dia 5 presentaron sus credenciales al primer Cónsul Mr. Francisco Jayme Jackson y el Caballero Serrestori, en calidad de Ministros plenipotenciarios, el uno de S. M. Británica, y el otro del Rey de Toscana. AI prim</t>
  </si>
  <si>
    <t>Cónsul Presidente</t>
  </si>
  <si>
    <t>ntimación del primer Cónsul. x Milán 28 de Setiembre. : P or decreto del primer Cónsul Presidente de nuestra República se ceden á esta todas las municiones que hay en las armerías y almacenes: se hará su valuación por dos oficiales , uno italiano y otro francé</t>
  </si>
  <si>
    <t>Coquebert-Montbret</t>
  </si>
  <si>
    <t>ario general de relaciones de comercio que ha de residir en Londres: y lo es el ciud. Coquebert-Montbret, que exercia el mismo empleo en Amsterdam. Ha resuelto ei Ministro de lo Interior que haya este año exposición publica de las obras de pintores, escultores, ar</t>
  </si>
  <si>
    <t>Corbella, Antonio</t>
  </si>
  <si>
    <t>Antonio Corbella</t>
  </si>
  <si>
    <t>rmedades internas y externas del escorbuto y reumatismo: un tomo en 8.° por I). Antonio Corbella, médico y cirujano del número de la Real armada. Se hallarán en la librería de Campo , calle de Alcalá. Quaderno 44 de la colección de trages que usan las naciones del mundo descubierto,</t>
  </si>
  <si>
    <t>Corbera y FallaVQ, Joseph</t>
  </si>
  <si>
    <t>Joseph Corbera y FallaVQ</t>
  </si>
  <si>
    <t>ncisco- izquierdo Ibarr.ola, I). Ma i u e i Á, í v ara do y Quintana , D. Joaquín Iguazo y Ribera , D. Joseph Corbera y FallaVQ, Juan de OJano ,Don Fausto González Víüamil, D. Francisco-Zapara y:Pa/ra, í&gt;. Joseph Ahtran de la Torre , D. Marcelo Federici, D. Roque GWrqceta , D. Pedro ¿Je PqrfíSr y Escribano</t>
  </si>
  <si>
    <t>Cordero, Antonio</t>
  </si>
  <si>
    <t>Antonio Cordero</t>
  </si>
  <si>
    <t>n Joseph Alvarez, D. Cárlos Meyner, D. Francisco Rodríguez , D. Tolhas Rocamora, D. Agustín Pinedo, D. Antonio Cordero,. D. Pedro Villaescusa, D. Miguel Emparan , D. Francesco Alburquerque, D. Blas González, D. Juan María de Soto, D. Francisco Caballero, D. Ignacio Merlos, Don Lorenzo Burgos^, D.</t>
  </si>
  <si>
    <t>Córdoba, General</t>
  </si>
  <si>
    <t>General Córdoba</t>
  </si>
  <si>
    <t>aquí viniendo de Londres, y continuó inmediatamente su viage á Amiens* Brest 2$ de Diciembre. ' E 1 General Córdoba ha tomado el mando de los 10 navios de su nación que quedan en este puerto. No tardarán en salir de aquí una corbeta,y un transporte para Sto. Domingo , como también los dos. navi</t>
  </si>
  <si>
    <t>Corella Orduña y Zarzosa, Manuel</t>
  </si>
  <si>
    <t>Manuel Corella Orduña y Zarzosa</t>
  </si>
  <si>
    <t>iócesis de Cuenca, á D. Pedro Martínez de España; y para el de Pejalagar, en el obispado de Jaén, á D. Manuel Corella Orduña y Zarzosa. En la Compañía Española del Real cuerpo de Guardias de Corps se ha servido promover el Rey á Cadete de numero al supernumerario D. Joa</t>
  </si>
  <si>
    <t>Cornejo, Joseph</t>
  </si>
  <si>
    <t>Joseph Cornejo</t>
  </si>
  <si>
    <t>Martin de Icaza; el que este dexa al Alférez D. Joseph Joaquín Avilés, y el de Portaguión al Cadete D. Joseph Cornejo. Se prorega hasta fin de Julio el término señalado para recibir memoriales de epositoresá la cátedra de latinidad vacante en la villa de Torralba de Calatrava, partido de Almagro,</t>
  </si>
  <si>
    <t>Cornejo, Rafael</t>
  </si>
  <si>
    <t>Rafael Cornejo</t>
  </si>
  <si>
    <t>esos en ambos ramos : se distribuyéron varios premios en obras estimadas, como á mas beneméritos, á D. Rafael Cornejo y D. Mariano Briones y Barrera, que obtuvieron el primer lugar en su clase, á D. Rafael Aróspide y D. Francisco de la Dehesa el mismo en la suya, á D. Manuel de Figueroa, D. Manuel Al</t>
  </si>
  <si>
    <t>Cornel y Ferraz, Antonio</t>
  </si>
  <si>
    <t>Antonio Cornel y Ferraz</t>
  </si>
  <si>
    <t>la de Mallorca á D. Juan Joseph Perez y Perez: para la de Oidor, que este dex.? en lá de Aragón, á D. Antonio Cornel y Ferraz, Ministro del crimen íe ia misma; y para esta resulta á D, Jayme Pastoret. En América. En ei regimiento de infantería de la Corona de Nueva España se ha servido S. M. promover á C</t>
  </si>
  <si>
    <t>Cornide de Saavedra, Joseph</t>
  </si>
  <si>
    <t>Joseph Cornide de Saavedra</t>
  </si>
  <si>
    <t>s respectivos asientos según su clase y antigüedad. Empezó la sesión leyendo el Secretario perpetuo D. Joseph Cornide de Saavedra 1^ continuación de las actas celebradas desde la última junta pública, con la noticia de los trabajos concluidos y emprendidos por la academia, encargos del ministerio y de varios</t>
  </si>
  <si>
    <t>Cornide, Joseph</t>
  </si>
  <si>
    <t>Joseph Cornide</t>
  </si>
  <si>
    <t>s an-, tigüedades de cabeza del Griego, reconocidas de órden de la Real academia de la Historia por D, Joseph Cornide: contiene la descripción general de la Celtiberia, y la particular de dichas ruinas, que se cree ser de la'antigua ciudad de Segobri^ ga, con varios apéndices , dos mapas corográt</t>
  </si>
  <si>
    <t>Cornil, Ramón</t>
  </si>
  <si>
    <t>Ramón Cornil</t>
  </si>
  <si>
    <t>os, é innumerable pueblo. El profesor de eloqiiencia dixo una oración análoga á las circunstancias. Don Ramón Cornil, de edad de 9 años, recitó un acanto heróyeo , que fué'aplaudido de todo el concurso , admirando en taií tierna edad su ingenio , gracia y despejó. Presentáron luego los discípulo</t>
  </si>
  <si>
    <t>Cornvvallis, Lord</t>
  </si>
  <si>
    <t>Lord Cornvvallis</t>
  </si>
  <si>
    <t>sta ciudad, el Ayuntamiento, los tribunales y demas empleados públicos , cumplimentaron el dia 6 al Lord Cornvvallis. El 9 recibió este Ministro cartas de Londres por un correo extraordinario, el qual casi sin detenerse siguió su viage á Paris. La misma mañana comunicó Mr. Cornwallis por un mens</t>
  </si>
  <si>
    <t>CornwaHis, Lord</t>
  </si>
  <si>
    <t>Lord CornwaHis</t>
  </si>
  <si>
    <t>erador de Rusia y el Rey de Prusia. Londres de Marzo. E 1 miércoles llegó un correo con pliegos del Lord CornwaHis. En el paquebot.en que vino de Francia se hallaban de pasageros los Coroneles Craddock y Spencer, el Teniente Coronel Wingfield, el Sargento mayor House, y el Capitán Rennel, que</t>
  </si>
  <si>
    <t>Cornwallis</t>
  </si>
  <si>
    <t>correo extraordinario, el qual casi sin detenerse siguió su viage á Paris. La misma mañana comunicó Mr. Cornwallis por un mensage el contenido de dichos pliegos al ciud. Joseph Bonaparte, quien á las 6 de la tarde fue á casa del Ministro ingles, y tuvo con él una conferencia que duró hasta cer</t>
  </si>
  <si>
    <t>Cornwallis, Almirante</t>
  </si>
  <si>
    <t>Almirante Cornwallis</t>
  </si>
  <si>
    <t>erzas navales irán á reforzar las que tenemos en varias partes del mundo. Se asegura también que el Almirante Cornwallis saldrá en breve mandando una esquar. dra de 30 navios de línea, la mitad de ellos de tres puentes. Finalmente, parece que el Lord Nelson va á mandar en las Indias occidentales, y</t>
  </si>
  <si>
    <t>son de 28 de Octubre y de 2 de Abril, la primera escrita en Moskow, y la segunda en Petersburgo. El Almirante Cornwallis, Comandante en xefe de la esquadra grande, arrio ei 23 su bandera en el navio la Ciudad de Paris; y el 24 se embarcó en Torbay á bordo de la fragata Diamante para Portsmoutli. Ida</t>
  </si>
  <si>
    <t>Cornwallis, Lord</t>
  </si>
  <si>
    <t>Lord Cornwallis</t>
  </si>
  <si>
    <t>66 El hijo del Lord Cornwallis y dos correos se embarcarán el día 28 en Calais para Douvres. Algunos sospechan que el primero lleva el tratado de paz casi ajustado. 1 Ha pasado por Nancí para Amiens el Lord Guillermo</t>
  </si>
  <si>
    <t>el exército del Gran Señor. Viena 24 de Diciembre. E f l Conde de Cobentzel escribe de Paris que el Lord Cornwallis ha reconocido como uno de los primeros puntos del tratado definitivo la cesión de laf Bélgica y de la izquierda del Rhin á la Francia , y la obligación por parte del Imperio de in</t>
  </si>
  <si>
    <t>r están todos los caminos intransitables, y en algunos parages hay 4 pies de nieve. Aseguran que el Lord Cornwallis tiene encargo de insistir en la restitución reciproca del dinero y efectos de particulares embargados én ambos países al principio de la guerra. Una casa de comercio de esta ciuda</t>
  </si>
  <si>
    <t>vienen con licencia del gobierno. Calais 2t&gt; de Enero. H°y llegaron aquí de Amiens 10 caballos del Lord Cornwallis con muchos criados de librea, y poco después se embarcáron para Inglaterra. Podría inferirse de esto que aquel Plenipotenciario británico hace ya disposiciones para restituirse á</t>
  </si>
  <si>
    <t>ección de transportes, y. 14© para los prisioneros de guerra. Los dias 12 y 13 llegaron pliegos del Lord Cornwallis: los Ministros celebraron dos consejos de gabinete , y luego despacharen correos á VYindsor y otras partes. Los fondos públicos han subido uno y medio por ico. • Li dia 8 salió Na</t>
  </si>
  <si>
    <t>Cornwállis, Lord</t>
  </si>
  <si>
    <t>Lord Cornwállis</t>
  </si>
  <si>
    <t>esta parte.- El s^lon en que cenó la familia Reai estaba aderezado con ios bellos adornos de que el Lord Cornwállis hizo uso en Amiens; y todas, las pinturas de la sala del bayle eran obra de las Prineesas: hijas d* .¿/.oo,4: :« , Por la embarcaron nombrada Morgeana, de 16 cañones, Precien lleg</t>
  </si>
  <si>
    <t>e bordada. Acompañaba á este regalo una carta en que menciona el primer Cónsul los servicios que el Lord Cornwallis hizo á loS dos países , negociando una paz que era indispensable á su sosiego y mü^ tua felicidad. ’•'* • De Cuxhaven ha llegado á Harwich el paquebot nombrado Príncipe de Gales:</t>
  </si>
  <si>
    <t>Cornwallís, Lord</t>
  </si>
  <si>
    <t>Lord Cornwallís</t>
  </si>
  <si>
    <t>lo Mr. Moore, uno de los oficiales dej la Secretaría de Estado, y que fué-Secretario particular del Lord Cornwallís en el congreso de Amiens. Le acompaña un correo de gabinete, y se&gt; embarcó en Harwich. Se ignora á que corté va destinado; y solamente sc~ dice que le despacháron de resultas de un</t>
  </si>
  <si>
    <t>Cornwallisi Asistieron, Lord</t>
  </si>
  <si>
    <t>Lord Cornwallisi Asistieron</t>
  </si>
  <si>
    <t>l Lord Hawkesbury se ha celebrado un consejo de gabinete con motivo de haberse recibido pliegos del Lord Cornwallisi Asistieron á dicho consejo varios Ministros extrangeros, entre* ellos el de la corte de Lisboa, el quai habrá salido ya de Inglaterra para Amiens. Mientras líe* gan á aquella ciudad los dema</t>
  </si>
  <si>
    <t>Cornwallrs, Almirante</t>
  </si>
  <si>
    <t>Almirante Cornwallrs</t>
  </si>
  <si>
    <t>que en las negociaciones de Amiens se hubiera‘tratado el importante asunto de la neutralidad. v El Almirante Cornwallrs, que fué¡ comandante en xefe de la esqua-: dra de la Mancha durante la guerra, llegó ayer á esta ciudad, y tuvo una larga conferencia con el Conde de S. Vicente, primer Lord del A</t>
  </si>
  <si>
    <t>Coronado, Juan</t>
  </si>
  <si>
    <t>Juan Coronado</t>
  </si>
  <si>
    <t>Mergelina y Silva, D. Martin Iriarte, D. Vicente de Flores VülamiJ,^. Francisco .Füente^Bircancgra, D. Juan Coronado, D. Joseph Doronzoro, D« Joseph R.eynoso Roldan , 0. Angel Crespo Martínez, D. JosephTde^éspj^§, Í&gt;; Antonio Van-halen y Morfi, Don Joseph Bernia , &lt;D.j6sephBrandaTÍs ,D. igna.cio</t>
  </si>
  <si>
    <t>Corones y Alberola, Joseph</t>
  </si>
  <si>
    <t>Joseph Corones y Alberola</t>
  </si>
  <si>
    <t>nio Palomar y Arias, D. Manuel de Palacios, D. Henrique O-Dogherti, D. Jacinto Romarota y Salamanca^D. Joseph Corones y Alberola, D. Nicolás dé la Vega y San Julián, D. Manuel Lasqueti y Lasqueti , D. Miguel Pascual y Menocal, Don Ramón Rato y Ramírez, fk Roque Díaz Pardo, D. Miguel Daza y García, D. Diego</t>
  </si>
  <si>
    <t>Correa, Pedro Ignacio</t>
  </si>
  <si>
    <t>Pedro Ignacio Correa</t>
  </si>
  <si>
    <t>de Campo D. Manuel Bretón, Gobernador de la de Pamplona: para el de esta plaza al Mariscal de Campo D. Pedro Ignacio Correa, Gobernador de la de la Coruña: para esta resulta al Mariscad de Campo Don ¿ Antonio Alcedo,, Corregidor de la villa de Álcira ; y para este Corregimiento al Coronel p. Pedro Mart</t>
  </si>
  <si>
    <t>Corregí, Lord</t>
  </si>
  <si>
    <t>Lord Corregí</t>
  </si>
  <si>
    <t>e la sala estaba escrita en letras transparentes la palabra paz. El Príncipe de Gáles y la hija del Lord Corregí</t>
  </si>
  <si>
    <t>Corregidor de Londres, Lord</t>
  </si>
  <si>
    <t>Lord Corregidor de Londres</t>
  </si>
  <si>
    <t>*6 Antes de ayer dió el Lord Corregidor de Londres una prueba de que puede uno ser juez en su propia causa. Le presentaron varias denuncias . contra particulares que no habían cumplido la orden deque se barriesen las aceras de las</t>
  </si>
  <si>
    <t>está resuelto á conservar la paz. Ayer se procedió en las casas de Ayuntamiento á elegir ál. nuevo Lord Corregidor de Londres y á los dos nuevos Shertfes.. La elección del primero recayó en el AJderman ó Regidor Price, y la de los segundos en Mr*. Welch y Aiexander. Estos fuéron ayer á las casas consistori</t>
  </si>
  <si>
    <t>Corregidor, Lord</t>
  </si>
  <si>
    <t>Lord Corregidor</t>
  </si>
  <si>
    <t>acusados se disculparon, y ofrecieron cumplir puntualmente en adelante dicha ley: de suerte que el Lord Corregidor fue el solo que pagó. Consta por cartas del Rio Janeyro que una fragata francesa de 44 cañones ha apresado recientemente en aquellos mares un buque portugués de 22. i En Huttoft,</t>
  </si>
  <si>
    <t>ana por orden del Mariscal de la ciudad se prendieron 2 franceses acusados de haberse desafiado. El Lord Corregidor les tomo declaración, como también á varios testigos. Hasta ahora permanecen en la cárcel. En el observatorio del colegio de Glasgow observó el Dr. Mikleham el 25 de Febrero el nu</t>
  </si>
  <si>
    <t>tes , y que estos se conformen con las disposiciones que incluye.” r : Londres* 2, de Junto; c. E 1 Lord Corregidor y el Ayuntamiento de Londres ipasáron ayer mañana con mucha solemnidad á la iglesia de S. Pablo, y concurrieron á la acción de gracias portel ajuste de la paz. En las demas iglesias d</t>
  </si>
  <si>
    <t>conferencia sobre ello con el Lord Hawkesbury, y ambos quedaron, satisfechos de lo que trataron. Bl Lord Corregidor ha enviado de regalo á SS. MM. un esturión de extraordinario tamaño, cogido el sábado último por unos pescadores cerca de Wolwich. Tenia 8 pies de largo, y pesaba 244 libras. Por</t>
  </si>
  <si>
    <t>Corry</t>
  </si>
  <si>
    <t>municará á las dos Cámaras; pe-* ro que no corresponde á los Ministros señalar dia para examinarle. Mr. Corry, Canciller del Echiquier de Irlanda, propuso ántes de a yti á muchos cambistas las condiciones de un empréstitp de 1.625,000 libras esterlinas para los gastos de aquel Reyno. Lées</t>
  </si>
  <si>
    <t>Cortabarria, Francisco</t>
  </si>
  <si>
    <t>Francisco Cortabarria</t>
  </si>
  <si>
    <t>nacio Martinez Vallejo, D. Matías Piriz, D. Pedro Baylin, D. Bartolomé de Castro, D. Santiago Puig, Don Francisco Cortabarria, D. Antonio Maestre, D. Fernando Manuel de Villena, el Vizconde de Zolina, D. Juan Maduit, D. Juan O-Donojú y O-Rian, D. Joseph Valmaseda, D. Manuel Rizo, D. Francisco Pastor, D.</t>
  </si>
  <si>
    <t>Cortada, Antonio</t>
  </si>
  <si>
    <t>Antonio Cortada</t>
  </si>
  <si>
    <t>D. Marcos Funguion, D. Bernardo■ Tacón, D. Joseph Tacón, D. Francisco Boneo, D. Félix Gastambide, y D. Antonio Cortada, Madrid 1$ de Octubre. E 1 Rey se ha dignado nombrar para la Vara de Alcalde mayor de I2 villa de Viar, en el Reyno de Valencia, á D. Julián de Relian y Brea, Abogado del Colegio</t>
  </si>
  <si>
    <t>Cortazar y Abarca, Pedro</t>
  </si>
  <si>
    <t>Pedro Cortazar y Abarca</t>
  </si>
  <si>
    <t>qceta , D. Pedro ¿Je PqrfíSr y Escribano, D. Domingo Navarro y Torres , D. Juan Michelena y Moreno, D. Pedro Cortazar y Abarca, D. Isidro Cortazar: y Abarca, y D. Ramón de Salas Boxádors. / . t . A Tenientes de IFragata los Alféreces de Navio , * D. Joseph Arguelles, D. Félix Pareja y Mesía, D. Francisco</t>
  </si>
  <si>
    <t>Cortee y Obel, Manuel</t>
  </si>
  <si>
    <t>Manuel Cortee y Obel</t>
  </si>
  <si>
    <t>; ai empleo que este dexa al Teniente de fusileros D. Manuel Pantoja ; á este empleo al Subteniente D Manuel Cortee y Obel; á Subteniente de granaderos al de fusileros D. Joseph María del Toro; á Subteniente de fusileros á D. Francisco de Lora, y á Subtenientes de bandera á D. Pedro Manuel de Toro y D</t>
  </si>
  <si>
    <t>Cortés y Olarte, Manuel</t>
  </si>
  <si>
    <t>Manuel Cortés y Olarte</t>
  </si>
  <si>
    <t>a Canongía de merced de la santa iglesia de Nicaragua, vacante por promoción de D. Pcdto Breicio, á D. Manuel Cortés y Olarte, Cura en dicho obispado. D. Ignacio Lacaba, Cirujano de Cámara de S. M., que por los ventajosos efectos de la inoculación de las viruelas naturales había fomentado y practicado en</t>
  </si>
  <si>
    <t>Cortés y Posada, Francisco</t>
  </si>
  <si>
    <t>Francisco Cortés y Posada</t>
  </si>
  <si>
    <t>ichi y Moyano, D. Ildefonso de Roxas y Róx2s, D. Nicolás Otero y Figueroa, D. Joseph Seydel y Sada, D. Francisco Cortés y Posada, ©. Francisco. Antolinez y Salazar , D. Joseph de la Cresta, D. Miguel Cavaleri, Don1 Ñuño de Ja Cueva y Alcedo, D. Santiago Zaldivar y BurgíSa, D. Joseph Caamuño y Pardo, IX Mart</t>
  </si>
  <si>
    <t>Cortés, Diego</t>
  </si>
  <si>
    <t>Diego Cortés</t>
  </si>
  <si>
    <t>indélan, D. Ignacio Husey, D. Ignacio Maraver, D. Manuel Eligió, D. Antonio Mayone, D. Ramón Gómez, D. Diego Cortés, D. Juan O-Donovan, D. Joaquín 0-ReiUy\D. Joseph de la Piedra, D. Santiago Moreda , Don Gregorio Donayrej Dé Pablo Carbonell, D. Juan Antonio Martínez, Don Joaquín Goyeneche j D.</t>
  </si>
  <si>
    <t>Cortés, Dionisio</t>
  </si>
  <si>
    <t>Dionisio Cortés</t>
  </si>
  <si>
    <t>o de infantería de Saboya se ha servido promover el Rey á Subteniente de granaderos al de fusileros D. Dionisio Cortés: en el de Mallorca á segundo Subteniente al Sargento primero de granaderos D. Antonio Guinea ; y en el de Jaén á Subteniente de granaderos al de fusileros D. Carlos Sevilla, y á s</t>
  </si>
  <si>
    <t>Cortés, Gerónimo Martín</t>
  </si>
  <si>
    <t>Gerónimo Martín Cortés</t>
  </si>
  <si>
    <t>Joseph Medrano, D. Joaquín de la Chica, D. Agustín Cabrera, D. Antonio Franchi,D. Rafael de Zuniga, D. Gerónimo Martin Cortés, D. Ramón Bétes, D. Francisco Portillo, D. Tomas Salcedo, D. Fernando Moyano, D. Juan Alabés, D. Juan Macarti, 0. Dionisio Sánchez, D. Joseph Chardenoux, D. Joaquín de la Hoz, D.</t>
  </si>
  <si>
    <t>Cortvwaliis, Almirante</t>
  </si>
  <si>
    <t>Almirante Cortvwaliis</t>
  </si>
  <si>
    <t>a mejorar la situación de los prbioneros. El día 20 llegó al Almirantazgo un correo con pliegos del Almirante Cortvwaliis, que manda la esquadra de Torbay. Ignórase su contenido. Según cartas de la India ha aumentado la compañía inglesa su excrcito con algunos regimientos de infantería y caballería,</t>
  </si>
  <si>
    <t>Cosío, Joseph</t>
  </si>
  <si>
    <t>Joseph Cosío</t>
  </si>
  <si>
    <t>, al Cadete D. Luís Crespo: y en el de infantería de Puebla áTeniente al Subteniente de granaderos D. Joseph Cosío; á Subteniente de granaderos al de fusileros D. Miguel de la Vega, y á Subteniente de bandera al Sargento primero de granaderos D. Manuel García.</t>
  </si>
  <si>
    <t>extitlan á D. Francisco Solís*. para la de Oficial i.° de la Mesa de Guias de la Aduana de Puebla á Don Joseph Cosío: para la de Oficial i.° de la Mesa del Viento y Pulques de la misma Aduana á D. Joseph Ignacio del Castillo: para Ensayador 2.0 de número de la Real Casa de Moneda de México á D.</t>
  </si>
  <si>
    <t>Cosío, Juan Antonio</t>
  </si>
  <si>
    <t>Juan Antonio Cosío</t>
  </si>
  <si>
    <t>ez, D. Manuel Asensio, D. Joseph Francisco Díaz, D. Juan Afán de Rivera, D. Ramón María de Utrilla, D. Juan Antonio Cosío , D. Joseph Vaca, D. Francisco Man glano, D. Miguel García Sacristán , D. Bartolomé Sandoval, D. Rafael Tavira, D. Manuel de la Isla, D, Félix Pérez Vidal, Francisco de Paula Pa^í</t>
  </si>
  <si>
    <t>Cosme Álvarez</t>
  </si>
  <si>
    <t>con él de su Coronel D. Luis Fernandez de Córdoba y Pimentel, y el dé su! Sargento mayor d Corónef D. Cosme Alvarez, ac^</t>
  </si>
  <si>
    <t>Cosme Chumica</t>
  </si>
  <si>
    <t>Juez Sarmiento ¿ D. Juan Pablo Podares , D. Francisco Uriarte y Borja,,D. Dionisio Alcalá Galiano, D. Cosme Chumica, Don Cayetano Valdés , D. Felipe Jado Cagigal Marques del Real Tesoro, D.Alarcelo Espínela, D. Agustín Figueroa, D. Joseph Uriarte y Borla, D. Rafael de Hore, y D. Joseph Espinosa</t>
  </si>
  <si>
    <t>Cosme Gómez</t>
  </si>
  <si>
    <t>4. 12. Muerto. Cosme Gómez..................... Matías, Eugenia Salcedo... Muergas........ Búrgos.......... 63. 10. Licenciado. Diego Blanco....................... Alonso, María Quiroga.......</t>
  </si>
  <si>
    <t>Cosme Marín</t>
  </si>
  <si>
    <t>ícéfíté Salcedo, D. Lúeas de Mena, D. Joseph Viladomar, D. Juan de Álbarrilla, D. Gonzalo Martínez, D. Cosme Marín, D. Serafín del Rincón, D. Mariano Carrasco, D. Vicente Pico, í). Antonio Arias , D. Joseph Espinosa, D. Miguel de Gerona, D. Manuel Henriquez, D. Francisco Xavier de Mendíri, D.</t>
  </si>
  <si>
    <t>Cosme Ramírez de Arellano</t>
  </si>
  <si>
    <t>artínez, y á Subtenientes de compañía y de bandera á los Cadetes D. Juan Vianqui, D. Miguel Celada, D. Cosme Ramírez de Arellano y D. Isidro Mendez, y á los Sargentos D. Joaquín Sánchez, D. Antonio Cermeño y D. Juan González. El Consejo, á consulta de la Comisión gubernativa de consolidación de Vales, y con apr</t>
  </si>
  <si>
    <t>Cosme- Carranza</t>
  </si>
  <si>
    <t>edro Esquível, D. Pedro de Mesa, D. Ignacio Olaeta, D. Joaquín Gómez Barreda, D. Benito Santacilia, D. Cosme- Carranza, D. Joseph Melendez, D. Antonio Pareja, D. Francisco Piedrola, D. Fernando Bustillo Cuéva,' D. Francisco Vízcarrondo, D. Santiago Irrisarri y Sarti, D. Joaquín: dé Castañeda , D.</t>
  </si>
  <si>
    <t>Costa, Joseph</t>
  </si>
  <si>
    <t>Joseph Costa</t>
  </si>
  <si>
    <t>nada de Zaragoza, en la diócesis dé Córdoba , vacante por muerte de D. Francisco Antonio Serrano, á D. Joseph Costa, con retención de la renta eclesiástica que obtiene. S. M. se ha servido promover en, el regimiento de infantería Inmemorial del Rey á segundo Teniente de granaderos al de fusiler</t>
  </si>
  <si>
    <t>Costa, Tomás</t>
  </si>
  <si>
    <t>Tomás Costa</t>
  </si>
  <si>
    <t>. S. M. ha promovido á Ingenieros en segundos de sus exércitos, plazas y fronteras á los ordinarios D. Tomas Costa, D. Melchor Gerona, D. Bernardino de Losa y D. Juan Iñiguez. En el de caballería del Rey á Comandante de esquadron al Capitán de Carabineros, graduado de Teniente Coronel, D. Jose</t>
  </si>
  <si>
    <t>Costales y Pareja, Pedro</t>
  </si>
  <si>
    <t>Pedro Costales y Pareja</t>
  </si>
  <si>
    <t>* Don; Joseph Doronzoro Parra, DI Nicolás de Meñaca, D. Vicente CaamañoyPardo , D. Pddro Cbntreras, D. Pedro Costales y Pareja, D. Lorenzo Ortiz Canela, D. Marcelino Dueñas y Vega, D. Joseph Tobías y Rodríguez, D. Rafael Domínguez Aguayo, D.. Jacinto Valdasano y Ros, D. Joseph Doininicis#y Montan!, D. Fra</t>
  </si>
  <si>
    <t>Costas Castillo, Diego</t>
  </si>
  <si>
    <t>Diego Costas Castillo</t>
  </si>
  <si>
    <t>dará principio á la ensetunza y á los demas exerci^os en qu* deben ocuparse ios que sean admitidos» Don Diego Costas Castillo (cuyo paradero se ignora), 6 en su defecto sus herederos, se presentarán 6 escribirán á D. Juan García,capellán Penitenciario en el oratorio de la calle 4e Cañizares de Madrid, qu</t>
  </si>
  <si>
    <t>Cotilla, Luis</t>
  </si>
  <si>
    <t>Luis Cotilla</t>
  </si>
  <si>
    <t>ana ha promovido el Rey á Capitanes al Teniente de granaderos D. Diego de Alburquerque, al Ayudante D. Luis Cotilla y al Teniente, graduado de Capitán con funciones de Ayudante del batallón de Pardos libres de Ja Havana, D. Francisco Campos; á Ayudante al Teniente D. Diego Cabra; á Teniente de gr</t>
  </si>
  <si>
    <t>Coude Jorge Mocenigo</t>
  </si>
  <si>
    <t>empleo de gran importancia. Corfú 1$ de Setiembre. A mas de la proclama que el Coude Jorge Mocenigo, Ministro plenipotenciario del Emperador ae Rusia, publicó para notilicar su llegada, hay otra del dia 14 hecha de resultas de- mochas conferencias que ha tenido dicho Ministro con el Conde</t>
  </si>
  <si>
    <t>Coulomb</t>
  </si>
  <si>
    <t>tiene á su cargo el ramo dé puentes y calzadas, el eiud. Duquesnoy, Mayre, y el ciud. Coulomb, Secretario general del ministerio, se trasladó á la orilla del Sena para colocar la primer piedra del muelle de Bonaparte. Le esperaban el Consejero de Estado</t>
  </si>
  <si>
    <t>Couñago, Ramón</t>
  </si>
  <si>
    <t>Ramón Couñago</t>
  </si>
  <si>
    <t>.. 317- 2. Id. Ramón Couñago......... . Antonio, Rosa Minguez... Reboreda,... Tuy................ 318. 3- Id. Francisco Alvarez......... . Rodrigo,MelchoraFernan-</t>
  </si>
  <si>
    <t>CoUon</t>
  </si>
  <si>
    <t>comisario, para ¡la tomadeppseskm de esta ciudad. , • Jiíañkeim go Üe/Ñimembre. ■ Ha salido de aquí Mr. CoUon. eqiiseieror íntimo, para entregar en nombre de.S¡. A.S. B. de^Bayiera la parte, del Palatihadó del Rhin señalada a! Íríncipe de Linange, á los comisarios nombrados .por S. A. " *</t>
  </si>
  <si>
    <t>Cqrnide, Joseph</t>
  </si>
  <si>
    <t>Joseph Cqrnide</t>
  </si>
  <si>
    <t>conozca el teatro de las última* expediciones &lt;folas ¿franceses é ingjesea ¡en aquel pais : por D. Joseph Cqrnide,«de Ja Reali academia de rla bistoriaiun toma en 4? c^jlaa Jlbreiríaiide,5ancka»; calles del/Lobo y^dei Pxí/icipeyá^o es. ea Pdpclíí^of Xl cns'.^ r&gt;,■■:■:?.)*:* «i »í&gt; ^¿a.rdnjá*/</t>
  </si>
  <si>
    <t>Cracherodie</t>
  </si>
  <si>
    <t>sesiones de la asamblea general de la isla hasta que reciba respuesta de este ministerio. Ha muerto Mr. Cracherodie, sugeto acaudalado y dueño de una colección de medallas, dibuxos originales, y otras curiosidades de toda especie. Ha legado tpdo esto y también su biblioteca al museo británico,</t>
  </si>
  <si>
    <t>Crame, Felipe</t>
  </si>
  <si>
    <t>Felipe Crame</t>
  </si>
  <si>
    <t>i, D. Cárlos Reynaldp de Coup'igni, D. Joseph Lebrun, D. Manuel la Barre, D. Juan Bernardo Laporte, Don Felipe Crame, D. Francisco Ruigomez, D. Cándido Higuera, D. Diego Navarro , D. Bernardo Luque, D. Rafael Pezzino, D. Luis Ranea ño, Don Juan Meric, D. Antonio Bocarro, D. Juan Feliu, D. Juan D</t>
  </si>
  <si>
    <t>Crassam de Cefaknia</t>
  </si>
  <si>
    <t>aiduos de la magistratura económico-fedcrativa-política son: los nobles J. Ma rtinengo de Zante; J. D. Crassam de Cefaknia, y Ceecato de Corfú.——Hecho por el Senado en Corfú el i.* de Setiembre.. Firmado: Spiridrosi-JorgerTeotochi, primer Presidente." Petersbúrgb Sde Octubre, . T .. f r p P or órden d</t>
  </si>
  <si>
    <t>Cravallo, Rafael</t>
  </si>
  <si>
    <t>Rafael Cravallo</t>
  </si>
  <si>
    <t>María Lambí, D. Joseph Villaiba, Don Julián de Sequera, D. Joseph Graulle, D. Gerónimo Valladares, D. Rafael Cravallo, D. Guillermo Chicheri, D. Pedro Saenz, D. Angel de Lana, D. Felipe de la Mar, D. Angel Mijáres, D. Gerónimo Marco , D. Francisco Marcó del Pont, D. Juan Martí Mofa, D. Alonso Mor</t>
  </si>
  <si>
    <t>Crefet</t>
  </si>
  <si>
    <t>M. Católica. * - - -El dia 13 elMinistro de lo.Interior, á quien acompañaban el ciud. Crefet, Consejero de Estado que tiene á su cargo el ramo dé puentes y calzadas, el eiud. Duquesnoy, Mayre, y el ciud. Coulomb, Secretario general del ministerio, se t</t>
  </si>
  <si>
    <t>Crespo, Joseph María</t>
  </si>
  <si>
    <t>Joseph María Crespo</t>
  </si>
  <si>
    <t>aquín Puertolas, D, Vicente Pinzón, D. Félix Muñoz, D. Gines Albadalejos . D. Juan Pelayo Sánchez', D. Joseph María Crespo , D. Bartolomé Reselló, D. Miguel Valcarcel, D. Martin de la Carrera^ D. Jayme Garrofa, y D. Joseph Rich. En América. D. Joseph Arcega, D. Filomeno Cendrera, D. Antonio Figueroa,</t>
  </si>
  <si>
    <t>Crespo, Luís</t>
  </si>
  <si>
    <t>Luís Crespo</t>
  </si>
  <si>
    <t>á este empleo al Subteniente D. Cárlos Lesaea,y a-la Subtenencia de bandera,que resulta , al Cadete D. Luís Crespo: y en el de infantería de Puebla áTeniente al Subteniente de granaderos D. Joseph Cosío; á Subteniente de granaderos al de fusileros D. Miguel de la Vega, y á Subteniente de bande</t>
  </si>
  <si>
    <t>Crespo, Matías</t>
  </si>
  <si>
    <t>Matías Crespo</t>
  </si>
  <si>
    <t>31. 8. Id. Matías Crespo........ Gerónimo, Ignacia Escudero. Na va de Roa................ *55- 27. Id. Andrés de Cozasr..., Francisco,Tomasa Monsable</t>
  </si>
  <si>
    <t>Criado, Matías</t>
  </si>
  <si>
    <t>Matías Criado</t>
  </si>
  <si>
    <t>.. 404. 22. Muerto. Matías Criado ....... Andrés, Pascuala Frade... Sta.Columba. Bañeza......... 50. 15. Id. Cabo 2/ Simón Martínez.. Simón, Antonia Peña....... Palenci</t>
  </si>
  <si>
    <t>Cris y Sansón, Luis</t>
  </si>
  <si>
    <t>Luis Cris y Sansón</t>
  </si>
  <si>
    <t>o Ordoñez, D. Joseph de Salas Boxadors, Don Alonso Yusti y Herrera, D- Torquato Piedrola y Verdugo, D. Luis Cris y Sansón, D. Francisco Mendinueta, D. Joseph Orozco, y Herrera , D. Manuel Barruchi, D.Francisco Lafita, D.:Francisco Benitez y Antunez, Don Joaquín Gómez García, D.Pablo de la Puerta, D.</t>
  </si>
  <si>
    <t>Cristiano Bagnioud, Juan</t>
  </si>
  <si>
    <t>Juan Cristiano Bagnioud</t>
  </si>
  <si>
    <t>Víctor Wirtz , D. Francisco Schnernaver, Don Jayme Stóffel, D. Joseph Chaqué, D. Jayme Steudinger, D. Juan Cristiano Bagnioud, D. Francisco Zey, D. Ghristóbal Fohn, D. Joséph Trax* ler, D. Francisco Joseph Márcos de Courten * D. Casimiro de Mendoza^ D. Baltasar Samitier, D. Joseph Plano, D. Camilo Arroyo</t>
  </si>
  <si>
    <t>Crlsaníos Ayuda</t>
  </si>
  <si>
    <t>Crlsaníos Ayuda............... Eusebi^,, Antonia Castrillo. Ba fiares....... Búrgos. xt 3* Muerto. Santiago la Iglesia......... Valentjjj|j), Manuela Corra</t>
  </si>
  <si>
    <t>Cruz de Ilzarve, Juan</t>
  </si>
  <si>
    <t>Juan Cruz de Ilzarve</t>
  </si>
  <si>
    <t>ineros de la Reyna María Luisa D. Manuel Puche y Cote: en el de España á Alférez al Portaestandarte D. Juan Cruz de Ilzarve; y en el de Voluntarios de España á Capitán al Ayudante D. Joseph de Roxas, Marques de Alventos ; á primer Teniente al segundo Teniente D. Joachín Marín, y á segundo Teniente al A</t>
  </si>
  <si>
    <t>Cu, Tomás</t>
  </si>
  <si>
    <t>Tomás Cu</t>
  </si>
  <si>
    <t>Mariano Susanax'para otraCan ngia Penitenciaria de la de Alabanza, en la diócesis de Patencia ,r&gt; &amp; D. Tomas Cu en a : parala Magistral de la mismaáD. Franciscp Xavier \£yrHejb: para una Media-Ración"¿té la catedral déCuehcá, vacanté póf^miíéíte de D, AntOnlo Mazo de -la VegadaD.Pe&lt;3ró I.qpéz</t>
  </si>
  <si>
    <t>CUbillas, Juan Antonio</t>
  </si>
  <si>
    <t>Juan Antonio CUbillas</t>
  </si>
  <si>
    <t>s. 17. Id. Juan Antonio CUbillas........ Alonso , María Diez.......... Villamañan.. León................ 16. 33. Id. Manuel Moro.................... . Antonio, Gerónima</t>
  </si>
  <si>
    <t>Cucalón, Bartolomé</t>
  </si>
  <si>
    <t>Bartolomé Cucalón</t>
  </si>
  <si>
    <t>, p. Joseph Aymericb, D. Jacobo Dubrevil , D. Francisco Robles; D. Angel Fuentes, Di Diego Escovar, D. Bartolomé Cucalón, D. Diego:Niet&lt;&gt;,D. Manuel de Muro, D. Francisco Ixart ,¿0. Miguelde CastroAjaoz, p. Juan Ramirez, Do* Fernando Amador , D. Juan Clark, fif. Vicente Folch, y P. Antonio/Urquiola»</t>
  </si>
  <si>
    <t>Cuezala Bignoni, Joseph</t>
  </si>
  <si>
    <t>Joseph Cuezala Bignoni</t>
  </si>
  <si>
    <t>s de tCastro, ;D. Joseph Espinosa y Carribreleng y D. Agustín Márquez Rome=ró y /y Á Subtenientes a D, Joseph Cuezala Bignoni y D. Juan Leal y Vehjdugo:; habiendo igualmente conferido S«M.:el empleo deAyudante mayor dé.las. citadas compañías y de la Veterana fixa del mismo ramo, en aquellas islas, al Tenient</t>
  </si>
  <si>
    <t>Cumulat, Antonio</t>
  </si>
  <si>
    <t>Antonio Cumulat</t>
  </si>
  <si>
    <t>spaña, á D. Manuel Quimper, D. Francisco Rocha, D. Juan González Ferino, D. Joseph Girai de órame y Don Antonio Cumulat. Continuación del tratado de paz con S. M. Británica. Siguen las estipulaciones concernientes d Malta. j.° Se proclama la neutralidad permanente de la orden y de la isla de Malta</t>
  </si>
  <si>
    <t>Custardoy, Joseph</t>
  </si>
  <si>
    <t>Joseph Custardoy</t>
  </si>
  <si>
    <t>e la colegial de Borja, diócesis de Tara zona, con dimisión del que obtiene en la misma colegial, á D. Joseph Custardoy : para otro llamado Mongia de la iglesia parroquial de S._Pedro de Torello, diócesis de Vique, á D. Fortunato Bertrans y Téu; y para el oficio regular de Despensero mayor del Real</t>
  </si>
  <si>
    <t>Cuvier</t>
  </si>
  <si>
    <t>al y. la metió en otra. Con estas precauciones‘llegó íresco al museo , donde el ciud. Cuvier le ha disecado. ^- 7 ^ í.:ü En la sala del museo de antigüedades llamada dé las Estacioné# ¿ té Ha puesto á vista del público un precioso fragmentodé:imbaxo re</t>
  </si>
  <si>
    <t>D'Arnay</t>
  </si>
  <si>
    <t>as de S. Felipe , á xa rs. á la rústica. v Vida privada de los Romanos, obra escrita en francés por Mr. D'Arnay, y traducida por:.D. Bernardo de Cerat &lt;$n. ella se describen sus antiguas costumbre», el.origenjy afectos del luxd fen. Romi, la distribución de &gt; las horas , leyes;, trages^ sus</t>
  </si>
  <si>
    <t>D'Auture, Pedro</t>
  </si>
  <si>
    <t>Pedro D'Auture</t>
  </si>
  <si>
    <t>do D. Juan Gutiérrez: á segundo Teniente en el de infantería de Borbon al Subteniente de granaderos D. Pedro D'Auture; y ha nombrado para las capellanías del primer batallón del regimiento de Voluntarios de Castilla y segundo de Uitonia á los Presbíteros D. Bruno humeras y D. Carlos Fornás. Tambi</t>
  </si>
  <si>
    <t>D- Ramón TruxiUo</t>
  </si>
  <si>
    <t>de Suecia, y de la sociedad Real de medicina de Copenhague : traducido é ilustrado con notas por el Dr. D- Ramón TruxiUo, discípulo del Real colegio de S. Cérlos, del/Resl estudio de. medicina» práctica , a y profesor de cirugía médica en esta corté,: un tomo en 8.f Se hallará en, la librenía de Maf</t>
  </si>
  <si>
    <t>Da-Fonte, Bartolomé (almirante)</t>
  </si>
  <si>
    <t>Almirante Bartolomé Da-Fonte</t>
  </si>
  <si>
    <t>cación entre el mar del Sur y el Océano Atlántico, y refutando los del griego Juan de Fuca y el del Almirante Bartolomé Da-Fonte; y concluyó el académico de número D. 'Vicente González Arnao pronunciando el elogio del Emmo. Cardenal Arzobispo de Toledo D. Fr. Francisco Ximenez de Cisneros. Asistió á esta fu</t>
  </si>
  <si>
    <t>Dabalete, Juan</t>
  </si>
  <si>
    <t>Juan Dabalete</t>
  </si>
  <si>
    <t>de fusileros al primer Teniente de granaderos D. Agustín Tealdo, y á primer Subteniente al segundo D. Juan Dabalete: en el de Guadalaxara á primer Teniente de granaderos al de fusileros D. Rafael Líanzá : en el de León á Capitán de fusileros al Ayudante D. Martin de Lazaro*. en el de Asturias á</t>
  </si>
  <si>
    <t>Dagueseau</t>
  </si>
  <si>
    <t>, que componen 12$ rublos. Copenhague 11 de.Mayo» A yer llegó á esta capital el ciud. Dagueseau, Ministro francés cerca de este Soberano, y en breve tendrá su primera audiencia. El Rey, el Príncipe Real y su esposa se trasladarán el sábado próximo al cast</t>
  </si>
  <si>
    <t>Daguesseau</t>
  </si>
  <si>
    <t>s del gobierno, sea en puertos de Francia, sea en los de países extrangeros. El ciud. Daguesseau , Presidente del tribunal de apelación de Paris, está nombrado Ministro plenipotenciario de Francia en Dinamarca. El ciud. Sebastian, xefe de brigada del regim</t>
  </si>
  <si>
    <t>Dámaso del Castillo Larroy</t>
  </si>
  <si>
    <t>e la Contaduría mayor A D. Julián Martínez de Torres, Contador general de la Renta de la lotería; á D. Dámaso del Castillo Larroy, Contador principal de Rentas dé la provincia de Segovia ; á D. AlfonsoPerez Toresano , Subdelegado de Rentas de Alcalá de Henáres; á IX Manuel Alvarez, Administrador gene* ral de</t>
  </si>
  <si>
    <t>Dameto, Juan</t>
  </si>
  <si>
    <t>Juan Dameto</t>
  </si>
  <si>
    <t>rce y Fronce-, da , D. Toaquin Mella y Barbeyto, D. Joíeph Manuel Bilbao, D. Tuis; Tabón v Ro&lt;icme, D. Juan Dameto y,Sureda, D. Santiago Hurtado de Mendoza, Marque5 de Tabalosos, D. Joseph del Hoyo González, D.Manuel Reviray Almunia, D. Manuel Reyna y Alor, D. Joseph Serondo y¡ IMlde, D. Pedro'd</t>
  </si>
  <si>
    <t>Daniels</t>
  </si>
  <si>
    <t>675 Escriben de! Cabo de Buena Esperanza que el Dr. Somerville, Mr. Daniels, y un oficial de aquella guarnición han hecho descubrimientos importantes en lo interior del Africa , por la qual se internáron cerca de 800 millas inglesas. Siguiendo la direcció</t>
  </si>
  <si>
    <t>Dantan</t>
  </si>
  <si>
    <t>pia de los preliminares en lengua turca, pidiéndole otra en lengua francesa. El ciud. Dantan, intérprete de la legación, tuvo el 10 una audiencia del Reis-Eífendi, quien, después de varias expresiones lisonjeras A favor del Ministro Ruffin# levantando</t>
  </si>
  <si>
    <t>las fronteras al ciud, Dupas, Ayudante superior del palacio del gobierno, y al ciud. Dantan, primer intérprete de la legación francesa en Constantinopla. El dia que el Cuerpo legislativo dio fin á las ¡untas de su serion extraordinaria, se presentaron</t>
  </si>
  <si>
    <t>Dantron</t>
  </si>
  <si>
    <t>ana se sintió un terremoto cuyo movimiento de oscilación era de norte á sur. El ciud. Dantron, intérprete de la Embaxada francesa en Constantinopla, ha transitado por aquí yendo á Paris con el mismo correo que llevó Ips preliminares de paz al Gran Señor</t>
  </si>
  <si>
    <t>Daporta, Romualdo</t>
  </si>
  <si>
    <t>Romualdo Daporta</t>
  </si>
  <si>
    <t>...... 14S. 26. Id. Romualdo Daporta............. Josef, Juliana Lucio....... S Adrián.... Santiago......... 160. 19. Id. Miguel Perez...................... Francisco, Antonia Alonso. S. Andrés del</t>
  </si>
  <si>
    <t>Darcourt, Antonio</t>
  </si>
  <si>
    <t>Antonio Darcourt</t>
  </si>
  <si>
    <t>once de León, D. Francisco Soler, el Conde de Maceda, D. Joseph Bermudez de Castro, D. Roque Antía, D. Antonio Darcourt, D. Tomas Kindelan , D. Juan de Dios Alvarez Ordoño, D. Gabriel Mendizabal, D. Ignacio Martinez Vallejo, D. Matías Piriz, D. Pedro Baylin, D. Bartolomé de Castro, D. Santiago Puig</t>
  </si>
  <si>
    <t>Darsens, Pedro</t>
  </si>
  <si>
    <t>Pedro Darsens</t>
  </si>
  <si>
    <t>onel los Tenientes Coroneles! en España. D. Mateo Iruegas, D. Narciso Belloc, D. Agustra del Campo, Don Pedro Darsens, D. Francisco Tirado, D. Diego María Fiballer, D. Jayme García Conde, D, Manuel Jáuregui, D. Cárlos Reynaldp de Coup'igni, D. Joseph Lebrun, D. Manuel la Barre, D. Juan Bernardo L</t>
  </si>
  <si>
    <t>Daunoy, Carlos</t>
  </si>
  <si>
    <t>Carlos Daunoy</t>
  </si>
  <si>
    <t>D. Carlos Conde de Moy ; á Alféreces de granaderos á los de fusileros D. Juan Nepomuceno de Prats, D. Carlos Daunoy y D. Antonio Cao Beños de Les, y á Alférez de fusileros al Cadete D. Gaspar de Aramendi. En el Real cuerpo de Artillería ha conferido el Rey el empleo de Teniente Coronel al Capitán,</t>
  </si>
  <si>
    <t>Davadié, Juán</t>
  </si>
  <si>
    <t>Juán Davadié</t>
  </si>
  <si>
    <t>enez, D. Ma^ nuél Díaz, D. Martilel Fprcarda, I&gt;. Manuel Teran, D. Joaquín Ribera^ D;; Pedro Muñoz, D, Juán Davadié , D. Agustín Sánchez, I}. Manuel Mo¿ ro, D: EugenioTontas y Alcalá, D. Miguel Rodríguez, D. FranciscO dé Borja , D. Diego; Encina , D. Manuel de la Cruz., D¿ Diego de Mesa , fc)oñ</t>
  </si>
  <si>
    <t>David Díaz</t>
  </si>
  <si>
    <t>a................. Isidro , Francisca Vidal.... S. Román.... León.............. soi. i2. Id. Cadete D. David Díaz........ D. Pedro, Doña Isabel Evia. Mieres........... Oviedo........... 83. 30. Id. Juan García........................ Josef, María Cabreros..... Villamañan.. León..............</t>
  </si>
  <si>
    <t>Dávila de Carabineros, Manuel</t>
  </si>
  <si>
    <t>Manuel Dávila de Carabineros</t>
  </si>
  <si>
    <t>0. Manuel Malagon; á Capitanes á los Tenientes 0. Domingo Cevallos, agregado á dicho regimiento, y D. Manuel Dávila de Carabineros ; á Teniente de Carabineros al Teniente D. Escolástico Quiñones; á Teniente al Alférez D. Francisco Medrano , y á Alféreces á los Sargentos primeros D. At^pasio Quadra, de Carabin</t>
  </si>
  <si>
    <t>Dávila y Maza, Luis</t>
  </si>
  <si>
    <t>Luis Dávila y Maza</t>
  </si>
  <si>
    <t>ento provincial de Granada. Retirado el cuerpo, concurrió por la noche á casa del Teniente de S. A, D. Luis Dávila y Maza, donde estaba convidada la nobleza, ministerio, xefes y cuerpos distinguidos, á quienes se sirvió un espléndido refresco, durante el que hubo varios conciertos. Barcelona lo de No</t>
  </si>
  <si>
    <t>Dávila, Gregorio</t>
  </si>
  <si>
    <t>Gregorio Dávila</t>
  </si>
  <si>
    <t>.. 15. Id- Gregorio Dávila... Juan, Lucía Fernandez.... Sta. María de Vide..</t>
  </si>
  <si>
    <t>Dávila, Tomás</t>
  </si>
  <si>
    <t>Tomás Dávila</t>
  </si>
  <si>
    <t>es á los Sargentos primeros D. At^pasio Quadra, de Carabineros , y D. Jóséph de Guerra, y al Cadete D. Tomas Dávila. También ha concedido $. M. agregación de Alférez al referido cuerpo de Milicias de caballería á D. Manuel de Andino. 1 El Consejo, i consulta de la Comisión gubernativa de consol</t>
  </si>
  <si>
    <t>Daza y García, Miguel</t>
  </si>
  <si>
    <t>Miguel Daza y García</t>
  </si>
  <si>
    <t>l Lasqueti y Lasqueti , D. Miguel Pascual y Menocal, Don Ramón Rato y Ramírez, fk Roque Díaz Pardo, D. Miguel Daza y García, D. Diego Padura y Vargas, D. Juan Pinedo y Anuncibay, D. Ramón Truliól y Andreu, D. Juan Olaegui y Aguilar, D. Agustín Manglano y Ruiz, D. Víctor Vinader y Paz, D. Vicente de Lag</t>
  </si>
  <si>
    <t>de Abarca y Lude, Manuel</t>
  </si>
  <si>
    <t>Manuel de Abarca y Lude</t>
  </si>
  <si>
    <t>nes admisibles, se procederá al remate en la casa de Intendencia. Por fallecí miento del presbítero D. Manuel de Abarca y Lude fía, qué residió en ésta corte y en la ciudad de Toledo, se halla vacante uná Capellanía colativa ; que fundó la Sra. Dolía Isabel Marra de la Cruz Ahedo, Marquesa que fue de Ugen</t>
  </si>
  <si>
    <t>de Abarróla, Manuel</t>
  </si>
  <si>
    <t>Manuel de Abarróla</t>
  </si>
  <si>
    <t>ador de Marina y Director de la Renta de tabacos de la Havana. Honores de Intendente de provincia A D. Manuel de Abarróla, Comisario Ordenador de los Reales exércitos; á D. Juan de Villanueva, Comisario Ordenador honorario, y Arquitecto mayor de Reales obras y de la villa de Madrid, y á D. Francisco</t>
  </si>
  <si>
    <t>de Abaxo, Alonso</t>
  </si>
  <si>
    <t>Alonso de Abaxo</t>
  </si>
  <si>
    <t>13. Id. Alonso de Abaxo.................. Alexandro,Cecilia Quintana Cilleruelo.... Búrgos........... 34. 30. Id. Josef Ponce.......................... Sebastian, Margar</t>
  </si>
  <si>
    <t>de Abreu y del Moral, Joseph</t>
  </si>
  <si>
    <t>Joseph de Abreu y del Moral</t>
  </si>
  <si>
    <t>mayor de la villa de Socuéllamos, territorio de la orden de Santiago, de primera clase ó entrada, á D. Joseph de Abreu y del Moral. También ha concedido S. Ai. honores de Alcalde del crimen de la Audiencia de Pfxtremadura á D. Antonio Reynard, Catedrático de Vísperas de Leyes de la universidad de Salamanca, y</t>
  </si>
  <si>
    <t>de Acedo y Atodo, Manuel María</t>
  </si>
  <si>
    <t>Manuel María de Acedo y Atodo</t>
  </si>
  <si>
    <t>r. Atalay, en Cádiz á D. Joseph Ignacio de Inciarte, ó en Madrid á los Sres. Galarza y. Goycoeche§. Don Manuel María de Acedo y Atodo , residente en la villa de Vergara, como patrono,que.es de upa capellanía .mere lega, ó memoria de misas, fundada por. 3). Gaspar Martínez de; Loyola e.n?idicha^ villa , con .llam</t>
  </si>
  <si>
    <t>de Acuña, Pedro</t>
  </si>
  <si>
    <t>Pedro de Acuña</t>
  </si>
  <si>
    <t>interior ni exterior: que la vacunación. Apasionados á este admirable preservativo de las viruelas D. Pedro de Acuña y D. Matías Pablo Blanco, sin embargo de tener nada equívocos indicios de: haber pasado: viruelas, naturales en su niñez, se hiciéron vacunar: el primero da experimento Falsa y y al s</t>
  </si>
  <si>
    <t>de Afranca y Mendoza, Joseph</t>
  </si>
  <si>
    <t>Joseph de Afranca y Mendoza</t>
  </si>
  <si>
    <t>odos los dias sobre los novísimos &amp;c., sacado de la sagrada Escritura y de Sta. Teresa de Jesús por D. Joseph de Afranca y Mendoza, oficial de rentas Reales : un tomo en 12.0 añadido en esta impresión; en pasta á 4 rs, j y por mayor la docena en papel á f 8 rs., y en pasta á 30, Se hallará en casa del autor,</t>
  </si>
  <si>
    <t>de Agüero y Concha, Santiago</t>
  </si>
  <si>
    <t>Santiago de Agüero y Concha</t>
  </si>
  <si>
    <t>a cantidad con él rédito de quatro por ciento baxo todas lis seguridades^ necesarias, se dirigirá á D. Santiago de Agüero y Concha, Tertien^e deAlférez mayor del Ayuntamiento de la referida ciudad, comisionado paira éste asunto. - ^ ^ - 1 Anales de ciencias naturales; numero 13, contiene: discurso leído poí*</t>
  </si>
  <si>
    <t>de Aguíiar, Joseph</t>
  </si>
  <si>
    <t>Joseph de Aguíiar</t>
  </si>
  <si>
    <t>ra ei Préstamo de Cavaniilas del Campo, en el arzobispado de Toledo, que vacará por la promoción de D. Joseph de Aguíiar á una Canongía de la metropolitana de la reterida ciudad de Toledo, á D. Francisco Gómez Serrano: y para una Canongía de la colegial de Roa, diócesis de Osma, vacante por fallecim</t>
  </si>
  <si>
    <t>de Aguilar y Valdes, Joseph</t>
  </si>
  <si>
    <t>Joseph de Aguilar y Valdes</t>
  </si>
  <si>
    <t>colegial: para otra de la metropolitana de Toledo, vacante por fallecimiento de D. Joseph Blanco, á D. Joseph de Aguilar y Valdes: para otra de la catedral de Cuenca, vacante por muerte de D. Antonio Lara , á I). Miguel Alonso Alcalá: para una Ración de la de Plasencia, vacante por fallecimiento de D. Angel</t>
  </si>
  <si>
    <t>de Aguilar, Manuel</t>
  </si>
  <si>
    <t>Manuel de Aguilar</t>
  </si>
  <si>
    <t>cántara á segundo Teniente al Alférez D. Pedro Blesa: en el de Santiago á Portaestandarte al Cadete D. Manuel de Aguilar: en el de Voluntarios de España á primer Teniente al segundo Teniente D. Miguel Marín , y ;á Alférez al Cadete D. Joseph Muñoz de Baena. El 3 deL corriente falleció de edad de 53</t>
  </si>
  <si>
    <t>de Aguilon, Gerónimo</t>
  </si>
  <si>
    <t>Gerónimo de Aguilon</t>
  </si>
  <si>
    <t>ión de la Misión de la ciudad de Barbastro el dia 19 de Julio de 179a el Dr. D. Gerónimo de Aguilon , Canónigo Magistral.de aquella catedral. Se hallará á 3 rs. en la imprenta y librería de Doblado, calle de Barrionuevo; en Zaragoza en la de Polo y Monge,&gt;y en Barcelona en la casa de PP. S</t>
  </si>
  <si>
    <t>de Aguirre y Bengoa, Juan Fernando</t>
  </si>
  <si>
    <t>Juan Fernando de Aguirre y Bengoa</t>
  </si>
  <si>
    <t>ltima, capítulo de Madrid, pág. 701 ¿ donde dice D. Juan Fernandez de Aguirre y Bengoa, debió decir D. Juan Fernando de Aguirre y Bengoa, . 1 ( "i i ü/.11" I1 ■*■■■ mt ;....... — . ......... 1 11 . ......... . ■■ • Anales de ciencias naturales, mím. 14, contiene: discurso que D. Antonio Joseph Cavanilles leyó en el</t>
  </si>
  <si>
    <t>de Aguirre, Diego</t>
  </si>
  <si>
    <t>Diego de Aguirre</t>
  </si>
  <si>
    <t>e Santiago al Teniente, graduado de Capitán, D. Joseph del Campo; y i Alférez en el mismo al'Cadete D. Diego de Aguirre. S. M. se ha servido nombrar.para la Vara de Alcalde mayor Teniente dé, Corregidor mas moderno de Madrid , que resulta vacante por promo</t>
  </si>
  <si>
    <t>de Aguirre, Joseph María</t>
  </si>
  <si>
    <t>Joseph María de Aguirre</t>
  </si>
  <si>
    <t>á D. Joseph riano Márquez y Aguilar ; y para la Vara de Alcalde mayor de I4 villa d? S.. Clemente á D. Joseph María de Aguirre. En América. El Rey se ha servido nombrar para la Maestrescolía de la catedral de Buenos-Ayres, vacante por fallecimiento de D. Francisco Tubau y Sala, al Canónigo Magistral de la</t>
  </si>
  <si>
    <t>de Aíedina, Ramón</t>
  </si>
  <si>
    <t>Ramón de Aíedina</t>
  </si>
  <si>
    <t>l segunde» Teniente D. Juan Alontoya; y en el de Alálaga primera Subtenencia al segundo Subteniente D. Ramón de Aíedina, y segunda Subtenencia al Cadete D. Joseph de Galvez Alercier; habiendo conferido igualmente S. M. Compañía en el de dragones de Almansa al Ayudante, graduado de Capitán, D. fosep</t>
  </si>
  <si>
    <t>de Aiscar y Piedrola, Antonio</t>
  </si>
  <si>
    <t>Antonio de Aiscar y Piedrola</t>
  </si>
  <si>
    <t>o Fernandez, D.Francisco Xavier Radillo, D» Benito Basabe y UJente, Dón Francisco Toubes y Ordoñez, D. Antonio de Aiscar y Piedrola , D. Anicetó Quixano y Arce, D. Fernando Ordoñez, D. Joseph de Salas Boxadors, Don Alonso Yusti y Herrera, D- Torquato Piedrola y Verdugo, D. Luis Cris y Sansón, D. Francisco Mend</t>
  </si>
  <si>
    <t>de Alarcon, Juan</t>
  </si>
  <si>
    <t>Juan de Alarcon</t>
  </si>
  <si>
    <t>s de todas clases, sexos y edades. Los profesores D. Francisco Meseguer, médico , D. Jayme Cebrian, D. Juan de Alarcon y D. Andrés Martínez , cirujanos, han acompañado al referido profesor é imitado su fácil y sencillo método, y, continúan propagando la vacunación con igual acierto. La observación sig</t>
  </si>
  <si>
    <t>de Albarado, Ignacio</t>
  </si>
  <si>
    <t>Ignacio de Albarado</t>
  </si>
  <si>
    <t>ada, á D. Domingo Larrion, Dignidad de Tesorero de la propia iglesia: para la Tesorería al Canónigo D. Ignacio de Albarado: para la Canongía al Racionero D. Matías Querejazu; y para la Ración al Medio-Racionero D. Pedro Nolasco de Toro y Albarado. El dia 20 de Febrero falleció en esta corte, á los año</t>
  </si>
  <si>
    <t>de Álbarrilla, Juan</t>
  </si>
  <si>
    <t>Juan de Álbarrilla</t>
  </si>
  <si>
    <t>. Joseph María Cano, D. Francisco Real,-D. Vícéfíté Salcedo, D. Lúeas de Mena, D. Joseph Viladomar, D. Juan de Álbarrilla, D. Gonzalo Martínez, D. Cosme Marín, D. Serafín del Rincón, D. Mariano Carrasco, D. Vicente Pico, í). Antonio Arias , D. Joseph Espinosa, D. Miguel de Gerona, D. Manuel Henriquez</t>
  </si>
  <si>
    <t>de Albedyhl, Barón</t>
  </si>
  <si>
    <t>Barón de Albedyhl</t>
  </si>
  <si>
    <t>er es Mr. de Zibet. El viérnes último fueron presentados al Rey y á la Reyna el Barón de Albedyhl, Coronel ruso, que llegó aquí como correo, y el Barón de Binder, Secretario de la embaxada de. Viena. Se ha dado principio á la pesca del arenque; pero está todavía tan flaco, que casi no</t>
  </si>
  <si>
    <t>de Albiui, Barón</t>
  </si>
  <si>
    <t>Barón de Albiui</t>
  </si>
  <si>
    <t>inaria del Imperio habrá cejebrado su primer sesión el día 23, presidida por el Barón de Albiui, Ministro de Maguncia. Los Ministros franceses Láforet Mathieu y Bacher tienen freqíiei tes conferencias con el Conde de Goertz, Mr. de Buhler y el Barón de Rechberg, Ministros de Prusia, R</t>
  </si>
  <si>
    <t>de Alburquerque, Diego</t>
  </si>
  <si>
    <t>Diego de Alburquerque</t>
  </si>
  <si>
    <t>n el regimiento de infantería de JaHavana ha promovido el Rey á Capitanes al Teniente de granaderos D. Diego de Alburquerque, al Ayudante D. Luis Cotilla y al Teniente, graduado de Capitán con funciones de Ayudante del batallón de Pardos libres de Ja Havana, D. Francisco Campos; á Ayudante al Teniente D</t>
  </si>
  <si>
    <t>de Alburtpierque, Ramón</t>
  </si>
  <si>
    <t>Ramón de Alburtpierque</t>
  </si>
  <si>
    <t>alido ; y en el batallón de cazadores Voluntarios de Barbastro á Capitán primero al primer Ayudante D. Ramón de Alburtpierque; á Capitán segundo al primer Teniente D. Isidro Azcura, y á primer Subteniente ai segundo D. Joseph Gutiérrez. El Rey ha nombrado Teniente del Real cuerpo de artillería al Subteni</t>
  </si>
  <si>
    <t>de Aldazabal, Francisco Xavier</t>
  </si>
  <si>
    <t>Francisco Xavier de Aldazabal</t>
  </si>
  <si>
    <t>to de D. Pedro Gallegos, á D. Juan de Dios Pereyra, Dignidad de Tesorero dé la misma; y para esta á D. Francisco Xavier de Aldazabal, Canónigo Magistral de la propia iglesia. El Rey se ha servido conceder Tenencia en el regimiento de infantería de la Corona fixo de Nueva-España á D. Estéban Gispert, Guardia de</t>
  </si>
  <si>
    <t>de Aldunate, Rafael</t>
  </si>
  <si>
    <t>Rafael de Aldunate</t>
  </si>
  <si>
    <t>eo; y el Beneficio de Tena jas, vacante en la misma diócesis por muerte de D. Francisco Carrillo, á D. Rafael de Aldunate , con retención de la demás renta eclesiástica que goza. Asimismo se ha servido S. conferir plaza de Ministro de capa y es— áda del Consejo de Indias, vacante por jubilación del S</t>
  </si>
  <si>
    <t>de Almada, Pedro</t>
  </si>
  <si>
    <t>Pedro de Almada</t>
  </si>
  <si>
    <t>e la catedral del Paraguay, vacante por fallecimiento de .D-Antonio Sánchez, al Chantre de la misma D. Pedro de Almada: para la Chantría al Tesorero D. Gavino de Echevarría y Gallo: para la Tesorería á D. Antonio Miguel de Arcos y Matas, Canónigo de la propia; y parra «esta Canongía á Don Juan Bap</t>
  </si>
  <si>
    <t>de Alva, Manuel</t>
  </si>
  <si>
    <t>Manuel de Alva</t>
  </si>
  <si>
    <t>brar para la Canongía de la catedral de Segó-» via , vacante por fallecimiento de D. Juan Vallej.oá D. Manuel de Alva-&gt; ro Benito ; y para, la Capellanía, Real de la capilla de. Granada , que. ha va-» cado por promoción de D. Juan Rafael PorceLá la Abadía de Sta, Fe, Dignidad de la metropolitana d</t>
  </si>
  <si>
    <t>sco Xavier de Mendíri, D. Bartolomé Ladrón de Guevara, D. Gerónimo Montóya, Don Manuel de la Breña, D. Manuel de Alva, D. Juan Vázquez, D. Alberto Moreyra, D. Joseph de Lago, D. Juan María de Moráles, Dé 'Joseph Coppola, D. Pedro Antonio Casasola^'D. Joseph*Molina , D. Miguel Taboada, D. Pedro Es</t>
  </si>
  <si>
    <t>de Amigint y Leonardo, Joseph</t>
  </si>
  <si>
    <t>Joseph de Amigint y Leonardo</t>
  </si>
  <si>
    <t>ería á D. Joseph Masilla, Teniente de granaderos del propio cuerpo. El Rey ha venido en confirmar á D. Joseph de Amigint y Leonardo, para sí, sus hijos y sucesores, el título de Conde del Fonollar* concedido por ei Sr. Emperador D, Carlos vi de Alemania á su causante D. Joseph. ae Amigant, para sí, sus hereder</t>
  </si>
  <si>
    <t>de Amoedo, Juan</t>
  </si>
  <si>
    <t>Juan de Amoedo</t>
  </si>
  <si>
    <t>rra... 140. IO. Id. Juan de Amoedo....... ..../. Mateo, Isabel Miguez...,... Amoedo...... . Roboreda.... ZOO. 32. Id.</t>
  </si>
  <si>
    <t>de Ampudia, Manuel</t>
  </si>
  <si>
    <t>Manuel de Ampudia</t>
  </si>
  <si>
    <t>er la Intendencia de la provincia de San Luis Potosí, en Nueva España, al Capitán de Navio graduado D. Manuel de Ampudia : la Dirección de la Lotería de México al Coronel. D. Luis Noailies ; y el empleo de Ministro Contador de las Reales Caxas de San Luis Potosí, en el propio Reyno, á D. Joseph Caba</t>
  </si>
  <si>
    <t>de Anaya, Ramón</t>
  </si>
  <si>
    <t>Ramón de Anaya</t>
  </si>
  <si>
    <t>deros de D. Nicolás de Ñipóles y Arévalo, natural de la ciudad da Cuba en ludias, deberán ocurrir á D. Ramón de Anaya, que vive en Medriíi,,calle de la Espada, núm. 7, quarto principal, quien tiene encargado avisarles la que deben hacer para la partición de bienes; í ignora el nombre de la muger</t>
  </si>
  <si>
    <t>de Anda, Juan Francisco</t>
  </si>
  <si>
    <t>Juan Francisco de Anda</t>
  </si>
  <si>
    <t>rvido nombrar para una plaza de Oidor de la Real Audiencia .de México, vacante por fallecimiento de D. Juan Francisco de Anda, á D. Joseph Mesía y Caycedo, Alcalde del Crimen de la propia Audiencia. . : - i El'Gonsejo, iL consulta de la Gomision gubernativa^y con aprobación de S. M* »lha acordado que se</t>
  </si>
  <si>
    <t>de Anda, Pedro</t>
  </si>
  <si>
    <t>Pedro de Anda</t>
  </si>
  <si>
    <t>I04i Graduado D. Tomas Barreda. A Tenientes de Navfo los de Fragata D. Pedro de Anda,D. Vicente Bernabeu, D. Mariano Segovia, Don Francisco Colmenares y Lastiri, D. Joaquín Bilbao y Angosto, D. Rafael Asprer y Janer,D.Francisco Pareja y Tortolero,D. Joseph Labayen</t>
  </si>
  <si>
    <t>de Andino, Manuel</t>
  </si>
  <si>
    <t>Manuel de Andino</t>
  </si>
  <si>
    <t>la. También ha concedido $. M. agregación de Alférez al referido cuerpo de Milicias de caballería á D. Manuel de Andino. 1 El Consejo, i consulta de la Comisión gubernativa de consolidación de Vales, y coa aprobación de S. M.:, ha acordado la quadragesimaóctava amortización de 443 de 600 pesos de M</t>
  </si>
  <si>
    <t>de Andircngoechea, Joseph</t>
  </si>
  <si>
    <t>Joseph de Andircngoechea</t>
  </si>
  <si>
    <t>ue sentó plaza en uno de los regimientos de caballería hace 14 á 16 años, la comunicará en Bilbao á D. Joseph de Andircngoechea, y en Madrid á D. Leonardo Vicente de Zuloaga. Práctica de las enfermedades asténicas ó de debilidad fundada en la experien-é cia y en la doctrina browniana; opúsemos nono y décim</t>
  </si>
  <si>
    <t>de Ando, Juan Manuel</t>
  </si>
  <si>
    <t>Juan Manuel de Ando</t>
  </si>
  <si>
    <t>argo de Don Joseph Milano Cadérécha. Se solicita saber el paradero y existencia de los herederos de D. Juan Manuel de Ando, y de su muger DofiaMaria de Mier, vecinos y def comercio que fuéron del puerto de Santa María. Quien lo supiere dará razón ¿1 M. RV P. Présén— .. ttdo Fr. Sebastian Caballero, de</t>
  </si>
  <si>
    <t>de Andraca, Joseph Ramón</t>
  </si>
  <si>
    <t>Joseph Ramón de Andraca</t>
  </si>
  <si>
    <t>ijiat, D. Joseph Fortuno, D. Joaquín Ollés de Regales; y en la clase de buenos, D. Fabian Lorenté', D. Joseph Ramón dé Andraca, D. Benito Sánchez, D. Manuel Ased, D. Manuel Garcés y D¿ Liborio Mirálles. ’_-Se distribuyéron premios á todos los alumnos de ambas cátedras que quedan nombrados, conforme á su r</t>
  </si>
  <si>
    <t>de Antón y Espeja, Julián</t>
  </si>
  <si>
    <t>Julián de Antón y Espeja</t>
  </si>
  <si>
    <t>Carta familiar escrita á D. Julián de Antón y Espeja contra su Discurso apologético en favor de los teatros, pon JO. Luis Santiago Bado, catedrático de matemáticas por S. M. en la ciudad de Murcia: segunda impresión. Se hallará en l</t>
  </si>
  <si>
    <t>de Aramendi, Gaspar</t>
  </si>
  <si>
    <t>Gaspar de Aramendi</t>
  </si>
  <si>
    <t>muceno de Prats, D. Carlos Daunoy y D. Antonio Cao Beños de Les, y á Alférez de fusileros al Cadete D. Gaspar de Aramendi. En el Real cuerpo de Artillería ha conferido el Rey el empleo de Teniente Coronel al Capitán, graduado de Teniente Coronel, D. Rafael de Arce y Albalá, y el de Teniente ai Subten</t>
  </si>
  <si>
    <t>de Aranda, Juan Joseph</t>
  </si>
  <si>
    <t>Juan Joseph de Aranda</t>
  </si>
  <si>
    <t>ue está destinada la casa dé labor y piedad qué dirigen D Andrés de Viedma, Coronel de exéjfcito, y D. Juan Joseph de Aranda, Maectrai te, se sostiene á expensas de Den Fernando María de Valenzueia Prado , Director de este cuerpo; D. Joseph Martínez de Mazas, Dean de esta santa iglesia; D. Joseph Gómez,</t>
  </si>
  <si>
    <t>de Aranza, Blas</t>
  </si>
  <si>
    <t>Blas de Aranza</t>
  </si>
  <si>
    <t>M. conceder honores de Consejero del Supremo de Guerra al Intendente de este exército y Principado D. Blas de Aranza,y al del exército de Castilla la Vieja D. Cesáreo de Gardoqui; y el empleo de Comisario Ordenador en propiedad coa el sueldo de tal al de Guerra D. Antonio Vago. Madrid J2 de Octu</t>
  </si>
  <si>
    <t>de Arau, Juan</t>
  </si>
  <si>
    <t>Juan de Arau</t>
  </si>
  <si>
    <t>eración eruenta, tan expuesta á fatales conseqiiencias &amp;c., se le presentó aquí Juan de Arau, vecino de Alcalá, para que le registrase unas supuestas almorranas; y reconocido por Bucelli, le halló con tres fístulas, las dos completas, muy profundas, y una incompleta , perpendicul</t>
  </si>
  <si>
    <t>de Árbayza, Joaquín</t>
  </si>
  <si>
    <t>Joaquín de Árbayza</t>
  </si>
  <si>
    <t>la ciudad. En las compañías sueltas de Milicias de Jaén de Bracamoros ha nombrado S. M. Capitanes á D. Joaquín de Árbayza, Sargento mayor que fue de Milicias , y á D. Eduardo Bravo, Subteniente de las mismas compañías; Tenientes al Subteniente D. Domingo Barrantes y á D. A gustin Córdoba, y Subtenien</t>
  </si>
  <si>
    <t>de Arberas y Larragpri, Domingo</t>
  </si>
  <si>
    <t>Domingo de Arberas y Larragpri</t>
  </si>
  <si>
    <t>alle jo, Intendente de la provincia de Valladolid; á Don Clemente Campos, que lo es de la Mancha; á D. Domingo de Arberas y Larragpri, Intendente honorario de provincia; á D. Juan de Piña y Rair, Idem, y sLD. Rafael Gómez Rombau, Comisario Ordenador de Marina y Director de la Renta de tabacos de la Havana. Honor</t>
  </si>
  <si>
    <t>de Arce y Albalá, Rafael</t>
  </si>
  <si>
    <t>Rafael de Arce y Albalá</t>
  </si>
  <si>
    <t>illería ha conferido el Rey el empleo de Teniente Coronel al Capitán, graduado de Teniente Coronel, D. Rafael de Arce y Albalá, y el de Teniente ai Subteniente de minadores D. Manuel Guinea. En América. S. M. se ha servido conferir el gobierno de las islas Marianas al Capitán D. Alexandro Parreño , Ayudan</t>
  </si>
  <si>
    <t>de Arce, Francisco Manuel</t>
  </si>
  <si>
    <t>Francisco Manuel de Arce</t>
  </si>
  <si>
    <t>a Intendencia de exército y Real hacienda de la provincia de Venezuela y sus agregadas en Caricas á D. Francisco Manuel de Arce;. y y debe decir á D. Juan Vicente de Arce , Comisario ordenador de los Reales exércitos. El 31 de Marzo á las 12 déla mañana se perdieron unas cédulas de la Real casa de descuent</t>
  </si>
  <si>
    <t>de Arce, Juan Vicente</t>
  </si>
  <si>
    <t>Juan Vicente de Arce</t>
  </si>
  <si>
    <t>provincia de Venezuela y sus agregadas en Caricas á D. Francisco Manuel de Arce;. y y debe decir á D. Juan Vicente de Arce , Comisario ordenador de los Reales exércitos. El 31 de Marzo á las 12 déla mañana se perdieron unas cédulas de la Real casa de descuentos , desde el portal de Guadalaxara, calle</t>
  </si>
  <si>
    <t>de Arce, Ramón Joseph</t>
  </si>
  <si>
    <t>Ramón Joseph de Arce</t>
  </si>
  <si>
    <t>a servido nombrar para la iglesia y arzobispado de Burgos, que vacó por la traslación del limo. Sr. D. Ramón Joseph de Arce al de Zaragoza, al Sr. D. Manuel Cid Monroy, Dean de la catedral de Zamora. En la Compañía Americana del Real cuerpo de Guardias de Corps se ha servido el Rey promover á Brigadier</t>
  </si>
  <si>
    <t>de Bureos y D. Manuel Gómez de Salazar , Obispo de Avila ; fué. su consagrante el Excmo. é Umo. Sr. D. Ramón Joseph de Arce, Arzobispo .de Zaragoza, InqtV iclor generalv asistentes los limos. Obispos de Puerto Rico y Caristo; y padrino del primero el Excmo. Sr. Marques de Astorga, Conde de Altamira, y‘</t>
  </si>
  <si>
    <t>de Arcos y Matas, Antonio Miguel</t>
  </si>
  <si>
    <t>Antonio Miguel de Arcos y Matas</t>
  </si>
  <si>
    <t>Pedro de Almada: para la Chantría al Tesorero D. Gavino de Echevarría y Gallo: para la Tesorería á D. Antonio Miguel de Arcos y Matas, Canónigo de la propia; y parra «esta Canongía á Don Juan Baptista Quin de Valdovinos. Por Real cédula de 4 de este mes se ha servido* S.. V. conceder permiso á los lugares de San</t>
  </si>
  <si>
    <t>de Arcos, Francisco Xavier</t>
  </si>
  <si>
    <t>Francisco Xavier de Arcos</t>
  </si>
  <si>
    <t>na. El Rey ha promovido á segundo Subteniente en el regimiento de infantería de la Corona al Cadete D, Francisco Xavier de Arcos: á primer Teniente en el de Granada al segundo D. Juan Gutiérrez: á segundo Teniente en el de infantería de Borbon al Subteniente de granaderos D. Pedro D'Auture; y ha nombrado pa</t>
  </si>
  <si>
    <t>de Arguedas, Luis</t>
  </si>
  <si>
    <t>Luis de Arguedas</t>
  </si>
  <si>
    <t>eación de Mayo , núm. 492,548, endosado por los Directores de la Real Caxa de Descuentos á favor de D. Luis de Arguedas. Quien supiere de él avisará á D. Ramón Ruiz,calle de la Sal, en Madrid. A virtud de providencia del limo. Sr. Conde de S. Christóbal , del supremo Consejo de la Guerra, honorario</t>
  </si>
  <si>
    <t>de Armenta y Godoy, Francisco</t>
  </si>
  <si>
    <t>Francisco de Armenta y Godoy</t>
  </si>
  <si>
    <t>Rey se ha servido nombrar para una Ración de la metropolitana de Sevilla, vacante por promoción de D. Francisco de Armenta y Godoy á otra de la catedral de Córdoba, á D. Matías Muriel y Gómez, Cura de la parroquial de S. Miguel de dicha ciudad de Sevilla: para otra de la catedral de Avila, vacante por promoci</t>
  </si>
  <si>
    <t>de Armenta y Godoy, Rafael</t>
  </si>
  <si>
    <t>Rafael de Armenta y Godoy</t>
  </si>
  <si>
    <t>Durwel. En el regimiento de caballería del Rey se ha servido S. M. promover á 'Capitán al Ayudante D. Rafael de Armenta y Godoy, y á Alférez al Portaestandarte D. Baltasar Belmonte : en el de la Reyna á Portaestandarte al Cadete D. Ramón Collantes: en el del Principe á segundo Teniente al Alférez D. Manuel</t>
  </si>
  <si>
    <t>de Armenta, Francisco</t>
  </si>
  <si>
    <t>Francisco de Armenta</t>
  </si>
  <si>
    <t>misma colegial: para el Beneficio de la villa de la Rambla ^ en la diócesis-de Córdoba, que obtenía D. Francisco de Armenta, y resulta vacante por haber pasado á Racionero de aquella catedral , á D. Joseph Mercado : para otro de la villa de la Fuente de Pedro Narro, en la diócesis de‘Cuenca, vacante po</t>
  </si>
  <si>
    <t>de Arnandi, Rafael Joseph</t>
  </si>
  <si>
    <t>Rafael Joseph de Arnandi</t>
  </si>
  <si>
    <t>tín Sánchez. S. M. se ha servido nombrar para una plaza de Oidor de lá Real Au* diencia de Aragón á D. Rafael Joseph de Arnandi; y para la del Crimen, que este obtiene en la propia Audiencia, á D. Ramón María Sevillano Lójrcnzana y Camacho. En América. El Rey se ha servido nombrar para la Dignidad de fresc</t>
  </si>
  <si>
    <t>de Arnica, Joseph Ramón</t>
  </si>
  <si>
    <t>Joseph Ramón de Arnica</t>
  </si>
  <si>
    <t>iencias. Tuviérón también su.s exercicios D. Fabian Lorente, de tercer año, D. Escolástico Laviila, D. Joseph Ramón de Arnica y el Dr. D. Joaquín Oiiés de Regales y y unos y otros respondiérón á quanto lés preguhtárónlos exámínadóresy con el lucimiento y* aeiei té Correspondiente á la aplicación y aprovecham</t>
  </si>
  <si>
    <t>de Arosemana, Francisco Xavier</t>
  </si>
  <si>
    <t>Francisco Xavier de Arosemana</t>
  </si>
  <si>
    <t>Ayudante D. Manuel Yuste y al Teniente de granaderos D. Joseph Antonio Kemon; Ayudante al Teniente D. Francisco Xavier de Arosemana; iTeniente de granaderos al de fusileros D. Juan Fernandez; Tenientes de fusilero$““al Subteniente de granaderos D. Andrés Sartorio, y á los de fusileros D. Joseph María Chiarri y</t>
  </si>
  <si>
    <t>de Arquellada, Joseph Francisco</t>
  </si>
  <si>
    <t>Joseph Francisco de Arquellada</t>
  </si>
  <si>
    <t>rvido nombrar para la Dignidad de Chantre de la metropolitana de Lima, vacante por fallecimiento de D. Joseph Francisco de Arquellada, á D. Domingo Larrion, Dignidad de Tesorero de la propia iglesia: para la Tesorería al Canónigo D. Ignacio de Albarado: para la Canongía al Racionero D. Matías Querejazu; y para l</t>
  </si>
  <si>
    <t>ispo de Teruel. Asimismo se ha servido nombrar para el Obispado del Paraguay, vacante por muerte de D. Joseph Francisco de Arquellada, al Dr. D. Nicolás Vi~ dela del Pino, Dean de la catedral de Córdoba del Tucuman. Igualmente se ha dignado S. M. nombrar para una Canongía de la catedral de la Puebla de los Angel</t>
  </si>
  <si>
    <t>de Arrlaga, Miguel</t>
  </si>
  <si>
    <t>Miguel de Arrlaga</t>
  </si>
  <si>
    <t>a natural de Bufron juicio de la ¡comedia el Contrato anulado: el gallo y lazorrajfábula inédita de D. Miguel de Arrlaga: -testamento ¿de Washington: observaciones^ médicas de Abril, Mayo y Junio: anécdota -sóbre la comedia del- Abate dé l’Epée &amp;c. Con este número comiénzala subs— cripcional trimest</t>
  </si>
  <si>
    <t>de Arroyo, Agustín</t>
  </si>
  <si>
    <t>Agustín de Arroyo</t>
  </si>
  <si>
    <t>rtado de Mendoza: para la de Sobrestante mayor de Labores y Fiel de Almacenes de la misma Fábrica á D. Agustín de Arroyo: para Administrador de Alcabalas de Sierra de Pinos á LK Domingo Erriguena: para Administrador de la misma Renta de Mextitlan á D. Francisco Solís*. para la de Oficial i.° de la M</t>
  </si>
  <si>
    <t>de Arroyo, Juan</t>
  </si>
  <si>
    <t>Juan de Arroyo</t>
  </si>
  <si>
    <t>que está á cargo de la iglesia parroquial de S. justo y Pástor de esta éorte y S^Millan^fundada por D. Juan de Arroyo, compuesta dey^o pies quadrádos superficiales de sitio, tasada en 5(5,784 rs., y en favor de D. Joi^e Gonzalo de Liria en' la cantidad de 6e9 r$. en vales: y para 1^ mejora del qu</t>
  </si>
  <si>
    <t>de Arroyó, Juan</t>
  </si>
  <si>
    <t>Juan de Arroyó</t>
  </si>
  <si>
    <t>as que estad (á cargo dé la iglesia jfarréquiáf dé S; Justo y Éástor, y de S. Millán , fundadas por D. Juan de Arroyó/com puesta dé 990 pies de sitio , y tasada"én ^6,784 rs*. -Está hecha postura á ella eu las dos terceras partes de la rasa éri metálico; y para su remate está señalado el 18 del c</t>
  </si>
  <si>
    <t>de Artajona y Eslava, Luis Joseph</t>
  </si>
  <si>
    <t>Luis Joseph de Artajona y Eslava</t>
  </si>
  <si>
    <t>z, Canónigo Lectoral de la misma : para una Ración de la catedral de la Paz, vacante por ascenso de D. Luis Joseph de Artajona y Eslava , á D. Joseph de Toledo, Medio-Racionero de la propia; y para esta á D. Francisco Gutiérrez de Escotar, Cura Párroco de Guarina, en el mismo obispado. El Rey se ha dignado concede</t>
  </si>
  <si>
    <t>de Arteaga, Diego</t>
  </si>
  <si>
    <t>Diego de Arteaga</t>
  </si>
  <si>
    <t>, D. Ramón Ortiz Canela y Esteller, D. Manuel Valcarcel, y Oconri, t). Joachin de Mora; y Duarte ,, D. Diego de Arteaga, D. Alonso Solis y Zurita, D. Joseph Bernaci y Retamar, Don Ignacio Éscovar y Ríquelme, D. Juan Robredo y Lea, D. Joseph de Córdoba y? Roxas , 0. Lope Valcarcel y Valcarcel, D. Jo</t>
  </si>
  <si>
    <t>de Árteaga, Francisco Xavier</t>
  </si>
  <si>
    <t>Francisco Xavier de Árteaga</t>
  </si>
  <si>
    <t>ordelado la Real dirección de abastos prorogar el término hasta 30 del corriente. Los acreedores de D. Francisco Xavier de Árteaga, Capitán que fue del regí-, miento de caballería de la costa de Granada, que no hubieren enviado razón de sus créditos á D. Joaquín María de Errazquin, que vive en la calle.de Ato</t>
  </si>
  <si>
    <t>de Ascargorta y Ramírez, Manuel María</t>
  </si>
  <si>
    <t>Manuel María de Ascargorta y Ramírez</t>
  </si>
  <si>
    <t>steria, natural; obra elementa*, coordinada y publicada en francés por J.F. Du^roca,y-traducida por Don Manuel María de Ascargorta y Ramírez: tomo z.°, que ron iene el reyno vegetal, la historia del hombre y las variedades de la especie humana, y lleva dos láminas en que se representan 47 figuras. Véndese con el i.° en</t>
  </si>
  <si>
    <t>de Asis, Martín</t>
  </si>
  <si>
    <t>Martín de Asis</t>
  </si>
  <si>
    <t>Aranguren , r 0. Juan Miyares y Mancebo^ D. Ramón Gil, 0. Antonio Costilla * .0. Antonio Fernandez, D. Martin de Asis, D. Gabriel Gutiérrez, ¿0* Manuel&lt; Herrera, D. Ramón García, D. Joseph Escario, 0. Joseph'de Sotó, D. Tomas Chacón,D. Carlos Abaxo, O..Julián de Altana* 0. Antonio de Parga^ 0. Pa</t>
  </si>
  <si>
    <t>de Aspe, Joseph</t>
  </si>
  <si>
    <t>Joseph de Aspe</t>
  </si>
  <si>
    <t>todas ellas. Crergal, obispado de Almería, 2 de Julio, E I Cirujano latino y titular de esta villa D. Joseph de Aspe, deseoso de contribuir al beneficio de la humanidad, hizo las mas vivas diligencias para conseguir el. virus de la vacuna, y habiéndolo tenido, practicó el primer ensayo en la hij</t>
  </si>
  <si>
    <t>de Atienza y Ochoa, Nicolás</t>
  </si>
  <si>
    <t>Nicolás de Atienza y Ochoa</t>
  </si>
  <si>
    <t>á la ciudad de Almansa , Reyno de Murcia , á deducir el derecho que tienen á 4 vínculos que poseia D. Nicolás de Atienza y Ochoa , presbítero ya difunto: y lo dexó declarado en testamento que otorgó el 3 de Mayo de 1794 ante Bernardo Clemente Martínez, Escribano del número de la referida ciudad. Quien tuvie</t>
  </si>
  <si>
    <t>de Austria, Antonio (archiduque)</t>
  </si>
  <si>
    <t>Archiduque Antonio de Austria</t>
  </si>
  <si>
    <t>l Ducado de Westphalia, y la parte del Obispado de Munster situada en la orilla derecha del Ems. El Archiduque Antonio de Austria, recien nombrado Elector de Colonia, quedará por Coadjutor del de Maguncia con derecho de sucederle. —- Al Ar</t>
  </si>
  <si>
    <t>r de Baviera y dél Príncipe! dé Orarige. !l ! r V : Séjgún cáttas^de ASehatfembUrgo se cree qtíe el Archiduque Antonio de Austria será nombrado coadjutor del Archiehanciller del Imperio, y del •Oran Maestre'dé la'óydeñ Teutónica. Hay esperanzas dé que se concluyan amistosamente las desavenencias movidas feñt</t>
  </si>
  <si>
    <t>de Avellaneda, Francisco</t>
  </si>
  <si>
    <t>Francisco de Avellaneda</t>
  </si>
  <si>
    <t>efectiva del espolio dél Baylío de Lora em la ínclita y sagradk órdenvde. S, Juan de Jerusalen Frey D. Francisco de Avellaneda, que falleció en Murcia en 11 de Junio próximo, pasado; dando este útilísimo y laudabilísimo destino aun caudal qué há sido el fruto de la parsimonia y frugalidad de un religioso</t>
  </si>
  <si>
    <t>de Avendaño, Juan Francisco</t>
  </si>
  <si>
    <t>Juan Francisco de Avendaño</t>
  </si>
  <si>
    <t>a: para el de Peñalba, Dignidad de la catedral de Astorga, vacante por muerte de D. Juan Becerra, á D. Juan Francisco de Avendaño ; para la Canongía de la metropolitana de Búrgos, vacante por fallecimiento de D. Antonio de Granada, á D. Martin Leonardo de la Barga: para la de la colegiata de la ciudad de S.</t>
  </si>
  <si>
    <t>de Aviles, Joseph María</t>
  </si>
  <si>
    <t>Joseph María de Aviles</t>
  </si>
  <si>
    <t>sor y Auditor de Guerra del gobierno de Sta. Marta, vacante por renuncia de D. Manuel Campuzano , á D. Joseph María de Aviles. Igualmente se ha servido nombrar para la Alcaldía mayor de Totonicapan, en el Reyno de Goatemala, vacante por renuncia de D. Francisco Xavier Manzanos, á'D. Miguel Truxillo y Sie</t>
  </si>
  <si>
    <t>de Ayala, Juan</t>
  </si>
  <si>
    <t>Juan de Ayala</t>
  </si>
  <si>
    <t>ndo D. Rafael de Ortega : en el de Montesa á primeros Tenientes á los segundos D. Joseph fieaumon , D. Juan de Ayala y D. Félix de Roxas: en el de Húsares Esmáltales á Alférez al Cadete D. Diego Duran: en el de Voluntarios de Escaria á segundo Teniente al Alférez D. Luis Mexía; yen el de Carabineros</t>
  </si>
  <si>
    <t>de Ayroba, Juan</t>
  </si>
  <si>
    <t>Juan de Ayroba</t>
  </si>
  <si>
    <t>444. 30. Id. Juan de Ayroba........... Valeria ffl0 (María Domingo. Villusta ..... Búrgos....... 531. 4. Id. Roque Alvarez... .... Gabriel^ ¡colasa F</t>
  </si>
  <si>
    <t>de Ayuso, Manuel</t>
  </si>
  <si>
    <t>Manuel de Ayuso</t>
  </si>
  <si>
    <t>is de Cartagena,.vacante por promoción de D. Joachín Escunmo á Canongía de la catedral de Zamora, á D. Manuel de Ayuso: para ou*a de la colegial de Soria, diócesis de1 Osma, vacante por muerte de Don Manuel Aragonés, á D. JLosephifiíonzález, Racionero de ella: para la Raí</t>
  </si>
  <si>
    <t>de Azara, Félix</t>
  </si>
  <si>
    <t>Félix de Azara</t>
  </si>
  <si>
    <t>imo. Apuntamientos para la historia natural de los quadrúpeács del Paraguay y rio de la Plata , por D. Félix de Azara. Hallándose esta obra incompleta y no bien rectificada, se traduxo y publicó el afio pasado de 1801 en francés , cu&gt;o instituto nacional y todos los papeles públicos la han gradua</t>
  </si>
  <si>
    <t>de Aristizabal, viagero español: al caballero Ocariz, Ministro de S. M. Católica en Haniburgo; y 4 D. Félix de Azara, Capitán de Navio de la marina Real de España. El Conde de Cobentzel, Embaxador de S. M. Imperial, presentó entre varios sugetos distinguidos al Marques de-Chateiler, Chambelán de</t>
  </si>
  <si>
    <t>de Azara, Joseph Nicolás</t>
  </si>
  <si>
    <t>Joseph Nicolás de Azara</t>
  </si>
  <si>
    <t>extrangeros presentaron al primer Cónsul-varios sugetos de sus respectivas naciones; y el Caballero D. Joseph Nicolás de Azara presentó á D. Benito Pardo , General de los exércitos de S. M. Católica. • En la parada del mismo dia 5 repartió armas de honor á 4 militares en premio de sus hazañas, y el mismo</t>
  </si>
  <si>
    <t>Embaxadores -y Ministros extrangéros presentaron varios sugetos de sus respectivas naciones: el Sr. Don Joseph Nicolás dé Azara le presentó el caballero Acostar Marques de Salas, Coronel de los exércitos de S. M. Católica. * - - -El dia 13 elMinistro de lo.Interior, á quien acompañaban el ciud. Crefet, Con</t>
  </si>
  <si>
    <t>denciales como Ministro plenipotenciario de S. A. S, el Elector Arcbichanciller del Imperio. El Sr. D. Joseph Nicolás de Azara, Embaxador de S. M. Católica, presentó al caballero Ulloa, Enviado extraordinario y Ministro plenipotenciario del Rey de España cerca del Elector de Saxonia: ?1 caballero de Arist</t>
  </si>
  <si>
    <t>de Badén, Luis (príncipe)</t>
  </si>
  <si>
    <t>Príncipe Luis de Badén</t>
  </si>
  <si>
    <t>bátava, fué de esta ciudad á Potsdam el día 25, y tuvo la primera audiencia de SS. MM. S. A. S. el Príncipe Luis de Badén ha llegado de Petersburgo, donde le condecoró el Emperador con la orden deS. Andrés. E11 breve continuará su viage á Badén. .Ratisbona $ de Octubre. H oy celebró la diputación del</t>
  </si>
  <si>
    <t>de Badén, María (princesa)</t>
  </si>
  <si>
    <t>Princesa María de Badén</t>
  </si>
  <si>
    <t>, la Duquesa heredera de Brunswick, ía Princesa viuda heredera de Badén , el Príncipe su hijo, y la Princesa María de Badén, que hace unos dias llegaron á esta ciudad, fuéron el 24 á visitar al Landgrave de Hesse-Homburgo, con quien comieron. El día siguiente se desayunaron SS. AA. en el jardín de Mr.</t>
  </si>
  <si>
    <t>de Baidaiiso, Melchor</t>
  </si>
  <si>
    <t>Melchor de Baidaiiso</t>
  </si>
  <si>
    <t>argento mayor del de infantería de la Corona; y el de primer Teniente en el de caballería del Rey á D. Melchor de Baidaiiso , segundo Teniente del mismo cuerpo.</t>
  </si>
  <si>
    <t>de Baldassaroni, Conde</t>
  </si>
  <si>
    <t>Conde de Baldassaroni</t>
  </si>
  <si>
    <t>necia, con los qualés se formará un Ducado para S. A. Hállase aquí de vuelta el Conde de Baldassaroni, Ministro del Duque de Mód^na, á quien fué despachado con un encargo de este gabinete, que según se dixo consistía en persuadir al Duque renunciase sus antiguos estados, y admitiera en camb</t>
  </si>
  <si>
    <t>de Balenzategui, Juan Bautista</t>
  </si>
  <si>
    <t>Juan Bautista de Balenzategui</t>
  </si>
  <si>
    <t>osados á favor de D. Miguel de Maderna, el i.° por 3&gt;. Joseph Ignacio Ortiz de Zarate, y el 2.0 por D. Juan Bautista de Balenzategui. Quien supiere de ellos avisará al referido Maderna , calle de Fuencarral, mim. 5 , en la tienda. En virtud de providencia del Real y supremo Consejo de la Guerra se cita, llama y</t>
  </si>
  <si>
    <t>de Bances, Diego</t>
  </si>
  <si>
    <t>Diego de Bances</t>
  </si>
  <si>
    <t>iña sorda y muda , la qual en poco tiempo cobró el oido. Puente de la Rey na J.° de Enero. E 1 Lie. D. Diego de Bances, médico y cirujano de estuche de esta villa, persuadido de las considerables ventajas de la vacunación, y cerciorado por los escritos de muchos facultativos , de que carece de inc</t>
  </si>
  <si>
    <t>relativas á su origen, progreso y variedades notadas en Espafia; por el Lie. en medicina y cirugía Don Diego de Bances, profesor honorario de la Real armada, y titular de la villa de Puente la Rey na: un tomo en 8.° En esta obrita se dan los conocimientos necesarios para inocular, propagar y conse</t>
  </si>
  <si>
    <t>de Barasoainy, Agustín</t>
  </si>
  <si>
    <t>Agustín de Barasoainy</t>
  </si>
  <si>
    <t>su hija única, de edad de 31 meses, dos sobrinos del Vicario de la iglesia parroquial de Sta. María D. Agustín de Barasoainy una hija del Sr. Don Antonio de Marco, Alcalde honorario de la Real casa y corte, la qual tenia 22 años: y sucesivamente se ha ido propagando la vacunación con la mayor felicidad,</t>
  </si>
  <si>
    <t>de Barrenechea, Ignacio</t>
  </si>
  <si>
    <t>Ignacio de Barrenechea</t>
  </si>
  <si>
    <t>on Antonio Pradell y Gurri: para otra de la metropolitana de Zaragoza, vacante por fallecimiento de D. Ignacio de Barrenechea, Marques del Puerto, á D. Manuel Justo de Giiemes, Canónigo Doctoral del Real sitio de S. Ildefonso; y para ia Prestamera de la Miración denominada de Zaragoza, en la diócesis dé</t>
  </si>
  <si>
    <t>de Beistegui, Andrés</t>
  </si>
  <si>
    <t>Andrés de Beistegui</t>
  </si>
  <si>
    <t>tas O. Luis Berganza y O. Luis Vidarte; en rudimentos de latinidad, baxo la dirección de su maestro D. Andrés de Beistegui, lo fueron.!). Luis D oran, D. Ramón Zuloaga, D. Francisco Barraícua, I). Ramón Carrillo, D. Mariano Zapata, D. Martin Esterripa, Cadete de R.eales Guardias Walonas, D. Joseph Tor</t>
  </si>
  <si>
    <t>de Berrosteguieta, Joseph</t>
  </si>
  <si>
    <t>Joseph de Berrosteguieta</t>
  </si>
  <si>
    <t>n: de geometría elemental, hasta los planos exclusive, D. Ignacio de Emparan, D. Sebastian de Lasa, D. Joseph de Berrosteguieta y D. Fernando Adan de Yarza: de geometría elemental, D. Bernardino Echagiie, D. Joseph de Munive y D. Antonio de ligarte: de álgebra elemental, D. Ignacio de Lardizabal y Altuna: de t</t>
  </si>
  <si>
    <t>de Beytia, Manuel</t>
  </si>
  <si>
    <t>Manuel de Beytia</t>
  </si>
  <si>
    <t>...... 102. 22. Id. Manuel de Beytia............ . Manuel, Francisca Asaonguren................................. Vitoria....... Vitoria....... 227. 19. Muerto. Roque Almansa................ . Lorenzo, Bernard</t>
  </si>
  <si>
    <t>de Binder, Barón</t>
  </si>
  <si>
    <t>Barón de Binder</t>
  </si>
  <si>
    <t>. M. el Conde de Ladrón, Enviado extraordinario del Emperador de Alemania, y el Barón de Binder, Secretario de la misma embaxada. Un hermano de este fue presentado á S. Al. como Encargado interino de Negocios en aquella corte., Copenhague 2/ de Febrero. L a hija que la Princesa Real de.</t>
  </si>
  <si>
    <t>á la Reyna el Barón de Albedyhl, Coronel ruso, que llegó aquí como correo, y el Barón de Binder, Secretario de la embaxada de. Viena. Se ha dado principio á la pesca del arenque; pero está todavía tan flaco, que casi no sirve para dar aceyte. Copenhague 2g de Marzo. Di hcese que el Prín</t>
  </si>
  <si>
    <t>de Bjernstorff, Conde</t>
  </si>
  <si>
    <t>Conde de Bjernstorff</t>
  </si>
  <si>
    <t>s ó pesos fuertes el valor de una caxa que el Emperador de Rusia ha regalado al Conde de Bjernstorff, Ministro de Estado de Dinamarca, con motivo de la accesión de este gobierno al convenio de Petersburgo del 17 de Junio. Hamburgo .28 de Febrero. ■' - S e ha descubierto finalmente la fabri</t>
  </si>
  <si>
    <t>de Blas, Juan Manuel</t>
  </si>
  <si>
    <t>Juan Manuel de Blas</t>
  </si>
  <si>
    <t>Ugartemendia; á primeros Subtenientes á los. segundos D. Eugenio Delgado, D. Francisco Pa-' mies y D. Juan Manuel de Blas, y á segundos Subtenientes al Cadete Don Dionisio de Piedra y al Sargento primero de granaderos D. Francisco González, como también á D. Ignacio de Gally, Cadete del primer batall</t>
  </si>
  <si>
    <t>de Bonde, Carlos</t>
  </si>
  <si>
    <t>Carlos de Bonde</t>
  </si>
  <si>
    <t>servir la embaxada°de Suecia en Petersburgo durante la ausencia 4el Barón de Stedinck está nombrado Mr. Cárlos de Bonde, Chambelán , y Comendador de la orden de la estrella del Norte. Semlin a/ de Agosto. xpresan las últimas noticias de Turquía que se han movido nuevas turbulencias en Valaquia, y s</t>
  </si>
  <si>
    <t>de Borja VÍ, Felipe</t>
  </si>
  <si>
    <t>Felipe de Borja VÍ</t>
  </si>
  <si>
    <t>D. AntOnio Guzmaa^y Cárrion j D. Alonso Maiin Navarro, 0. .Diego dé'AléssonyBueno, D* BernarddBosco,D. Felipe de Borja VÍ¿e«^íNuiiitcrola.- ':i:or:,fU /saqpA :;:.v ... a.</t>
  </si>
  <si>
    <t>de Borja, FranciscO</t>
  </si>
  <si>
    <t>FranciscO de Borja</t>
  </si>
  <si>
    <t>án Davadié , D. Agustín Sánchez, I}. Manuel Mo¿ ro, D: EugenioTontas y Alcalá, D. Miguel Rodríguez, D. FranciscO dé Borja , D. Diego; Encina , D. Manuel de la Cruz., D¿ Diego de Mesa , fc)oñ Pedro déPCastillo, D. Joaquín Oquendo, D. Vieente Rosique, D. Cle^* mente Falcon 9 D. Francisco Reyna ¿ D; Ant</t>
  </si>
  <si>
    <t>de Bous, Luis María Joseph</t>
  </si>
  <si>
    <t>Luis María Joseph de Bous</t>
  </si>
  <si>
    <t>uardias Waionas á primer Teniente al segundo Teniente de granaderos , graduado de Teniente Coronel, D. Luis María Joseph de Bous-; teten. S. M. se Jia servida conferir Compañía en el regimiento de caballería de Farnesio, sexto de línea, al Capitán de infantería I). Joseph Q-Láwlor: en el de cazadores de Vill</t>
  </si>
  <si>
    <t>de Bousteten, Luis</t>
  </si>
  <si>
    <t>Luis de Bousteten</t>
  </si>
  <si>
    <t>^ J— el Rey á segundo Teniente de granaderos al de fusileros D. Luis de Bousteten. En el de infantería de Aragón á Subteniente de granaderos al primer Subteniente D. Vicente Alvarez Ordoño. S. M. ha nombrado Ingeniero en xefe de sus exércitos ,• plazas y fronte</t>
  </si>
  <si>
    <t>de Boz y Cafi, Vicente</t>
  </si>
  <si>
    <t>Vicente de Boz y Cafi</t>
  </si>
  <si>
    <t>anuel Díaz Herrera, D. Joseph Salomón, D. Joseph de Llano Garay, D. J« st*ph Ig¿. nado del Camino', D. Vicente de Boz y Cafi^* v D« JCsev*h Meñaca, Don Jfcleph Herediá y Hore, D. Nicolás de Cea , D.DiegoButron y Cortés, D: Joseph Rodríguez de Arias, D. Anselmo G -m^ndio , D. Francisco Osorio y Vargas, D</t>
  </si>
  <si>
    <t>de Brezenheim, Príncipe</t>
  </si>
  <si>
    <t>Príncipe de Brezenheim</t>
  </si>
  <si>
    <t>evante el seqiiestro de dichos bienes , y lo han conseguido. Uno de ellos es el Príncipe de Brezenheim, hijo natural del difunto Elector Cários Teodoro. ^ En el Palatinado del Rhin se suprimirán muchas comunidades de religiosos y religiosas, cuyos individuos pasarán á otros conventos. Se</t>
  </si>
  <si>
    <t>de Buhler, Barón</t>
  </si>
  <si>
    <t>Barón de Buhler</t>
  </si>
  <si>
    <t>gosto. V/ n oorreo extraordinario de Petersburgo llegó ayer con pílenos para el Barón de Buhler, Ministro de Rüsia en esta corte, el qual paso! inmediata? mente á presentarse al Elector, y lé entregó: cartas del Emperador su aroe y del Príncipe Kourakin , su primer Ministro. Hubo.desp</t>
  </si>
  <si>
    <t>de Buol-Schauenstein, Barón</t>
  </si>
  <si>
    <t>Barón de Buol-Schauenstein</t>
  </si>
  <si>
    <t>e sabe quando volverán. á Aitgs burgo 2g cíe Diciembre. Acaba de llegar aquí el Barón de Buol-Schauenstein, Ministro del Emperador en el Círculo de Suabia, que trae un encargo particular del Emperador para el Elector de Tréveris.</t>
  </si>
  <si>
    <t>de Burean, Joséph</t>
  </si>
  <si>
    <t>Joséph de Burean</t>
  </si>
  <si>
    <t>Reales Guardias Walonas á Teniente Coronel ál Mari scal de Campo y Sargento mayor del mismo cuerpo D. Joséph de Burean. Para la' plaza del Consejó de Ordenes, vacantepor jubilación- del Conde deTorrecuélIar,sc ha servidoelRey nOrtibrar i-Dv^lDomingo An*^ ionio de Miranda^ Alcalde dé~str Real- casa</t>
  </si>
  <si>
    <t>de Burgos, Santiago</t>
  </si>
  <si>
    <t>Santiago de Burgos</t>
  </si>
  <si>
    <t>igo de gracia deria misma : para una Ración de la metropolitana de Santa Fe , vacante por muerte de D. Santiago de Burgos, á D. Manuel de Valenzuela, Cura del pueblo del Sopo en dicha diócesis: para otra Ración de la catedral de Trux¡lio, vacante por fallecimiento de D. Bernabé Villalobos, á D. Pedro</t>
  </si>
  <si>
    <t>de Bustamahíte, Francisco</t>
  </si>
  <si>
    <t>Francisco de Bustamahíte</t>
  </si>
  <si>
    <t>Martin de Helines, diócesis de Burgos, vacante por fallecimiento de D. Isidoro Meliton de Ariza, á D. Francisco de Bustamahíte , Cura Beneficiado de la parroquia del lugar de Sta. María del Hito, en el mismo arzobispado : para el Beneficio de Albacete, en la diócesis; de Cartagena ¿ vacante por muerte del</t>
  </si>
  <si>
    <t>de Bustamante, Francisco</t>
  </si>
  <si>
    <t>Francisco de Bustamante</t>
  </si>
  <si>
    <t>esta corte, la comunicará á D. Antonio Palacios, del comercio de esta villa , calle de Postas , ó á D. Francisco de Bustamante, vecino de Corvera, valle de Toranzo , montañas de Santander. Núm. a.° Carta esférica que comprehende las costas de Italia, las del mar Adriático desde cabo Venere hasta las islas</t>
  </si>
  <si>
    <t>de Bustamante, Manuel</t>
  </si>
  <si>
    <t>Manuel de Bustamante</t>
  </si>
  <si>
    <t>rtínez, Escribano del número de la referida ciudad. Quien tuviese noticia del destino ó.paradero de D. Manuel de Bustamante, que hace un año existia en esta corte, la comunicará á D. Antonio Palacios, del comercio de esta villa , calle de Postas , ó á D. Francisco de Bustamante, vecino de Corvera, vall</t>
  </si>
  <si>
    <t>de Cabanes, Francisco Xavier</t>
  </si>
  <si>
    <t>Francisco Xavier de Cabanes</t>
  </si>
  <si>
    <t>nte ai segundo Teniente de granaderos D, Luis Perjgault de Rocheneutre, y á Alféreces á los Cadetes D. Francisco Xavier de Cabanes, Don Manuel de Tovar, D. Martin de Terrazas y D. Juan Bautista Dusmet. En el regimiento de infantería de la Reyna ha promovido S. M. á segundo Subteniente al Sargento primero del</t>
  </si>
  <si>
    <t>de Cáceres, Joseph Benito</t>
  </si>
  <si>
    <t>Joseph Benito de Cáceres</t>
  </si>
  <si>
    <t>668 santa iglesia dé Gomayagtta, vacante por muerte de D. Joseph Benito de Cáceres, al Arcediano D. Joseph Joaquín Beltran: para el Arcedianato al Chantre D. Pedro Albino Mexía: para la Chantría ai Maestrescuela Don Francisco Xavier López: para la Dignidad que e</t>
  </si>
  <si>
    <t>de Cáceres, Juan Francisco</t>
  </si>
  <si>
    <t>Juan Francisco de Cáceres</t>
  </si>
  <si>
    <t>. S. M. se ha servido nombrar para una Fiscalía del Consejo Real, vacante per fallecimiento del Sr. D. Juan Francisco de Cáceres., al Sr. Don Francisco Arjona; y para la Regencia de la Real Audiencia de Cataluña, que resulta vacante, á D. Adrián Marcos Martínez , Fiscal del Consejo de Navarra. En América. S</t>
  </si>
  <si>
    <t>de Caldevilla Berna Ido de Quirós, Juan</t>
  </si>
  <si>
    <t>Juan de Caldevilla Berna Ido de Quirós</t>
  </si>
  <si>
    <t>ue puede servir de modelo á los que desean distinguirse en tan decantadadase: segunda edición : por D. Juan de Caldevilla Berna Ido de Quirós. Se vendé juntc^con el Rasgo anti-cúrrutático, dirigido á las madamitas del nuevo cuño&gt; en la librería, de Escribano, calle de las Carretas, y puede ir en carta. ■ - O.'-'-j r.-ny</t>
  </si>
  <si>
    <t>de Calzada, Bernardo María</t>
  </si>
  <si>
    <t>Bernardo María de Calzada</t>
  </si>
  <si>
    <t>y el nombre de estos dos guerreros. La obra está vertida en castellano por X). Bernardo María de Calzada, Teniente Coronel de los Reales exércitos, y consta de dos tomos, gue se venden en la librería de Dávila, calle de Jas Carretas. Laurisio Tragiense, pastor árcade, sobre los vicios y defect</t>
  </si>
  <si>
    <t>e! Amigo de los hombres, ámbas escritas en el mismo idioma por Gellert, y puestas •n castellano por D. Bernardo María de Calzada, Teniente Coronel de los Reales exérciros , y socio de mérito de las Reales sociedades Vascongaday Aragonesa: «a tomo en 8.° Véndese á 6 rs. en pasta y en rústica 4 en casa de Mus</t>
  </si>
  <si>
    <t>de Calzada, Joseph Antonio</t>
  </si>
  <si>
    <t>Joseph Antonio de Calzada</t>
  </si>
  <si>
    <t>«Alonso Ribera, Don Pedro Joseph de GamezyD. Vicente Morodo, Di- Felipe Sicre, D. Baltasar Alvarez, D. Joseph Antonio de Calzada, D. Luis Calvo, D; Joseph Astraudi, D. Anselmo Martínez,_D. Rayníundo Carbonell,* D. Rodrigo •Aívarez, D. Ignacio Sandoval, D¿ Nicolás Pastor, D. Joseph Abarca, Don Jdseph Díaz, D</t>
  </si>
  <si>
    <t>de Cambridge, Duque</t>
  </si>
  <si>
    <t>Duque de Cambridge</t>
  </si>
  <si>
    <t>nizaciones del Cuerpo germánico. Hannéver 14 de Setiembre. N uestro Principe el Duque de Cambridge, hijo de S. M. Británica, ha conseguido que la Regencia del ducado promulgue una ley, por la qual se</t>
  </si>
  <si>
    <t>de Camino, Joseph</t>
  </si>
  <si>
    <t>Joseph de Camino</t>
  </si>
  <si>
    <t>s y plantas útiles á la economía rural. Kempis, ó imitación de Jesuchristo: traducido dél latin por D. Joseph de Camino: un tomo en 8.°==Ínstruccioo de una señora christiana para vivir en el muiido santamente: traducida del francés por Doña María Antonia Fernanda de Totdesilla Cepeda y Sada: un tom</t>
  </si>
  <si>
    <t>de Camjpa, Antonio</t>
  </si>
  <si>
    <t>Antonio de Camjpa</t>
  </si>
  <si>
    <t>. Joseph García Infante; del Crfníéu dé.la Audiencia dé Cataluña al del exército dé éste Principado D. Antonio dé Camjpa. y dé Ferrer; de la de Cace res al del exército de Extremadura D. Gjtonzálo Hurtado Vaidoyinos; de Alcalde del Crimen de la Chancilteríá de Grabada al Aüditor dé Marina del dépért</t>
  </si>
  <si>
    <t>de Campo y Arpa, Pedro</t>
  </si>
  <si>
    <t>Pedro de Campo y Arpa</t>
  </si>
  <si>
    <t>res de las de dragones á los Capitanes D. Alexandro Carrascosa y D. Pedro Benedi, y á los Ayudantes D. Pedro de Campo y Arpa y D. Millan Bustos. ; El Rey se ha servido nombrar para el empleo de Contador ordenador del tribunal mayor de cuentas del Nuevo Reyno de Granada á D. Pedro de la Lastra , Oficial prim</t>
  </si>
  <si>
    <t>de Camporaso, Joseph</t>
  </si>
  <si>
    <t>Joseph de Camporaso</t>
  </si>
  <si>
    <t>que concluyó este autor su obra, con los tratados de paz y alianza de España correspondientes : por D. Joseph de Camporaso: tomos 3.0 y 4.0 Se hallarán á 1$ rs. cada tomo en pasta, 13 en pergamino y 11 en rústica en la librería de Castillo, de la viuda de Cerfo , red de S. Luis, y en su puesto, calle</t>
  </si>
  <si>
    <t>de Campos, Antonio</t>
  </si>
  <si>
    <t>Antonio de Campos</t>
  </si>
  <si>
    <t>Ntra. Sra. de Guadalupe de México , vacante por fallecimiento ae D. Bartolomé López de la Élanca, á D. Antonio dé Campos, catedrático de filosofía del seminario Tridentino de dicha CÍ.Mda^. _ ‘ -. ;; [ ; . En el regimiento de infantería de Puebla se ha dignado S, M- promover á Subteniente al Guardia</t>
  </si>
  <si>
    <t>de Campos, Vicente</t>
  </si>
  <si>
    <t>Vicente de Campos</t>
  </si>
  <si>
    <t>oreda , Don Gregorio Donayrej Dé Pablo Carbonell, D. Juan Antonio Martínez, Don Joaquín Goyeneche j D. Vicente de Campos, D. Vicente Pallas, D. Manuel Herrero, D. Jóaquin Egaña, D. Alexandro Antonio Ojéá, D. Gaspar Barón de Rocreusse, D. Joseph María Lambí, D. Joseph Villaiba, Don Julián de Sequera,</t>
  </si>
  <si>
    <t>de Cañas Truxillo, Manuel</t>
  </si>
  <si>
    <t>Manuel de Cañas Truxillo</t>
  </si>
  <si>
    <t>ñez dé Corbera, D. Joseph Valdasano y Ros, D. Joseph del Rio Noguerido , ; D¿ Joseph Diaz Melendez, D. Manuel de Cañas Truxillo, D. Joseph del Castillo y Armenia, D. Antonio Palomar y Arias, D. Manuel de Palacios, D. Henrique O-Dogherti, D. Jacinto Romarota y Salamanca^D. Joseph Corones y Alberola, D. Nico</t>
  </si>
  <si>
    <t>de Cañete, Luis</t>
  </si>
  <si>
    <t>Luis de Cañete</t>
  </si>
  <si>
    <t>nsistieron-en 15 escudos de plata, que se adjudicaron á D. Joseph María Perez de Vargas y Cárdenas, D. Luis de Cañete, D. Gerónimo Cañete de -Lemus, D. Juan de Mata Herrera y Oca, D. Antonio Manrique, D. Antonio Garzón, D. Juan Muñoz, D. Alfonso de Ortega, Don Juan Bautista del Caño , D. Rafael S</t>
  </si>
  <si>
    <t>de Canga Arguelles, Felipe Ignacio</t>
  </si>
  <si>
    <t>Felipe Ignacio de Canga Arguelles</t>
  </si>
  <si>
    <t>el Consejo Real, que resulta vacante por haber conferido plaza de Ministro del mismo Consejo al Sr. D. Felipe Ignacio de Canga Arguelles. Y siendo su Real voluntad que se suprima la Fiscalía de la Cámara que obtened Sr. D. Domingo Codina, se ha servido mandar que entre los tres Sres. Fiscales de dicho Consejo sé re</t>
  </si>
  <si>
    <t>de Cárdenas y Cárdenas, Juan</t>
  </si>
  <si>
    <t>Juan de Cárdenas y Cárdenas</t>
  </si>
  <si>
    <t>Garlos Rato y Ramírez, D. Ramón Enlate y Tovias, D. Martin Manuel Mathéo, D. Femando Dominicis , y D. Juan de Cárdenas y Cárdenas. A Alféreces de Navio los de Fragata D. Diego Venegas y Aguilar, D. Manuel Murga, *p. Ventura Gutiérrez de Bustillo, D.: Joseph Roso y González, D. Joaquín Aróstegni, Don Joaquín</t>
  </si>
  <si>
    <t>de Cárdenas y Vargas, Diego</t>
  </si>
  <si>
    <t>Diego de Cárdenas y Vargas</t>
  </si>
  <si>
    <t>para la Abadía de Santa he-, Dignidad de la metropolitana de Cranada, vacante por fallecimiento de D. Diego de Cárdenas y Vargas, á D. Juan Rafael Porcel, Capellán de La Real capilla de la misma ciudad: para la dignidad de Chantre de la catedral de Calahorra, vacante por promoción de D. Antonio Carrillo al</t>
  </si>
  <si>
    <t>de Cárdenas, Gerónimo</t>
  </si>
  <si>
    <t>Gerónimo de Cárdenas</t>
  </si>
  <si>
    <t>plazas de Oficiales tercero, quinto y de guias de la aduana de Guayaquil á D.-Joachin Lavoquerrer , D. Gerónimo de Cárdenas y D. Santiago Estrella: para el empleo de Oficial primero de la administración de tabacos de Quito á D. Joseph Sierra:, para el de Oficial segundo de la propia administración á I). Ma</t>
  </si>
  <si>
    <t>de Cárdenas, Nicolás</t>
  </si>
  <si>
    <t>Nicolás de Cárdenas</t>
  </si>
  <si>
    <t>gimiento de Milicias disciplinadas vde caballería de la Havana al Subteniente, graduado de Capitán, D. Nicolás de Cárdenas,; Subtenencia al Portaestandarte D. Juan deSotoiongo; empleos de^ Alféreces al' Portaestandarte, P. Juan Esquivel y al Sargento segundo D. Robéito Prieto ; de Portaestandartes &amp; l</t>
  </si>
  <si>
    <t>de Cárdenas, Pedro</t>
  </si>
  <si>
    <t>Pedro de Cárdenas</t>
  </si>
  <si>
    <t>de León. También en el regimiento de caballería de España ha promovido el Rey á Capitán al Ayudante D. Pedro de Cárdenas; y en. el de. Santiago á Portaestandarte al Cadete D. Manuel de Castro.. En América► S. M. se ha servido nombrar para una Canonoía de merced de la catedral de la Havana, vacante p</t>
  </si>
  <si>
    <t>de Cardona, Andrés</t>
  </si>
  <si>
    <t>Andrés de Cardona</t>
  </si>
  <si>
    <t>ética en favor de los párrocos para desterrar la ociosidad fomento de todos los vicios: por el Lie. D. Andrés de Cardona , Abogado de los Reales Consejos, Cura propio de la parroquial de la villa de Sisante y sus anexos en él obispado de Cuenca. Se ha lará en casa de Blanques, calle de Jas Carretas,</t>
  </si>
  <si>
    <t>de Caréeles, Francisco</t>
  </si>
  <si>
    <t>Francisco de Caréeles</t>
  </si>
  <si>
    <t>dio principio con una oración castellana que pronunció el profesor : en seguida recitó otra latina D. Francisco de Caréeles, uno de1 los estudiantes ., y después fuéron los demas preguntados por los concurrentes en quanto comprehende el estudio de las bellas letras. A todo respondieron con prontitud y</t>
  </si>
  <si>
    <t>de Carnerero, Joseph María</t>
  </si>
  <si>
    <t>Joseph María de Carnerero</t>
  </si>
  <si>
    <t>. El Viajante desconocido: comedia en 2 actos tomada del teatro francés, y arreglada al español por D. Joseph María de Carnerero, y representada en Octubre cié íhoi. Se hallará en 8.u en el puesto de Sánchez, calle del Príncipe , frente al coliseo. .Dirección de padres de huérfanos y superintendentes de esc</t>
  </si>
  <si>
    <t>de Carvajal' Roco de Gódóy Videro y Motezu, Joseph</t>
  </si>
  <si>
    <t>Joseph de Carvajal' Roco de Gódóy Videro y Motezu</t>
  </si>
  <si>
    <t>es con Entrada. ’ ■ v D. Francisco de Uíloa Carvájál Roco de Go?dóy.» Díé joseph dé Mendoza Manuel; D. Joseph de Carvajal' Roco de Gódóy Videro y Motezu-^ ma; el Conde de San Xayier y Casa Larédb; D. Juan de Morales Guzmán? y^Tpvar; el. Conde dé la Cintera 7 el Marqúes de Vallesántoro, y D. Pedro Domingo de Reynoso. • *■; • Afapórd</t>
  </si>
  <si>
    <t>de Castilla, Joseph María</t>
  </si>
  <si>
    <t>Joseph María de Castilla</t>
  </si>
  <si>
    <t>Alonso Alcalá: para una Ración de la de Plasencia, vacante por fallecimiento de D. Angel Parejo, á D. Joseph María de Castilla: para otra de la de Málaga, vacante por la promoción de D. Domingo de la Casa á Canongia de la misma iglesia, á D. Joseph Ordoñez de la Reguera: para el Beneficio de Jumilla, en l</t>
  </si>
  <si>
    <t>de Castro Gómez, Juan</t>
  </si>
  <si>
    <t>Juan de Castro Gómez</t>
  </si>
  <si>
    <t>nli, D. Francisco Lasqueti y Lasqueti, DI Joseph de Castró y Navarro, D. Ramón Saavedra y Guiralde, D. Juan de Castro Gómez, D. Manuel Uliente y Gabilla , t). Pedro Quevedo y Hoyos, D. Joseph Ruiz de la Madrid, D. Agustín Wauters y Donesteves, D. Vicente Guillen y Busaran, D. Antonio Leal de Ibarra, D.</t>
  </si>
  <si>
    <t>de Castro Navarro, Francisco</t>
  </si>
  <si>
    <t>Francisco de Castro Navarro</t>
  </si>
  <si>
    <t>io Miralles, D. Luis María de Salazar, D. Miguel Gastón y Navarrete, D. Antonio de la Torre Puebla, Don Francisco de Castro Navarro, D. Joaquín Zarauz, D. Joseph Calderón, D. Antonio García' de Quesada, D. Joseph Manuel de Goicoa, D. Miguel Irigoyen, D^Joan Mesías* y D. Tomas Avalde. ' A Capitanes de Fragata l</t>
  </si>
  <si>
    <t>de Castro Palomino, Antonio</t>
  </si>
  <si>
    <t>Antonio de Castro Palomino</t>
  </si>
  <si>
    <t>ra el agregado D. Agustín Fernandez: en ,el batallón de Pardos libres de la Havana á Subinspector á D. Antonio de Castro Palomino, Capitán del regimiento de infantería de la Havana , y i Teniente Veterano, con funciones de Ayudante, á D. Joseph Goy, Sargento primero con grado de Teniente: en el batallón de m</t>
  </si>
  <si>
    <t>de Castro y Cubillas, Joseph</t>
  </si>
  <si>
    <t>Joseph de Castro y Cubillas</t>
  </si>
  <si>
    <t>villá á-I). Jiiau Sebastian Neri^Alcaldcf mayor de Cádiz. : - : s ; .&gt; Asimismo ha nombrado S. M. á D, Joseph de Castro y Cubillas para lá Vara de Alcalde mayor criminal y de policía que ha tenido á bien' crear en la citada ciudad de Cádiz. Se ha servido S. M..nombrar para la Contaduría del Consulado de la Co</t>
  </si>
  <si>
    <t>de Castro, Bartolomé</t>
  </si>
  <si>
    <t>Bartolomé de Castro</t>
  </si>
  <si>
    <t>varez Ordoño, D. Gabriel Mendizabal, D. Ignacio Martinez Vallejo, D. Matías Piriz, D. Pedro Baylin, D. Bartolomé de Castro, D. Santiago Puig, Don Francisco Cortabarria, D. Antonio Maestre, D. Fernando Manuel de Villena, el Vizconde de Zolina, D. Juan Maduit, D. Juan O-Donojú y O-Rian, D. Joseph Valmas</t>
  </si>
  <si>
    <t>de Castro, Blas</t>
  </si>
  <si>
    <t>Blas de Castro</t>
  </si>
  <si>
    <t>l Teniente D. Sebastian del Toro: en el de infantería de Puebla á Capitán al Teniente de granaderos D. Blas de Castro ;á Teniente de granaderos ai de fusileros D. Juan Antonio López; á Tenientes á ios Subtenientes de granaderos D. Ignacio del Corral y D. Miguel de la V ega; á Subtenientes de gran</t>
  </si>
  <si>
    <t>de Castro, Domingo</t>
  </si>
  <si>
    <t>Domingo de Castro</t>
  </si>
  <si>
    <t>300. 8. Presidio.' Domingo de Castro.. ........ Matías, María de S Pedro. Quintanilla... León.............. 124&gt; Muerto, Josef Lucio ....... ....... . Alonso , Man</t>
  </si>
  <si>
    <t>de Castro, Francisco</t>
  </si>
  <si>
    <t>Francisco de Castro</t>
  </si>
  <si>
    <t>, D. Joseph Dupré, D. Simón Fuentes, D. Manuel de Madrigal, D. Narciso Bernales; D. Fernando Orive, D. Francisco de Castro,.D. Francisco Mexia, D. Juan Joseph Indafmtu, D. .Juan Fatqués, ,t I&gt;. Manuel Dambrihe, D. Francisco Perez Brito , D. Juan Joseph Cana*,D'&lt;Pedro García, D. Juan Méndez, D. Rafael</t>
  </si>
  <si>
    <t>de Castro, Joseph</t>
  </si>
  <si>
    <t>Joseph de Castro</t>
  </si>
  <si>
    <t>a Cagiga, D.. Joseph de la Cagiga, T), Vicente de Lama y Montes, D. Francisco Herrera y Bustamante, Don Joseph de Castro :y Pazos , D. Francisco de Paula Michelena, D. Agustín Obándo y Adorrtoy D. Martin Uria y Navea, D. Ramón Pówert y Guirát, D. Jiiari Fernández Aiarcon, D. Joseph González Castañon</t>
  </si>
  <si>
    <t>de Castro, Manuel</t>
  </si>
  <si>
    <t>Manuel de Castro</t>
  </si>
  <si>
    <t>l Rey á Capitán al Ayudante D. Pedro de Cárdenas; y en. el de. Santiago á Portaestandarte al Cadete D. Manuel de Castro.. En América► S. M. se ha servido nombrar para una Canonoía de merced de la catedral de la Havana, vacante por fallecimiento del Dr. D. Joseph González de Candamo, Obispo Auxiliar</t>
  </si>
  <si>
    <t>de Cea, Joaquín</t>
  </si>
  <si>
    <t>Joaquín de Cea</t>
  </si>
  <si>
    <t>. Joseph Arredondo, D. Luis María Bonsteten, D. Luis Aygremont, D. Cárlos VauverdenyD. Aüigei Foxá, D. Joaquín de Cea, Don Joseph Éscovedoj Di Pedro Linares, D. Manuei^le San Pedro, D. Ramón de la Cuesta, D. Lorenzo Arroyo, D. Manuel Meneos, D. Joseph Imaz, D. Joseph Martínez, D. Rodrigo Medrano,</t>
  </si>
  <si>
    <t>de Cea, Nicolás</t>
  </si>
  <si>
    <t>Nicolás de Cea</t>
  </si>
  <si>
    <t>Ig¿. nado del Camino', D. Vicente de Boz y Cafi^* v D« JCsev*h Meñaca, Don Jfcleph Herediá y Hore, D. Nicolás de Cea , D.DiegoButron y Cortés, D: Joseph Rodríguez de Arias, D. Anselmo G -m^ndio , D. Francisco Osorio y Vargas, D. Joseph Mergelina y Silva, D. Martin Iriarte, D. Vicente de Flores V</t>
  </si>
  <si>
    <t>de Cerat, Bernardo</t>
  </si>
  <si>
    <t>Bernardo de Cerat</t>
  </si>
  <si>
    <t>a rústica. v Vida privada de los Romanos, obra escrita en francés por Mr. D'Arnay, y traducida por:.D. Bernardo de Cerat &lt;$n. ella se describen sus antiguas costumbre», el.origenjy afectos del luxd fen. Romi, la distribución de &gt; las horas , leyes;, trages^ sus visitas, convites,: juegos,loterías;&amp;c</t>
  </si>
  <si>
    <t>de Cereceda, Manuel</t>
  </si>
  <si>
    <t>Manuel de Cereceda</t>
  </si>
  <si>
    <t>l Martínez de Bujanda, médico titular de la misma, á mediados de Diciembre con el fluido pedido por D. Manuel de Cereceda á Tudela de este Reyno, se hizo la primera operación en la hija del mencionado médico , apareciendo á su tiempo un solo grano, del qual y de otros que resultaron de la operación h</t>
  </si>
  <si>
    <t>233 rá uno por vacunar. Diclio D. Manuel de Cereceda, deseoso del bien de la humanidad, quiso que en su casa se vacunasen quantos pudiesen del fluido extraido de sus seis hijos, y el médico á exemplo de otros ofrece vacunar graciosa</t>
  </si>
  <si>
    <t>de Chastre, Joseph</t>
  </si>
  <si>
    <t>Joseph de Chastre</t>
  </si>
  <si>
    <t>uel Fernandez, D. Miguel Texedor, D. Joseph de los Ríos, D. Guillermo Roo, IX Juan Antonio Heredia, D. Joseph de Chastre, D. Manuel Astor, Don Ramón Mijares, D. Francisco Alegría, D. Francisco Arnedo, D. Joseph de Zúñiga, D. Alberto Maynes, D. Joseph. de Tona, D. Juan Joseph de Fierro, D. Pedros Sal</t>
  </si>
  <si>
    <t>de Chaves y Liaño, Pedro</t>
  </si>
  <si>
    <t>Pedro de Chaves y Liaño</t>
  </si>
  <si>
    <t>-T J 0J Francisco de Castro y XerezyD. Matíaslrigoye-n y Quintana, Don Antonio del Campo y Umaran , D. Pedro de Chaves y Liaño, D. J ¿seph Sroithy Dia*,D; Beato de Micheo éIndacochea, 0. Mknuel López de Castro y Gómez *; 0.Joaquín de Santiago y García det Viso, D. Manuel Am* bulodi y Calvo,/ D. Jóseph POn</t>
  </si>
  <si>
    <t>de Chaves y Mendoza, Antonio</t>
  </si>
  <si>
    <t>Antonio de Chaves y Mendoza</t>
  </si>
  <si>
    <t>nombrar para la dignidad de Maestrescuela de la catedral de Badajoz , vacante por fallecimiento de D. Antonio de Chaves y Mendoza , á P. Juan María Caldera y Aldana, Racionero mas antiguo de aquella catedral: para la Ración que este obtiene á D. Manuel Bernárdez; y para otra titulada de S. Marcelo de la cate</t>
  </si>
  <si>
    <t>de Clemente, Manuel</t>
  </si>
  <si>
    <t>Manuel de Clemente</t>
  </si>
  <si>
    <t>rta, D. Ignacio del Valle y ¡Máttmon , D. Manuel Primo de Ribera , D. Joseph de Santiago; y.García, D. Manuel de Clemente y&gt; Miro, D. Joaquín Fernandez Chicarrón . Bernardo Metvendano, Don:</t>
  </si>
  <si>
    <t>de Cobarruvias, Pedro Gabriel</t>
  </si>
  <si>
    <t>Pedro Gabriel de Cobarruvias</t>
  </si>
  <si>
    <t>e quisieren pretenderla dirigirán sus memoriales al Secretario del Ayuntamiento de la /misma ciudad D. Pedro Gabriel de Cobarruvias*en inteligencia de que deberán acreditar en el término de 40 dias ser médicos aprobados según el orden que está mandado. , . , T, jge necesita saber e¡ paradero de Francisco de Si</t>
  </si>
  <si>
    <t>de Cobentzel, Conde</t>
  </si>
  <si>
    <t>Conde de Cobentzel</t>
  </si>
  <si>
    <t>de dar al Archiduque' todas jas posesiones eclesiásticas de Suabia, propuso el Conde de Cobentzel, Ministro del Emperador* el trueque de los paires de la derecha del Inn por las posesiones austtiacas de Suabia; pero aunqiie insistió mucho en esta propuesta , tampoco fue admitida. Entonc</t>
  </si>
  <si>
    <t>de Colloredo, Conde</t>
  </si>
  <si>
    <t>Conde de Colloredo</t>
  </si>
  <si>
    <t>con los turcos. Ratisbona i j de Abril, Ai mtes de ayer llegó aquí de Viena el Conde de Colloredo, Ministro de Bohemia en la dieta. Igualmente ha llegado el Conde de Einsiedel, Ministro de Saxonia cerca del Elector de Baviera. Según noticias de Viena está ya resuelta la reforma de la qu</t>
  </si>
  <si>
    <t>gratuitamente del beneficio de este descubrimiento. Ratisbona 77 de Abril. E 1 Conde de Colloredo, Ministro de Bohemia en la Dieta germánica, ha vuelto de Viena, y ha comunicado á los demas Ministros que en breve se arreglará el asunto de las indemnizaciones: pues entre -las principales</t>
  </si>
  <si>
    <t>de Contreras, Juan Gabriel</t>
  </si>
  <si>
    <t>Juan Gabriel de Contreras</t>
  </si>
  <si>
    <t>6oo y-un modo práctico de oir 1» misa; por D. Juan Gabriel de Contreras, presbítero; un .tomo en B.° Se hallará en la librería de Hurtado, callé de las Carretas. Vida y persecuciones de Federico , Barón de Trenck , muy conocido por las desventuras de</t>
  </si>
  <si>
    <t>de Córdoba, Alberto</t>
  </si>
  <si>
    <t>Alberto de Córdoba</t>
  </si>
  <si>
    <t>r al en xefe D. Fausto Caballero; y á ordinarios á los extraordinarios D. Joseph Joachin.de Pineda, D. Alberto de Córdoba, D. Francisco Martí y D. Joseph Santa Cruz. En América. El Rey se ha servido nombrar para el Arcedianato de la catedral de Sta. Cruz de la Sierra, vacante por íallecimiento de D.</t>
  </si>
  <si>
    <t>de Córdoba, Fernando</t>
  </si>
  <si>
    <t>Fernando de Córdoba</t>
  </si>
  <si>
    <t>pondiente á la de Montesa, vacante por fallecimiento de D. Pedro Francisco de Lorieri, al Brigadier D. Fernando de Córdoba, Oficial mayor segundo de la Secretaría de Estado y del deíoacho universal de la Guerra: para otra plaza de Ministro del Conseio de Hacienda al Conde de Guzman: para la de Oidor d</t>
  </si>
  <si>
    <t>de Córdoba, Francisco</t>
  </si>
  <si>
    <t>Francisco de Córdoba</t>
  </si>
  <si>
    <t>or de la Tesorería de exército de Aragón. A Tenientes Generales los Mariscales de Campo: en España* D. Francisco de Córdoba, D. Carlos Mori, D. Felipe Beautort, D. Salvador Perillos, D. Melchor Calatayud, D. Manuel Lapeña, D. Joseph Bureau, D. Juan Carrafa, el Marques de la Solana, D. Arturo O-Neille,</t>
  </si>
  <si>
    <t>de Córdoba, Joseph</t>
  </si>
  <si>
    <t>Joseph de Córdoba</t>
  </si>
  <si>
    <t>Don Ramón Castillo, D. Joseph María Canalejo y D. Domingo Gallegos; y í esta última clase el Cadete D. Joseph de Córdoba y D. Miguel de la Fontecilia, Soldado distinguido del mismo cuerpo: en las compañías de infantería ligera de Cataluña, ñxas de la Havana, á Capitán al Teniente D. Pedro Carné; á Tenie</t>
  </si>
  <si>
    <t>Solis y Zurita, D. Joseph Bernaci y Retamar, Don Ignacio Éscovar y Ríquelme, D. Juan Robredo y Lea, D. Joseph de Córdoba y? Roxas , 0. Lope Valcarcel y Valcarcel, D. Joseph Linares é Iba?* nez, D.; Diego de^Obando y Adorno, D. Francisco Feruandez de Miran?* qa ,/Di FranciS|cqrIJÍioa y Ramírez , D. Jos</t>
  </si>
  <si>
    <t>de Córdoba, Santiago</t>
  </si>
  <si>
    <t>Santiago de Córdoba</t>
  </si>
  <si>
    <t>y D. Joseph del Toro, Tenientes de granaderos; á esta clase á los de fusileros Don Vicente Andino, D. Santiago de Córdoba y D. Juan Escudero; á Tenientes los Subtenientes de granaderos D. Miguel Agusto, D. Alonso Velez y D. Joseph Lino Garzón, y al de fusileros D. Juan de Lugo; y á Subte-' nientes de gra</t>
  </si>
  <si>
    <t>de Corral, Ignacio</t>
  </si>
  <si>
    <t>Ignacio de Corral</t>
  </si>
  <si>
    <t>ronto como se había asegurado. Francfort 11 de Diciembre. L éese en varias gazetas que el caballero D. Ignacio de Corral, Embaxador de.España en Constantinopla, hallándose en Hermanstadt al ir á Turquía, recibió la noticia de que un literato español, que viaja por Africa á costa de su Soberano, desc</t>
  </si>
  <si>
    <t>de Cortabarría, Antonio Ignacio</t>
  </si>
  <si>
    <t>Antonio Ignacio de Cortabarría</t>
  </si>
  <si>
    <t>ado al de Granada. ' S, M. se ha servido nombrar para una de las plazas Tacantes del Consejo Real á D. Antonio Ignacio de Cortabarría. Asimismo se ha servido el Rey nombrar para la Vara de Alcalde mayor de la villa de. Bienvenida, territorio de la orden de Santiago, de primera clase ó entrada, á D. Liborio Tudel</t>
  </si>
  <si>
    <t>de Cosío, Francisco</t>
  </si>
  <si>
    <t>Francisco de Cosío</t>
  </si>
  <si>
    <t>s del Consejo de Hacienda, sueldo y antigüedad. Atendiendo el Rey al decadente estado de salilud de D. Francisco de Cosío, Administrador general de Rentas unidas de la provincia de Sevilla, y á sus distinguidos y dilatados servicios, ha vetmído «11 jubilarle con su sueldo y los honores de Comisario O</t>
  </si>
  <si>
    <t>de Courten, Francisco Joseph Márcos</t>
  </si>
  <si>
    <t>Francisco Joseph Márcos de Courten</t>
  </si>
  <si>
    <t>Steudinger, D. Juan Cristiano Bagnioud, D. Francisco Zey, D. Ghristóbal Fohn, D. Joséph Trax* ler, D. Francisco Joseph Márcos de Courten * D. Casimiro de Mendoza^ D. Baltasar Samitier, D. Joseph Plano, D. Camilo Arroyo , D. Rafael Mariano, D. Félix Zurbano, D. Juan Lieutaud, D.«Alonso Ribera, Don Pedro Joseph de Ga</t>
  </si>
  <si>
    <t>de Covarru, Joseph</t>
  </si>
  <si>
    <t>Joseph de Covarru</t>
  </si>
  <si>
    <t>o en dicha librería para que se las iluminen. Aventuras de. Telémaco , traducidas al castellano por D. Joseph de Covarru-* bias: dos tomos en 4.0 Se hallarán en la librería de Castillo, frente á S. Felipe el* Real, á 49; rs. en pasta. ^ Núm.rxxvi del Memorial literario, ó biblioteca periódica de cien</t>
  </si>
  <si>
    <t>de Cozasr, Andrés</t>
  </si>
  <si>
    <t>Andrés de Cozasr</t>
  </si>
  <si>
    <t>...... *55- 27. Id. Andrés de Cozasr..., Francisco,Tomasa Monsable.El Viso....... Ciudad-Real. .55- 6. Id. Bernardo Mendez.. Cayetano, María Torres... B</t>
  </si>
  <si>
    <t>de Craiwinckel, Manuel</t>
  </si>
  <si>
    <t>Manuel de Craiwinckel</t>
  </si>
  <si>
    <t>alonas se ha servido promover S. M. á Capitán de granaderos al de fusileros, graduado de Brigadier, Don Manuel de Craiwinckel; á segundo Teniente de granaderos al dé fusileros D. Matías de Power; y á segundo Teniente al Alférez de granaderos Don Antonio Cao de Beños y Les.</t>
  </si>
  <si>
    <t>de Cruells, Antonio</t>
  </si>
  <si>
    <t>Antonio de Cruells</t>
  </si>
  <si>
    <t>eniente al segundo de granaderos D„ Félix Llorens; á segundo Teniente de granaderos al de fusileros D. Antonio de Cruells; á segundo Tentéhte al Subteniente de granaderos D. Manuel López j á esta resulta al primer Subtenlente D. Manuel Cines; á. primer Subteniente al segundo D. Vicente Sardana, y á s</t>
  </si>
  <si>
    <t>de Diego Martín Garcilaso de la Vega, Julián</t>
  </si>
  <si>
    <t>Julián de Diego Martín Garcilaso de la Vega</t>
  </si>
  <si>
    <t>malignas sin quina, siso en las perniciosas ; y del dolor descostado espurio ó legítimo ; por el Dr.D. Julián de Diego Martin Garcilaso de la Vega : én 8.° Se hallarán en la librería de Hurtado , calle de las.Carretas. Sancho Ortiz de las Roelas : tragedia éspafiola, arreglada por D. Cándido María de Trigueros , Bibliotecari</t>
  </si>
  <si>
    <t>de Dios, Domingo</t>
  </si>
  <si>
    <t>Domingo de Dios</t>
  </si>
  <si>
    <t>....... 537. 8. Id. Domingo de Dios............... Juan, GerónimaRodríguez. Olivares............ Cuenca....... 943. 19. Id. Domingo Medal................... Vicente, Josefa de Porto... SantiagodeOis.Santiago...</t>
  </si>
  <si>
    <t>de DiósKPereyra, Juan</t>
  </si>
  <si>
    <t>Juan de DiósKPereyra</t>
  </si>
  <si>
    <t>irino* r p^a ef Arcedianato al Chantre D. Jbseph.Perez Armendáriz: para lá Chantná al Maestrescuela D Juan de DiósKPereyra: para la Mae trésCÓlía al Tesorero D. Francisco Xmer de Tesorería ál Cánonjgp D/ Josepli Fernando Baeza: para esta Canongía á D. Patricio Gabriel Menendez, Cura Rector de la igles</t>
  </si>
  <si>
    <t>de Echepare, Fernando</t>
  </si>
  <si>
    <t>Fernando de Echepare</t>
  </si>
  <si>
    <t>los comisionados siguientes. En Alicante......... D. Juan Casou y compañía. En Avila.............. D. Fernando de Echepare. En Badajoz.......... D. Manuel de la Peña. En Barcelona...... D. Ramón de Llordella é hijo. En B tíraos.......... D. Andrés Fray le. En Cádiz.............. D. Benito de la Piedra</t>
  </si>
  <si>
    <t>ionados siguientes. • .. En Alicante........... D. Juan Casou y compañía. En Avila............. ✓.. D. Fernando de Echepare y sobrinos. En Badajoz............ D. Manuel de la Peña. En Barcelona........ D. Ramón de Llordella é hijo. En Burgos.............. D. Andrés .Erayle. En Cádiz................. D. B</t>
  </si>
  <si>
    <t>o* misionados siguientes. En Alicante........... D. Juan Casou y compañía. En Avila.......... ...:. D. Fernando de Echepare y sobrinos* ' En Badajoz...... . D. Manuel de la Peña. , , En Barcelona....... D. Ramón de Liordella é hijo* En Burgos........... D. Andrés Frayle. En Cádiz................ D. Benit</t>
  </si>
  <si>
    <t>á los comisionados siguientes: . En Alicante....D. Juan Casou y compañía. Y En Avila...............D. Fernando de Echepare# En Badajoz...,.,.... D. Estdban de V^aldivieíso. En Barcelona.......D. Ramón de Llordella é hijo» En Biírgos............ D. Andrés Fray le. En Cádiz............. . I). Benito de</t>
  </si>
  <si>
    <t>os C#« misionados siguientes; En Alicante.......... D. Juan Casou y compañía. En Avila..............D. Fernando de Echepare. En Badajoz...... D. Estéban de Valdivielso. En Bdrcelona....... D. Ramón de Llordella é hijo. En Burgos....... ..... D. Andrés Frayle. En Cddtz...... D. Benito de la Piedra. En C</t>
  </si>
  <si>
    <t>los comisionados siguientes: En Alicante...»..... D. Juan Casou y compañía. En Avila*...........*. D. Fernando de Echepare. - En Badajoz.......... D. Estéban de Valdivielso. En Barcelona........D. Ramón de Llordella é hijo. En Burgos*........... D. Andrés Frayle. En Cádiz................D. Benito de l</t>
  </si>
  <si>
    <t>CQ* ínisionados siguientes : En Alicante......... D. JuanCasou y compañía. En Avila............... D. Fernando de Echepare y sobrinos. En Badajoz.......... D. Estéban de Valdivielso. En Barcelona..D. Ramón de Llórdella é hijo. En Biirgos........ . D. Andrés Fraylé. En Cádiz......... . D. Benito dé la Pi</t>
  </si>
  <si>
    <t>os comisionados siguientes ¿ En Alicante"....... D. Juan Casou y compañía. • En Avila.............. D. Fernando de Echepare y sobrinos. ri &gt; En Badajoz......".* D; Estéban de‘;Valdi vielso.;. En Barcelona^..... D. Ramón de Llordella é hijo. En Bttrgos........... . D. Andrés Frayle, ,&gt; , En Cda D. Benito</t>
  </si>
  <si>
    <t>de Echepareiy, Fernando</t>
  </si>
  <si>
    <t>Fernando de Echepareiy</t>
  </si>
  <si>
    <t>'.i í.,;,Í -ih *. • -jjc -¿EnMHcante^,^ D. Juan Casou y compañía. ,• ^ ¿ n En j4w7^....’..¿¡¿...&gt;. D. Fernando de Echepareiy sobrinos» i • 1 ~^En-'Éadty0S.X'.j.¿*:D&amp;Bséébzn defValdiéíelsov*'v••&gt; tbaw ~ En EÁUflai &amp; Ramqn'ide^Llordclla'é ¡i :«-r r;-^ i</t>
  </si>
  <si>
    <t>de Echevarría, Francisco Xavier</t>
  </si>
  <si>
    <t>Francisco Xavier de Echevarría</t>
  </si>
  <si>
    <t>D. Saturnino García de Arazuri , Arcediano de la misma iglesia : para dicho Arcedianato al Chantre D. Francisco Xavier de Echevarría : para la Chantría al Maestrescuela D. Simón Ximenez de Villalba ; para la Maestrescolía al Tesorero D. Cipriano Viliota; y para la Tesorería ai Doctoral D. Juan Joseph Manrique.</t>
  </si>
  <si>
    <t>de Echeverría, Manuel</t>
  </si>
  <si>
    <t>Manuel de Echeverría</t>
  </si>
  <si>
    <t>n jubilar, ha venido en reemplazarlos nombrando por Ministros de él á D. Pe* dro Nicolás del Valle» D. Manuel de Echeverría» D. Antonio Ranz Romanillos y D. Rodrigo Zorrilla y Monroy; y para Fiscal á D. Tadeo Se*, guñdo Gómez: y conviniendo al Real servicio restablecer la tercera Fiscal lía del mismo C</t>
  </si>
  <si>
    <t>de Eguia y Sanz, Bernardo</t>
  </si>
  <si>
    <t>Bernardo de Eguia y Sanz</t>
  </si>
  <si>
    <t>A'guádo'y Payan * D. Joseph Rovira y Mico rD. Francisco Lazarte y A-valf, Antonio Pardo de Andrade, D. Bernardo de Eguia y Sanz, Don Joseph*García Güitléfmi, D. Pedro Vázquez deVelasco, D. Joseph Abreu y Orta', Ií Joseph de Villegas y Córdoba , D. Antonio Calvillo y Lata, Di Luis'Blanchi y Munarini, D. Jos</t>
  </si>
  <si>
    <t>de Eguileta, Joachín Antonio</t>
  </si>
  <si>
    <t>Joachín Antonio de Eguileta</t>
  </si>
  <si>
    <t>y sigue un asunto moral fundado con autoridades de la sagrada Escritura y santos Padres : su autor D. Joachin Antonio de Eguileta, presbítero y capellán mayor de la iglesia de S. Ignacio de esta corte : g.a impresión. Se hallará con las Pláticas doctrinales, ó explicación de la doctrina christiana en forma d</t>
  </si>
  <si>
    <t>de Ehrenswardt, Barón</t>
  </si>
  <si>
    <t>Barón de Ehrenswardt</t>
  </si>
  <si>
    <t>r de Alemania', el Conde dé Marcoff/Ministró ‘plentpólenéiario del de Rusia, el Barón de Ehrenswardt, Ministro, del Rey de Suecia, y el Marques de Luchesini, Enviado extraordinario dei Rey de Prusiá ó preseritárqn al primer Cónsul en la audiencia del dia 6 varios súgetos de sus respectivas</t>
  </si>
  <si>
    <t>de Eildt, Barón</t>
  </si>
  <si>
    <t>Barón de Eildt</t>
  </si>
  <si>
    <t>allería. Los caballos se venderán al mayor postor. Ratisbona 12 de Octubre. E 1 Barón de Eildt, Ministro del Rey de Suecia como Duque de la Pomérania anterior, ha comunicado una representación contra todas las ocupaciones hechas hasta ahora de países señalados para resarcimientos. Lo</t>
  </si>
  <si>
    <t>de Einsiedel, Conde</t>
  </si>
  <si>
    <t>Conde de Einsiedel</t>
  </si>
  <si>
    <t>l Conde de Colloredo, Ministro de Bohemia en la dieta. Igualmente ha llegado el Conde de Einsiedel, Ministro de Saxonia cerca del Elector de Baviera. Según noticias de Viena está ya resuelta la reforma de la quarta parte de las tropas austríacas; y á los soldados que queden en el exércit</t>
  </si>
  <si>
    <t>de Eíquivel, Joseph</t>
  </si>
  <si>
    <t>Joseph de Eíquivel</t>
  </si>
  <si>
    <t>uintana y D. Joseph Soto, los seminaristas D. Toribio Olalde, D. Joachín del Rio, D. Luis Verganza, D. Joseph de Eíquivel , D. Iñigo Ortés , Don Blas de Lezo, D. Leopoldo Menendez y D. Ignacio de Lardizabal, Ln el ba) le, al cargo de su maestro D. J uan Castro, D. Joseph Kindelan , Don Ignacio Empata</t>
  </si>
  <si>
    <t>de Emparan, Ignacio</t>
  </si>
  <si>
    <t>Ignacio de Emparan</t>
  </si>
  <si>
    <t>ero, D. Antonio Tavira y D. Ignacio de Emparan: de geometría elemental, hasta los planos exclusive, D. Ignacio de Emparan, D. Sebastian de Lasa, D. Joseph de Berrosteguieta y D. Fernando Adan de Yarza: de geometría elemental, D. Bernardino Echagiie, D. Joseph de Munive y D. Antonio de ligarte: de álg</t>
  </si>
  <si>
    <t>dizabal y Altana, D. Antonio Gilmán, D. Joachín íernandez de Medrano, D. Rodrigo y D. Pedro Tavira, D. Ignacio de Emparan, X). Leopoldo Menendez, D. Joseph de Munive y D. Ramón de Zuloaga. Ln múrica vocal, al cargo de sus maestros D. Joseph Quintana y D. Joseph Soto, los seminaristas D. Toribio Olald</t>
  </si>
  <si>
    <t>de Errazquin, Joaquín María</t>
  </si>
  <si>
    <t>Joaquín María de Errazquin</t>
  </si>
  <si>
    <t>regí-, miento de caballería de la costa de Granada, que no hubieren enviado razón de sus créditos á D. Joaquín María de Errazquin, que vive en la calle.de Atocha, núm¿, 6, frente al hospital de las muge res, quarto baxo , la enviaran con la posible, brevedad. - . Poesías de D. Manuel Joseph Quintana: un tomo</t>
  </si>
  <si>
    <t>de España, Carlos</t>
  </si>
  <si>
    <t>Carlos de España</t>
  </si>
  <si>
    <t>e infantería de Borbon á Capitán al Ayudante D.;Armando Dubreuil; á esta resulta al primer Tenieñte D. Carlos de España; á la de este al segundo de granaderos D. Pedro Jouen; á segundo Teniente de granaderos al de fusileros D. Luis Derobert Duchatelet; á segundo Teniente al Subteniente de granadero</t>
  </si>
  <si>
    <t>de España, Juan</t>
  </si>
  <si>
    <t>Juan de España</t>
  </si>
  <si>
    <t>, segundo D. Gregorio Reynoso: en el de Guadalaxara á segundo Teniente al Subteniente de granaderos D. Juan de España: en el de Sevilla á Capitán al Ayudante D. Matías Munilla, y á Subteniente de granaderos al primer Subteniente D. Joseph Miranda: en el de Granada á segundo Teniente de granaderos</t>
  </si>
  <si>
    <t>de España, Juan Manuel</t>
  </si>
  <si>
    <t>Juan Manuel de España</t>
  </si>
  <si>
    <t>Juan Ignacio Vega y Caballero, Racionero de la propia iglesia: para esta Ración al Medio-Racionero D. Juan Manuel de España: para esta Media-Ración á D. Ignacio Sánchez Ibañez, Capellán de las monjas de Sta. Ines de la Puebla; y para otra Media-Ración en la reterida catedral á D. Pedro Joseph de Herrer</t>
  </si>
  <si>
    <t>de Espinosa y Tello, Manuel</t>
  </si>
  <si>
    <t>Manuel de Espinosa y Tello</t>
  </si>
  <si>
    <t>que este dexa al Cadete D. Juan Bautista Aguirre. S. M. se ha servido conceder al Teniente de Navio D. Manuel de Espinosa y Tello agregación de Teniente Coronel veterano aL regimiento provincial de caballería de Querétaro, y el grado de Coronel. El Consejo,á consulta de la Comisión gubernativa,y con aprobaci</t>
  </si>
  <si>
    <t>de Estrada, Juan Antonio</t>
  </si>
  <si>
    <t>Juan Antonio de Estrada</t>
  </si>
  <si>
    <t>n enfermos : un tomo en 8.°=Población general .de España; historia conológica ; sus trofeos &amp;c. por Don Juan Antonio de Estrada: 3 tomos en 4.°=Biblioteca universal de la polygrafín española, por D.Christóbal Rodríguez : un tomo en folio magno. Número xxm del Memorial literario , ó biblioteca periódica de</t>
  </si>
  <si>
    <t>de Evia, Antonio</t>
  </si>
  <si>
    <t>Antonio de Evia</t>
  </si>
  <si>
    <t>416. 11. Id. Antonio de Evia.................. Andrés, Ana Bernardo....... Pola Elena... Oviedo.......... 454. 13- Id. Trabante Josef Carmona... ...........................</t>
  </si>
  <si>
    <t>de Federici, Domingo</t>
  </si>
  <si>
    <t>Domingo de Federici</t>
  </si>
  <si>
    <t>Ip4¿ D. Domingo de Federici, D. Manuel Salamanca y Morillo , D. Francisco Echavarría y Chacón, D. Tomas Blanco Cabrera, D: Felipe Bausá,:0on Favio Aliponzoni, .D. Jacobo Morfi, D. Madano Isazbinbil, D. Josep</t>
  </si>
  <si>
    <t>de Feltz, Barón</t>
  </si>
  <si>
    <t>Barón de Feltz</t>
  </si>
  <si>
    <t>tiempo ausente. Bruselas _9 de Junio. L a corte de Viena nombró hace 3 meses al Barón de Feltz, natural de esta ciudad, para Embaxador imperial en la República bátava; y se hallaba aquí quando tuvo de oficio la noticia de su nombramiento. Algún tiempo después-fue elegido en su lugar</t>
  </si>
  <si>
    <t>de Ferreras, Juan</t>
  </si>
  <si>
    <t>Juan de Ferreras</t>
  </si>
  <si>
    <t>: octava edición nuevamente corregida: un tomo en 8.°=Synopsis históried cronológica de España, por D. Juan de Ferreras: 17 tomos en 4.°=Tratado de la Victoria de sí mismo, traducido del toscano por el P. M. Fr. Melchor Cano, de la órdea de Predicadores: un tomo en 8.°=Doctrina christiana sobre el</t>
  </si>
  <si>
    <t>de Fiandes, Joseph</t>
  </si>
  <si>
    <t>Joseph de Fiandes</t>
  </si>
  <si>
    <t>S. M. en el de Extremadura la Capellanía del segundo batallón al Capellán del primero del de Soria D. Joseph de Fiandes. Para la Comandancia general de la provincia de Guipúzcoa ha nombrado S. M. al Mariscal de Campo D. Francisco Taranco, Gobernador de la plaza de Gerona : para este Gobierno al Bri</t>
  </si>
  <si>
    <t>de Fierro, Christóbal</t>
  </si>
  <si>
    <t>Christóbal de Fierro</t>
  </si>
  <si>
    <t>iz de la villa de Oruro; y para una Media Ración de la catedral de Caricas, vacante por renuncia de D. Christóbal de Fierro, á D. Nicolás Antonio Ossió , Cura Rector del Sagrario de la misiiia catedral. ■&gt;v «;4 * '‘;' ’T"’gelian mandado publicar por 9 dias mas varias fincas, que por el juzgado del Sr D</t>
  </si>
  <si>
    <t>de Fierro, Juan Joseph</t>
  </si>
  <si>
    <t>Juan Joseph de Fierro</t>
  </si>
  <si>
    <t>Francisco Alegría, D. Francisco Arnedo, D. Joseph de Zúñiga, D. Alberto Maynes, D. Joseph. de Tona, D. Juan Joseph de Fierro, D. Pedros Salcedo, D. Ignacio Muñoz de Cedenilla, D. Pedro de Tagle y D. Atanasio Sotelo. , Agrado de Capitán los Tenientes: en España, D. Manuel Chaperon y D. Leoncio Carrasco.</t>
  </si>
  <si>
    <t>de Figueroa, Manuel</t>
  </si>
  <si>
    <t>Manuel de Figueroa</t>
  </si>
  <si>
    <t>l primer lugar en su clase, á D. Rafael Aróspide y D. Francisco de la Dehesa el mismo en la suya, á D. Manuel de Figueroa, D. Manuel Alvarez y D. Pedro de Orille: también se mandó darles certificaciones, como igualmente á D. Félix de la Maza y Llaguno, y D. Miguel Gómez Avecia: habiéndose dado princi</t>
  </si>
  <si>
    <t>de Floranes, Rafael</t>
  </si>
  <si>
    <t>Rafael de Floranes</t>
  </si>
  <si>
    <t>íóll del autor t Calle de Toledo , núm. a, quarto a.® Memorias históricas de D. Rafael de Floranes , Vele* de Robles, Señor de Ta▼añeros, que pueden servir para formar su elogio: las publica D. Ray mundo Garrí* do. Los elogios que ha merecido el Sr. Floranes á nuestros escritor</t>
  </si>
  <si>
    <t>de Flores VülamiJ, Vicente</t>
  </si>
  <si>
    <t>Vicente de Flores VülamiJ</t>
  </si>
  <si>
    <t>. Anselmo G -m^ndio , D. Francisco Osorio y Vargas, D. Joseph Mergelina y Silva, D. Martin Iriarte, D. Vicente de Flores VülamiJ,^. Francisco .Füente^Bircancgra, D. Juan Coronado, D. Joseph Doronzoro, D« Joseph R.eynoso Roldan , 0. Angel Crespo Martínez, D. JosephTde^éspj^§, Í&gt;; Antonio Van-halen y Morfi, D</t>
  </si>
  <si>
    <t>de Forell, Barón</t>
  </si>
  <si>
    <t>Barón de Forell</t>
  </si>
  <si>
    <t>ejércitos del Emperador de Rusia, que se restituye de Francia á Petersburgo, el Barón de Forell, Ministro del Elector de Saxonia en la corte de España, el Conde de Wadis, Chambelán dé S. M. I., y el Sr. Roy dan, Encargado de Negocios de la Puerta otomana en Viena, que va á París con u</t>
  </si>
  <si>
    <t>de Fuero, Manuel</t>
  </si>
  <si>
    <t>Manuel de Fuero</t>
  </si>
  <si>
    <t>gnas ; á D. Pedro y D. Joaquín Cornel ; á D. Manuel dé Herédia y Hore; á D. Joseph Rosi y Rubí» y á D. Manuel dé Fuero wHevía¿ 7 r 7'/ '7; ? 7',: -7 -7 7;77' 7/" 7-‘::;‘'-; -c\j hov- . ' Lld‘óé&gt; i;_cvn Exercicio* 7 '7- : 7 7.7 í : ..r\ r lauque de Sóttímáyór; Conde dé Rivadavia; Conde- de Bérbédá</t>
  </si>
  <si>
    <t>de Gáceres, Vicente</t>
  </si>
  <si>
    <t>Vicente de Gáceres</t>
  </si>
  <si>
    <t>do promover eri él regimiento de infantería.dé'la Córona á primer Teniente al segundo de granaderos D. Vicente de Gáceres:</t>
  </si>
  <si>
    <t>de Gallitzin, Jorge (príncipe)</t>
  </si>
  <si>
    <t>Príncipe Jorge de Gallitzin</t>
  </si>
  <si>
    <t>aber el Duque de Módena aceptado el páis¡ del Brisgaw por via de indemnización de sus pérdidas.; El Príncipe Jorge de Gallitzin, que viene.de Rusia, ha pasado por esta ciudad yendo á París, como también el Marques de Bellegarde, Teniente Coronel del ejército ruso, despachado de Petersburgo por el Emperador</t>
  </si>
  <si>
    <t>de Gally, Ignacio</t>
  </si>
  <si>
    <t>Ignacio de Gally</t>
  </si>
  <si>
    <t>te Don Dionisio de Piedra y al Sargento primero de granaderos D. Francisco González, como también á D. Ignacio de Gally, Cadete del primer batallón de Voluntarios de Barcelona: en el de cazadores Voluntarios de la Corona á Subteniente á D. Gerónimo Anaya, segundo Subteniente del de la Reyna: en el</t>
  </si>
  <si>
    <t>de Galvez Alercier, Joseph</t>
  </si>
  <si>
    <t>Joseph de Galvez Alercier</t>
  </si>
  <si>
    <t>aga primera Subtenencia al segundo Subteniente D. Ramón de Aíedina, y segunda Subtenencia al Cadete D. Joseph de Galvez Alercier; habiendo conferido igualmente S. M. Compañía en el de dragones de Almansa al Ayudante, graduado de Capitán, D. foseph Yeste. En el regimiento de caballería del Infante se ha dign</t>
  </si>
  <si>
    <t>de Galyenzu, Francisco Xavier</t>
  </si>
  <si>
    <t>Francisco Xavier de Galyenzu</t>
  </si>
  <si>
    <t>ros D. Francisco Valdez ; á Subteniente de fusilecosaL segundo” Ayudante:, graduado de Subteniente, D. Francisco Xavier de Galyenzu, y esta resulta al Cadete D. Alejandro Alvarez de Guiñan, y en el regimiento de dragones de Mé-^ xico á Alférez ai Cadete D. Akexandro Cosío. . k. ■También se ha ^ servido S. M. n</t>
  </si>
  <si>
    <t>de GamezyD, Pedro Joseph</t>
  </si>
  <si>
    <t>Pedro Joseph de GamezyD</t>
  </si>
  <si>
    <t>Plano, D. Camilo Arroyo , D. Rafael Mariano, D. Félix Zurbano, D. Juan Lieutaud, D.«Alonso Ribera, Don Pedro Joseph de GamezyD. Vicente Morodo, Di- Felipe Sicre, D. Baltasar Alvarez, D. Joseph Antonio de Calzada, D. Luis Calvo, D; Joseph Astraudi, D. Anselmo Martínez,_D. Rayníundo Carbonell,* D. Rodrigo •</t>
  </si>
  <si>
    <t>de Ganga Arguelles, Felipe Ignacio</t>
  </si>
  <si>
    <t>Felipe Ignacio de Ganga Arguelles</t>
  </si>
  <si>
    <t>nuel Perez de Rozas. Para una de las plazas del Consejo Real, que quedan vacantes, nombro al Fiscal D. Felipe Ignacio de Ganga Arguelles. =Tendráse entendido en la Cámara, y se dispondrá lo conveniente á su cumplimiento.^ En Guadalaxára á 15 de Agosto de 1802.=: Al Gobernador del Consejo.’*</t>
  </si>
  <si>
    <t>de Garro, Joseph</t>
  </si>
  <si>
    <t>Joseph de Garro</t>
  </si>
  <si>
    <t>22 , manz. 449, perteneciente á la memoria que para dotar parientas pobres mandó fundar el Exc. Sr. D. Joseph de Garro, que tiene 2486 pies de sitio, y está tasada en 101,073! rs. , se ha vuelto á señalar el dia 25 de este á las 1 2 de su mañana en la audiencia del Sr. D. Miguel Munarríz, del Cons</t>
  </si>
  <si>
    <t>449, perteneciente á la memoria que para dptar huérfanas parientes pobres mandó fundar el Exc. Sr. D. Joseph de Garro, la; ’ qual comprehende &gt;480 pies de sitio, tasada en 101,073 rs., acuda ante,el Sr. D7Francisco Domenech y Nadal, del Consejo de S. M. y su Alcalde..de casa ,y ,corte¿ por la esc</t>
  </si>
  <si>
    <t>de Gastro, Joseph</t>
  </si>
  <si>
    <t>Joseph de Gastro</t>
  </si>
  <si>
    <t>á los Subtenientes D. Nicolás Aguilera -y Don Gaspar dé Santistébán y' á Subtenientes á los Cadetes D. Joseph de Gastro y í). Manuel Aguilar. Catón español político christiano: obra original sacada de graves autores nacionales y extrangeros, para la. enseñanza ybuena educación de los ñifios y jóvenes</t>
  </si>
  <si>
    <t>de Gerona, Miguel</t>
  </si>
  <si>
    <t>Miguel de Gerona</t>
  </si>
  <si>
    <t>. Serafín del Rincón, D. Mariano Carrasco, D. Vicente Pico, í). Antonio Arias , D. Joseph Espinosa, D. Miguel de Gerona, D. Manuel Henriquez, D. Francisco Xavier de Mendíri, D. Bartolomé Ladrón de Guevara, D. Gerónimo Montóya, Don Manuel de la Breña, D. Manuel de Alva, D. Juan Vázquez, D. Alberto M</t>
  </si>
  <si>
    <t>de Gim, Antonio</t>
  </si>
  <si>
    <t>Antonio de Gim</t>
  </si>
  <si>
    <t>de varías edades; y en el’año de 1798 acompaño, deorden de SS. MM., á su primer Cirujano de Cámara D. Antonio dé Gim- ‘ bernat, en la que se executó en el Príncipe nuestro Señor, y los Serenísi-mos Sres. Infantes D. Garlos y D. Francisco de Paulav noticioso del descubrimiento de la vacuna y y ent</t>
  </si>
  <si>
    <t>de Gimbeirnat, Antonio</t>
  </si>
  <si>
    <t>Antonio de Gimbeirnat</t>
  </si>
  <si>
    <t>has veces,con notable perjuicio del enfermo, y se establece un método curativo, fácil y seguro: por D. Antonio de Gimbeirnat, del Consejo de S. M. en el de Hacienda, su primer Cirujano de Cámara , y Presidente de la Real junta suprema gubernativa de cirugía. Se hallará en la librería' de la viuda de Iba</t>
  </si>
  <si>
    <t>de Glocester, Duque</t>
  </si>
  <si>
    <t>Duque de Glocester</t>
  </si>
  <si>
    <t>ipe heredero de Nassau-Dietz.r Parece cierto que el Príncipe Guillermo Eduardo, Duque de Glocester, hijo 6.° del Rey , se casa con una Princesa dé Rjisia; y á esto se atribuye el viagé quecasi repentinamente ha emprendido en una fragata para Petersburgo. En lasúltimasgazetas de Nueva</t>
  </si>
  <si>
    <t>á Schleswig. ' Quando llegó á esta capital el Príncipe Guillermo de Inglaterra, Duque de Glocester, hijo 6.° de S. M. Británica, encontró un coche del Rey para llevarle á la habitación que por orden de S. M. le habían puesto en el palacio de Friedrichsberg; pero S. A. R. no le admiti</t>
  </si>
  <si>
    <t>de Godoy, Joseph</t>
  </si>
  <si>
    <t>Joseph de Godoy</t>
  </si>
  <si>
    <t>r, caballero de la del Toyson, Gran Cruz de la de Cárlos iii , Presidente del .Consejo de Ordenes : D. Joseph de Godoy, Gran Cruz de la de Cárlos, iii, Gobernador del de Hacienda: Conde de Montarco de la Pena de Badija: D. Juan Manuel Alvarez, caballero de la del Toyson : D. Juan de Lángara, Gran</t>
  </si>
  <si>
    <t>de Goicoa, Joseph Manuel</t>
  </si>
  <si>
    <t>Joseph Manuel de Goicoa</t>
  </si>
  <si>
    <t>Francisco de Castro Navarro, D. Joaquín Zarauz, D. Joseph Calderón, D. Antonio García' de Quesada, D. Joseph Manuel de Goicoa, D. Miguel Irigoyen, D^Joan Mesías* y D. Tomas Avalde. ' A Capitanes de Fragata los Tenientes de Navio D. Joseph Meneses, D. Juan Antonio Careaga, D. Vicente Foxa y Montúfar, D. R</t>
  </si>
  <si>
    <t>de Gorvea y Vadillo, Joseph</t>
  </si>
  <si>
    <t>Joseph de Gorvea y Vadillo</t>
  </si>
  <si>
    <t>para la Regencia de la Audiencia de Filipinas, vacante por muerte de D. Agustín Ignacio Emparan, á D. Joseph de Gorvea y Vadillo, Fiscal de lo civil de la de Lima. El 2Cf de Enero último falleció en esta corte la Encina. Sra. Doña María Petronila Alcántara Pimentel, Cernecio y Guzman &amp;c., Marquesa de Mancer</t>
  </si>
  <si>
    <t>de Goy, Lucas</t>
  </si>
  <si>
    <t>Lucas de Goy</t>
  </si>
  <si>
    <t>aeErr&amp; Cayetano Lobaton y,Cerrión,. D. Vicente Menendez :Go yeil*. D. Joseph Ballesteras y Fermosel!D. Lucas de Goy cochea* 0. Andrés Santiso y Serántes, Dea Antonio Montenegro Espantoso, 0. Pedro Hurtado de Corcuera, D. Simón Londoño y Collantes , D. Joseph Bustamante Mannque, D. Joseph de Tol</t>
  </si>
  <si>
    <t>de Granada, Antonio</t>
  </si>
  <si>
    <t>Antonio de Granada</t>
  </si>
  <si>
    <t>rancisco de Avendaño ; para la Canongía de la metropolitana de Búrgos, vacante por fallecimiento de D. Antonio de Granada, á D. Martin Leonardo de la Barga: para la de la colegiata de la ciudad de S. Felipe, diócesis de Valencia, vacante por muerte de D. Timoteo Esteve, á D. Andrés Calabuig: para una</t>
  </si>
  <si>
    <t>de Gravina, Carlos</t>
  </si>
  <si>
    <t>Carlos de Gravina</t>
  </si>
  <si>
    <t>ver en el regimiento de Reales Guardias Walonas á primer Teniente al segundo Teniente de granaderos D. Cárlos de Gravina. En el Real cuerpo de Artillería ha conferido S. M. el empleo de Teniente al Subteniente D. Juan Galindo; y el de Subteniente de minadores del quarto batallón á D. Christóbal Poma</t>
  </si>
  <si>
    <t>de Guerra, Jóséph</t>
  </si>
  <si>
    <t>Jóséph de Guerra</t>
  </si>
  <si>
    <t>. Francisco Medrano , y á Alféreces á los Sargentos primeros D. At^pasio Quadra, de Carabineros , y D. Jóséph de Guerra, y al Cadete D. Tomas Dávila. También ha concedido $. M. agregación de Alférez al referido cuerpo de Milicias de caballería á D. Manuel de Andino. 1 El Consejo, i consulta de la C</t>
  </si>
  <si>
    <t>de Guevara Vasconcelos, Joseph</t>
  </si>
  <si>
    <t>Joseph de Guevara Vasconcelos</t>
  </si>
  <si>
    <t>nes, vacante por fallecimiento de D. Joachin Joseph de Navasqiies, á Don Joseph de Guevara Vasconcelos, Ministro honorario del mismo Consejo. En América. El Rey se ha servido conferir el empleo de Tesorero de las Caxas principales de Carácas, en la provincia de Venezuela, á D. Blas</t>
  </si>
  <si>
    <t>de Guevara, Joseph Joachín</t>
  </si>
  <si>
    <t>Joseph Joachín de Guevara</t>
  </si>
  <si>
    <t>284 reecion de su maestro D. Joseph Joachín de Guevara fuéron examinados D. Joachín del Rio, D. Luis Vidarte, D. Toribio Olalde, D. Joseph Mar ría Esquivel, D. Joseph Catalan, D. Blas de Lezo, D. Joseph Martínez, D. Luis Verganza y D.</t>
  </si>
  <si>
    <t>de Guevara, Juan Joseph</t>
  </si>
  <si>
    <t>Juan Joseph de Guevara</t>
  </si>
  <si>
    <t>a, para el remate de un oficio de Receptor de los Reales Consejos, perteneciente á los herederos de D. Juan Joseph de Guevara, tasado en la cantidad de i69rs. Quien quisiere hacer postura á él acuda ante dicho Sr. Alcalde y escribanía de D. Juan Antonio Diaz Noriega. El Sr. D. Juan Antonio Santa María, p</t>
  </si>
  <si>
    <t>un oficio de Receptor de los Reales Consejos, tasado en 1 &lt;5© rs. perteneciente á los herederos de D. Juan Joseph de Guevara , el miércoles 7 del’ presente á las n de su mañana en la escribanía de provincia de D. Juan Antonio Diaz N01 iega. , , A voluntad de su dueño se vende una casa sita en la calle d</t>
  </si>
  <si>
    <t>de GuiÜelmi, Juan Jorge</t>
  </si>
  <si>
    <t>Juan Jorge de GuiÜelmi</t>
  </si>
  <si>
    <t>ó él examen dé moral y metafísica'. Los alumnos dél seminaria tuviéroií el honor de que el Exc. Sr. D. Juan Jorge de GuiÜelmi, Capitán! General del Réyno dé Arágdñ¿ presenciara los exámenes &gt; dé dos di as, le» sorteara los capítulos , y añadiera á las disertaciones sus conocimientos Relativos á las mater</t>
  </si>
  <si>
    <t>de Haogwítz, Conde</t>
  </si>
  <si>
    <t>Conde de Haogwítz</t>
  </si>
  <si>
    <t>ma) lás ciiídá^és de wénger, Huysson’y Maiburgp;’ Dicho convenio le firmaron él Conde de Haogwítz, Ministro der S. M. ^ y el ciud. Húltmarih j¿ Enviado bátávo.__ Pocas horas después salió este ultimo para el^Haya. Durante sti5 aüsencia^ desempeña Mr. BourdeauX ' ístó^ítooidhe^ de Encarg</t>
  </si>
  <si>
    <t>de Hardemberg, Conde</t>
  </si>
  <si>
    <t>Conde de Hardemberg</t>
  </si>
  <si>
    <t>iud. Laforet, Ministro de Francia; y haáta su llegada no saldrán para Munich el Conde de Hardemberg, Ministro prusiano, y Mr. de Schuckmann, Consejero íntimo, que van á tratar de ciertos intereses pendientes entre Baviera y Prusia. Acaba de puolicarse otro estado de las pérdidas que han h</t>
  </si>
  <si>
    <t>de Hardenberg, Barón</t>
  </si>
  <si>
    <t>Barón de Hardenberg</t>
  </si>
  <si>
    <t>la costa de Guinea. Berna 14 de Diciembre. H: a llegado repentinamente aquí el Barón de Hardenberg, Ministro prusiano ; y después de conferenciar con el Ministro francés Verninac , salid para Neuchatel. El referido Ministro de Francia recibid el día 9 dos correos extraordinarios de Paris</t>
  </si>
  <si>
    <t>de Hen, Gerónimo</t>
  </si>
  <si>
    <t>Gerónimo de Hen</t>
  </si>
  <si>
    <t>D. Alonso Ribera; á Alférez al Portaestandarte D. Ramón Antonio López , y á esta resulta al Cadete D. Gerónimo de Hen estrosa: en el de Alcántara á Portaestandarte al Sargento D. Vicente Albarran ; y en el de Voluntarios de España á Ayudante al primer Teniente D. Juan de Vergara , y á Alférez al Ca</t>
  </si>
  <si>
    <t>de Herbert, Barón</t>
  </si>
  <si>
    <t>Barón de Herbert</t>
  </si>
  <si>
    <t>a iglesia; pero la Sublime Puerta se -opuso á ello, harta que por mediación del Barón de Herbert, Ministro austríaco, consintió el Gran Señor en que se edificase. Viena § de Diciembre. D ase por cierto que el gobierno de Francia ha manifestado deseos de que la diputación extraordinaria</t>
  </si>
  <si>
    <t>aordinario despachado de Constantinopla ha traído Ja noticia de haber muerto el Barón de Herbert, Ministro del Emperador en la Sublime Puerta. Sirvió este empleo mas de .30 años, y quando la guerra de i;7$7 entre Austria y Turquía.fue encerrado en el castillo de las Siete-Tor— res; per</t>
  </si>
  <si>
    <t>de Herédia y Hore, Manuel</t>
  </si>
  <si>
    <t>Manuel de Herédia y Hore</t>
  </si>
  <si>
    <t>e la Real orden española de Cdrlos ni V ';Á¡Í&gt;.-'Pedro Yangnas ; á D. Pedro y D. Joaquín Cornel ; á D. Manuel dé Herédia y Hore; á D. Joseph Rosi y Rubí» y á D. Manuel dé Fuero wHevía¿ 7 r 7'/ '7; ? 7',: -7 -7 7;77' 7/" 7-‘::;‘'-; -c\j hov- . ' Lld‘óé&gt; i;_cvn Exercicio* 7 '7- : 7 7.7 í : ..r\ r lauque de S</t>
  </si>
  <si>
    <t>de Hermosilla y Sandoval, Ignacio</t>
  </si>
  <si>
    <t>Ignacio de Hermosilla y Sandoval</t>
  </si>
  <si>
    <t>a Huerta, D. Ignacio Lisian y D. Martin de Ulloa. = Noticia de las ruinas de Talavera la vieja, por D. Ignacio de Hermosilla y Sandoval. = Continua cion de la memoria antecedente por D. Jcsepb Cornide de Saavedra; acompañan á esta noticia 7 láminas que contienen varias antigüedades é inscripciones , y los dibuxos</t>
  </si>
  <si>
    <t>de Hermostlla, Juan Antonio</t>
  </si>
  <si>
    <t>Juan Antonio de Hermostlla</t>
  </si>
  <si>
    <t>el Excmo. Sr.. Arzobispo, director, 2 por el censor D. Francisco Tabares de "UUoa,‘ 4.por el socio D. Juan Antonio de Hermostlla, 6 por un socio , y losj otros dos por D. Tomas Ricord y una persona particular ; habiendo ce-‘ dido para los fondos de la sociedad los jóvenes í). Ignacio Peyrolon, D011 Tomas Mo</t>
  </si>
  <si>
    <t>de Herrera, Pedro Joseph</t>
  </si>
  <si>
    <t>Pedro Joseph de Herrera</t>
  </si>
  <si>
    <t>apellán de las monjas de Sta. Ines de la Puebla; y para otra Media-Ración en la reterida catedral á D. Pedro Joseph de Herrera, Cura de Papascuaro, del obispado de Durango. También se ha servido nombrar para la Chantría de la catedral de Córdoba del Tucuman, vacante por fallecimiento de Don Joseph Lino Es</t>
  </si>
  <si>
    <t>de Hesse, Carlos (príncipe)</t>
  </si>
  <si>
    <t>Príncipe Carlos de Hesse</t>
  </si>
  <si>
    <t>e hallaría de vuelta el 18 en aquella ciudad. En su viage de Luisenlund * Gluckstadt lé acompaña el Príncipe Carlos de Hesse. Quatro embarcaciones dinamarquesas, procedentes de la isla de Santa Cruz, han llegado aquí con frutos de aquella colonia. Uamburgo 2$ de Julio. E n virtud de órdenes de $. M. Pru</t>
  </si>
  <si>
    <t>de Hevia y Noriega, Gabriel</t>
  </si>
  <si>
    <t>Gabriel de Hevia y Noriega</t>
  </si>
  <si>
    <t>oe Tesorero y Canónigo de dicha santa iglesia, D. Miguel de Ocnoa,' -Auditor de la Rota y Canónigo, D. Gabriel de Hevia y Noriega, del Consejo de la Inquisición general y Canónigo, y D; Sebastian de Gorbea, Arcediano de Calatrava, Dignidad de la misma santa iglesia. La Real academia de Derecho español intitu</t>
  </si>
  <si>
    <t>de Hevia, Francisco</t>
  </si>
  <si>
    <t>Francisco de Hevia</t>
  </si>
  <si>
    <t>A lexandroIzquierdo: para la Canongía de la metropolitana dé Sevilla, vacante por fallecimiento de D. Francisco de Hevia* y Ay ala, á D. Joseph Soler: para la Oanongía Doctoral nuevamente erigida en la colegiata de la ciudad de S. Felipe, diócesis de Valencia, á D. Vicente Bordes -/para la Pavordía</t>
  </si>
  <si>
    <t>de Hevia, Juan</t>
  </si>
  <si>
    <t>Juan de Hevia</t>
  </si>
  <si>
    <t>1047 Antonio Benavides, D. Joseph del Calvó, D. Martin de Tompson, D. Juan de Hevia , D. Diego Guillen, D. Julián Henriquez , D..Pedro Marín Fernandez , D. Vicente García y Navarro, y D. Hipólito Souvirao. • -i Em tercera :}echa.\ :-ú]&gt; .• -.r* un P. Joseph-de Se</t>
  </si>
  <si>
    <t>de Hita, Manuel</t>
  </si>
  <si>
    <t>Manuel de Hita</t>
  </si>
  <si>
    <t>en segundos D. Francisco García Carrasco y D. Juan Tomas de Córdoba; y á extraordinario al Ayudante D. Manuel de Hita. En América. En el regimiento de infantería de JaHavana ha promovido el Rey á Capitanes al Teniente de granaderos D. Diego de Alburquerque, al Ayudante D. Luis Cotilla y al Tenien</t>
  </si>
  <si>
    <t>de Hombre, Pedro</t>
  </si>
  <si>
    <t>Pedro de Hombre</t>
  </si>
  <si>
    <t>yno de León en la Nueva España, vacante por renuncia que ha hecho de ella D. Joseph Mam Ortigosa, a D. Pedro de Hombre , Cura Vicario que fué en el obispado de Durango. _ Igualmente ha concedido S. M. la Contaduría Real de diezmos de a C?. í TV T«««h María de Arteaga: la plaza de Oiicial_ mayor de</t>
  </si>
  <si>
    <t>de Hore, Rafael</t>
  </si>
  <si>
    <t>Rafael de Hore</t>
  </si>
  <si>
    <t>gigal Marques del Real Tesoro, D.Alarcelo Espínela, D. Agustín Figueroa, D. Joseph Uriarte y Borla, D. Rafael de Hore, y D. Joseph Espinosa Tello. A Capitanes de Navio los de Fragata ■i D. Juan Carranza, D. Bruno Palacio*, D. Juan Elizalde y Uztariz, D. Tomas Herrera y Cruzat, D. Juan Ignacio Bus</t>
  </si>
  <si>
    <t>de Hoyos y Laraviedra, Francisco</t>
  </si>
  <si>
    <t>Francisco de Hoyos y Laraviedra</t>
  </si>
  <si>
    <t>go Gadéa y Fernandez de Arbina, D. Rafael de la Iglesia y Darrac ,D. Manuel Villavicencio y Garcés, D. Francisco de Hoyos y Laraviedra, D. Mariano Martínez y Vega, D. Gerónimo Fernandez dé Fuenmaybr, D. Alezo Ponce de León y Molejón , ,D. "Guillermo Auvarede: y Perez, D. Diego del Castillo y Castro, D. Sebastian</t>
  </si>
  <si>
    <t>de Ibáñez Arco, Joseph</t>
  </si>
  <si>
    <t>Joseph de Ibáñez Arco</t>
  </si>
  <si>
    <t>ta de 16 de Julio ultimo. Ei 74 de Julio falleció en esta corté á los 75 años de edad el Éxcmq. Sr. D. Joseph de Ibañez Arco, Camus Riba-Herrera, Marques de V-aW buena de Duero , Teniente general de la artillería de las-quatro villas de la costa.de Cantabria, Veintiquatro de Sevilla, Teniente General de</t>
  </si>
  <si>
    <t>de Ibarra, Joaquín</t>
  </si>
  <si>
    <t>Joaquín de Ibarra</t>
  </si>
  <si>
    <t>utor, y para que saliese completa y correcta se han tenido presentes las famosas ediciones que hizo D. Joaquín de Ibarra ^n 1772 y otras anteriores. Se hallarán á 22 rs. en buena pasta, y x8 en pergamino en las librerías de Castillo, frente á S. Felipe, y en la de Orea, frente á S. Luis. - ; Colecci</t>
  </si>
  <si>
    <t>de Iberrí, Nicolás</t>
  </si>
  <si>
    <t>Nicolás de Iberrí</t>
  </si>
  <si>
    <t>a de la Corona de Nueva España se ha servido S. M. promover á Capitán de granaderos al de fusileros D. Nicolás de Iberrí ; á Capitán de fusileros al Teniente de granaderos t); Joseph Gallegos; á Teniente de granaderos al de fusileros D. Bernardo Gallegos; á Teniente de fusileros al Subteniente de gr</t>
  </si>
  <si>
    <t>de Icaza, Martín</t>
  </si>
  <si>
    <t>Martín de Icaza</t>
  </si>
  <si>
    <t>ignado conceder el empleo de Capitán del esquadren de dragones Voluntarios de Guayaquil al Teniente D. Martin de Icaza; el que este dexa al Alférez D. Joseph Joaquín Avilés, y el de Portaguión al Cadete D. Joseph Cornejo. Se prorega hasta fin de Julio el término señalado para recibir memoriales de</t>
  </si>
  <si>
    <t>de Ilzarve, Manuel Joseph</t>
  </si>
  <si>
    <t>Manuel Joseph de Ilzarve</t>
  </si>
  <si>
    <t>ue á D~ Joseph de Leyva : para la de Oficial, último de la. Contaduría general de la citada Renta á D. Manuel Joseph de Ilzarve: para: B de Escribiente provisional de La misma Contaduría á D. Francisco Sánchez Ambriz ; para la de Guarda, patricio del departamento de Huexutla-¿</t>
  </si>
  <si>
    <t>de Inciarte, Joseph Ignacio</t>
  </si>
  <si>
    <t>Joseph Ignacio de Inciarte</t>
  </si>
  <si>
    <t>..llegado á su destino, quien sepa de ellos-avisará en San Sebastian á dicho Sr. Atalay, en Cádiz á D. Joseph Ignacio de Inciarte, ó en Madrid á los Sres. Galarza y. Goycoeche§. Don Manuel María de Acedo y Atodo , residente en la villa de Vergara, como patrono,que.es de upa capellanía .mere lega, ó memoria d</t>
  </si>
  <si>
    <t>de Irazabal, Manuel</t>
  </si>
  <si>
    <t>Manuel de Irazabal</t>
  </si>
  <si>
    <t>Rentas de Alcalá de Henáres; á IX Manuel Alvarez, Administrador gene* ral de Rentas de Cartagena; á D. Manuel de Irazabal, Administrador general que fué de Salinas de Galicia; á D. Alfonso Ramírez Portocarrero, que lo es general en-Salamanca ;á £&gt;. Lúeas Jaques, que lo es de Valia-, dolid; á D. Franc</t>
  </si>
  <si>
    <t>de Iriarte, Tomás</t>
  </si>
  <si>
    <t>Tomás de Iriarte</t>
  </si>
  <si>
    <t>nuación a la Historia moral del nuevo Robinson escrita en aleman por el Sr. Campe , y traducida por D. Tomas de Iriarte. El autor de. los tomos 3.0 y 4.0 que ahora se publican expone en ellos la suerte de Robinson desde que en Hamburgo aprendió el oficio de ebanista en compañía del indio Dorqingo :</t>
  </si>
  <si>
    <t>de Iriberri, Joseph</t>
  </si>
  <si>
    <t>Joseph de Iriberri</t>
  </si>
  <si>
    <t>restamera de Villalba del Rey , en la diócesis de Cuenca, vacante por renuncia que ha hecho de ella D. Joseph de Iriberri, á D. Tomas María Sacristán; y para la Capellanía tercera, baxo la invocación de Ntra. Señora, vacante en la parroquia de Sta. María del Mar, de la ciudad de Barcelona, por renunc</t>
  </si>
  <si>
    <t>de Iriberri, Joseph Joachín</t>
  </si>
  <si>
    <t>Joseph Joachín de Iriberri</t>
  </si>
  <si>
    <t>rte, á D. Isidoro Sanz de Velasco: para la de Alcalde del crimen de la de Galicia, que este dexa, á D. Joseph Joachín de Iriberri: para otra de Alcalde mayor de la Audiencia de Asturias, vacante por jubilación de D. Miguel de León Santos de San Pedro, á D. Eusebio Joseph Vejerano: para el Corregimiento de le</t>
  </si>
  <si>
    <t>de Irigoyen, Joseph Antonio</t>
  </si>
  <si>
    <t>Joseph Antonio de Irigoyen</t>
  </si>
  <si>
    <t>. Dignidad de la catedral dé Pamplona, vacante por muerte.de D. Juan Fermín de Oteyza y Larrayoz, á D. Joseph Antonio de Irigoyen , Rector del. colegió de S. Juan Bautista de aquella ciudad: para una Ración de Coro y Altar de la catedral de Ibiza , vacante por fallecimiento de D/ Antonio Calvet, á D. Joseph</t>
  </si>
  <si>
    <t>de Irigoyen, Joseph Manuel</t>
  </si>
  <si>
    <t>Joseph Manuel de Irigoyen</t>
  </si>
  <si>
    <t>de los que vacunó á 7 hijos varones , un sobrino, 3 sirvientes de dicho Alcalde, el hijo tínico de D. Joseph Manuel de Irigoyen, y 6 de D. Francisco Triarte, vecinos del mismo pueblo. Visto por el cirujano de dicho lugar D. Pedro Palacios como executó Iribarren Aycin la operación, y estimulado por el médic</t>
  </si>
  <si>
    <t>de Iscar, Juan Ramón</t>
  </si>
  <si>
    <t>Juan Ramón de Iscar</t>
  </si>
  <si>
    <t>Arciprestazgo de Cuellar , en la diócesis de Segovia, vacante por muerte de D. Leandro Quintana, á D. Juan Ramón de Iscar, con la obligación de precisa residencia que tiene anexa: para la Préstamela de Monte'agndo, en la Vicaría de S. Lúear de Barrameda, arzobispado de.Sevilla, vacante por fallecimie</t>
  </si>
  <si>
    <t>de Isla y Campománes, Manuel</t>
  </si>
  <si>
    <t>Manuel de Isla y Campománes</t>
  </si>
  <si>
    <t>ínfci|ws¿^ o * Se ha servido el Rey eónceder Cr uces supernumerarias de la Real orejen de Carlosm á D. Manuel de Isla y Campománes, y á D. Antonio R ay mundo Ibañez , en consideración á sus circunstancias» méritos y ser* * ■' - v- , .. ' - y. ■ ‘ 1 : . ^ Madrid ip de Octubre, . „ ara que no sé detenga' el cor</t>
  </si>
  <si>
    <t>de Isla, Joseph Ramón</t>
  </si>
  <si>
    <t>Joseph Ramón de Isla</t>
  </si>
  <si>
    <t>iente al Subteniente de granaderos D. Bartolomé Gallardo; Subteniente de granaderos al de fusileros D. Joseph Ramón de Isla, y Subteniente de bandera á D. Joseph Esteban Mendez. También ha conferido el Rey en el batallón Auxiliar ael Nuevo Reyno de Granada la Ayudantía mayor al Capitán graduado D- Nioa</t>
  </si>
  <si>
    <t>de Iturralde y Manuela de Munarriz, Juan Bautista</t>
  </si>
  <si>
    <t>Juan Bautista de Iturralde y Manuela de Munarriz</t>
  </si>
  <si>
    <t>y réditos de dos y medio por ciento , perteneciente á uno de los mayorazgos que fundaron los Sres. D. Juan Bautista de Iturralde y Doña Manuela de Munarriz, Marqueses que fueron de Murillo , contra la casa y estados de la Excma. Sra* Condesa Duquesa *</t>
  </si>
  <si>
    <t>de Jáúrcgui, Miguel Antonio</t>
  </si>
  <si>
    <t>Miguel Antonio de Jáúrcgui</t>
  </si>
  <si>
    <t>car-l tapados de dibuxo natural y de arquitectura civil trabajados baxo la dirección de su maestro D. Miguel Antonio de Jáúrcgui. Todos los concurrentes Celebraron mucho ver en esta variedad de .ramos los progresos de los seminaristas y el zelo de los maestros, y particularmente los vocales de la junta de i</t>
  </si>
  <si>
    <t>de Jáuregui, Martín</t>
  </si>
  <si>
    <t>Martín de Jáuregui</t>
  </si>
  <si>
    <t>a, D. Juan Muñoz y Abreu, D. Matías Arauco, D.. Antonio de Lema,D. Joseph López, D, Joseph de Piles,D. Martin de Jáuregui, D. Cayetano Muller, D, Juan Romay, D. Felipe del Saso , D. Carlos Calvo, D. Joaquín Aldecoa, D. Antonio de Rozo, D. Joseph.de la Gceja , P. Juan de Sesma, D. Santiago Aldaó, D. J</t>
  </si>
  <si>
    <t>de Jáuregui, Tomás</t>
  </si>
  <si>
    <t>Tomás de Jáuregui</t>
  </si>
  <si>
    <t>Monsalud, D. Francisco Palafox, D. Joseph Ortiz, D. Carlos Aguado, D. Andrés López, D. Pedro Roca, D. Tomas de Jáuregui, D. Marcelo Hstranio, D. Salvador del Toro, D. Joseph Ampudía, D. Francisco Gelabert, el Marques’de Viliadángos, el Conde Armildez, Marqués del Salar, D. Pedro Miguel Alvarez de P</t>
  </si>
  <si>
    <t>de Jove, Gaspar</t>
  </si>
  <si>
    <t>Gaspar de Jove</t>
  </si>
  <si>
    <t>y se ha dignado nombrar para una Caticongía de la catedral de Oviedo , vacante por fallecimiento de D. Gaspar de Jove , á D. Joseph Díaz. Asimismo se ha servido conceder á D. Juan de Villa , Administrador del Correo general con honores y voto de Director general de Correos, los del Consejo de Hac</t>
  </si>
  <si>
    <t>de Kesselstadt, Christóbal (conde)</t>
  </si>
  <si>
    <t>Conde Christóbal de Kesselstadt</t>
  </si>
  <si>
    <t>catedral, y Mr. de Gruban, Consejero del Príncipe Obispo de Paderbo rn. Queda en aquella capital el Conde Christóbal de Kesselstadt, que en compañía de estos dos súgetos fué á tratar con el Emperador sobre el asunto de las secularizaciones. Aun no se sabe lo que han conseguido, ni si este Principado eclesiásti</t>
  </si>
  <si>
    <t>de Kotschubey, Conde</t>
  </si>
  <si>
    <t>Conde de Kotschubey</t>
  </si>
  <si>
    <t>ca. Hamburgo ij¿ de Junio. E 1 dia 5 llegó ft Riga el Emperador de Rusia con el Conde de Kotschubey, Ministro de negocios extrangeros , el General Conde de Lilwen, él ^Ayudante mayor Príncipe de Wolkouskoy, el Chambelán Novossiltrof y el Conde Tolstoy, gran Mariscal de la corte. Aquella n</t>
  </si>
  <si>
    <t>de Krudner, Barón</t>
  </si>
  <si>
    <t>Barón de Krudner</t>
  </si>
  <si>
    <t>ños, dos de too,, dos de iox, uno de 102, y dos de :Iq6. Eerlinio de Enero. E 1 Barón de Krudner, Ministro de Rusia en esta corte, recibid un correp de Petersburgo, y de resultas tuvo varias conferencias con los Ministros prusianos. Desde entonces se ha divulgado que habrá en ^Berlín u</t>
  </si>
  <si>
    <t>de la Ballina, Dionisio</t>
  </si>
  <si>
    <t>Dionisio de la Ballina</t>
  </si>
  <si>
    <t>. Miguel-de los Narros, de la ciudad de Zaragoza, vacante por fallecimiento de D. Joaquín Chueca, á D. Dionisio de la Ballina. La Real academia de la Historia, con arreglo á sus estatutos, celebró el 21 del corriente por la tarde en la Real casa de la Panadería, señalada por S. M. para su alojamiento, su</t>
  </si>
  <si>
    <t>de la Breña, Manuel</t>
  </si>
  <si>
    <t>Manuel de la Breña</t>
  </si>
  <si>
    <t>uel Henriquez, D. Francisco Xavier de Mendíri, D. Bartolomé Ladrón de Guevara, D. Gerónimo Montóya, Don Manuel de la Breña, D. Manuel de Alva, D. Juan Vázquez, D. Alberto Moreyra, D. Joseph de Lago, D. Juan María de Moráles, Dé 'Joseph Coppola, D. Pedro Antonio Casasola^'D. Joseph*Molina , D. Miguel T</t>
  </si>
  <si>
    <t>de la Cadena, Joseph</t>
  </si>
  <si>
    <t>Joseph de la Cadena</t>
  </si>
  <si>
    <t>a de moneda de Sta. Fe á D. Joseph Antonio Padilla: para la de Guarda mayor de rentas de Riobamba á D. Joseph de la Cadena : para la de Guarda almacén de la administración de tabacos de Cuenca á O. Manuel Tellez: para la de Guarda mayor de la aduana y rentas de Portobelo á D. Miguel Hinojaljy para la</t>
  </si>
  <si>
    <t>de la Cagiga, Juan</t>
  </si>
  <si>
    <t>Juan de la Cagiga</t>
  </si>
  <si>
    <t>nandez de las Peñas 9 D. Joseph García de Quesada, D. Vicente Rodrigo y Ros, D. Luis de la Gándara, D. Juan de la Cagiga, D.. Joseph de la Cagiga, T), Vicente de Lama y Montes, D. Francisco Herrera y Bustamante, Don Joseph de Castro :y Pazos , D. Francisco de Paula Michelena, D. Agustín Obándo y Ado</t>
  </si>
  <si>
    <t>de la Calle, Miguel</t>
  </si>
  <si>
    <t>Miguel de la Calle</t>
  </si>
  <si>
    <t>500. 7. Muerto. Miguel de la Calle.......... .. Miguel, Agustina Calle.... Selorio.......... Villaviciosa, i» 17 * Id 1 Santiago Villa Ion............ ., I.nis, Ana Garcia.</t>
  </si>
  <si>
    <t>de la Carrera, Martín</t>
  </si>
  <si>
    <t>Martín de la Carrera</t>
  </si>
  <si>
    <t>ejos . D. Juan Pelayo Sánchez', D. Joseph María Crespo , D. Bartolomé Reselló, D. Miguel Valcarcel, D. Martin de la Carrera^ D. Jayme Garrofa, y D. Joseph Rich. En América. D. Joseph Arcega, D. Filomeno Cendrera, D. Antonio Figueroa, Don Diego Calvo, D. Manuel Antonio de Mora y Ramos, D. Francisco Camp</t>
  </si>
  <si>
    <t>de la Casa, Domingo</t>
  </si>
  <si>
    <t>Domingo de la Casa</t>
  </si>
  <si>
    <t>de Vigo, á Don Manuel Martin: para otra, vacante en la de Málaga por muerte de D. Miguel Gainza, á D. Domingo de la Casa: para la Prestamera de la parroquia de Tresjuncos, en la diócesis de Cuenca, vacante por fallecimiento de D. Francisco Nuñez, á D. Juan Antonio Valdivia, Capellán del regimiento d</t>
  </si>
  <si>
    <t>Angel Parejo, á D. Joseph María de Castilla: para otra de la de Málaga, vacante por la promoción de D. Domingo de la Casa á Canongia de la misma iglesia, á D. Joseph Ordoñez de la Reguera: para el Beneficio de Jumilla, en la diócesis de Cartagena, vacante por muerte del Sr. Cardenal Zelada, á D. Jose</t>
  </si>
  <si>
    <t>de la Chica, Joaquín</t>
  </si>
  <si>
    <t>Joaquín de la Chica</t>
  </si>
  <si>
    <t>an Juan, D. Juan Senen de Contreras , D. Pedro Lobo y Arjona, D. Diego Orbaneja, D. Joseph Medrano, D. Joaquín de la Chica, D. Agustín Cabrera, D. Antonio Franchi,D. Rafael de Zuniga, D. Gerónimo Martin Cortés, D. Ramón Bétes, D. Francisco Portillo, D. Tomas Salcedo, D. Fernando Moyano, D. Juan Alabés</t>
  </si>
  <si>
    <t>de la Concepción Fernández de Pinedo, María</t>
  </si>
  <si>
    <t>María de la Concepción Fernández de Pinedo</t>
  </si>
  <si>
    <t>ión de la nobleza: por un eclesiástico de Paris: un tomo en 8.° Ambas obras traducidas por la Sra. .Doña María de la Concepción Fernandez de Pinedo, Velasco &amp;C., Marquesa de Tolosa , Señora de honor de la Reyna &amp;c. Estas</t>
  </si>
  <si>
    <t>de la Costa, Vicente</t>
  </si>
  <si>
    <t>Vicente de la Costa</t>
  </si>
  <si>
    <t>primer Teniente Corregidor de esta villa , á la hora de medio dia, por ante el Escribano del numero D. Vicente de la Costa. El Sr. Intendente de esta provincia por decreto de 17 de Diciembre ha aprobado el remate de otras tierras sitas en el lugar de Bailécas, que componen 12 fanegas, tasadas en 7740</t>
  </si>
  <si>
    <t>fundó Dofia Ana de Noriega. Quien quisiere hacer postura á ellas acuda á la escribanía de número de D. Vicente de la Costa. Por mandado del referido Sr. Santa María se han mandado sacar á pública subasta por término de 30 dias las siguientes fincas sitas en el término del lugar de Fuencarral : una tie</t>
  </si>
  <si>
    <t>se acaba de reedificar. Quien quisiere comprarla acuda á la escribanía del número de esta villa de D. Vicente d,e la Costa, donde se tratará de ajuste en vales Reales ó en,dinero metálico, según parezca arreglado. Vidas de los Padres, Mártires y otros principales santos y escritores de Ja Iglesia, que</t>
  </si>
  <si>
    <t>isiere hacer postura á ellas acuda dentro de lps 9 dias á la escribanía del número de esta villa de Don Vicente de la Costa. ; Por el Sr. D. Juan de Morales Guzman y Tovar, del Consejo de S. M. en ei Supremo de Castilla , Intendente de los Peales exércitos y de Ja provincia de Madrid Corregidor de ella</t>
  </si>
  <si>
    <t>ere hacer postura á qualquiera de ellas acuda ante, dicho Sr- Juez, por la escribanía del número de D. Vicente de la Costa. . A voluntad de su poseedor se vende una casa, sita en esta corte y calles; del Rollo Madrid, Duque de Náxera y del Sacramento , que forma la manzana 183, con 12 076 pies de siti</t>
  </si>
  <si>
    <t>er postura á qualquiera de dichas. fincas acuda ante dicho Sr. Juez por la escribanía delnúrHero de D. Vicente de la Costa. A vol untad de su duefio y por providencia de J 2 de este mes del Sr. D. Juan Antodo Santa María, se vende un huerto sito en Villaviciosa, distante 3 leguas de Madrid, y se ha se</t>
  </si>
  <si>
    <t>de la Cresta, Joseph</t>
  </si>
  <si>
    <t>Joseph de la Cresta</t>
  </si>
  <si>
    <t>igueroa, D. Joseph Seydel y Sada, D. Francisco Cortés y Posada, ©. Francisco. Antolinez y Salazar , D. Joseph de la Cresta, D. Miguel Cavaleri, Don1 Ñuño de Ja Cueva y Alcedo, D. Santiago Zaldivar y BurgíSa, D. Joseph Caamuño y Pardo, IX Martin Sarratea y Mayora, D. Martín Lazaga ys Uria , D. Manuel-</t>
  </si>
  <si>
    <t>de la Croix, Joaquín</t>
  </si>
  <si>
    <t>Joaquín de la Croix</t>
  </si>
  <si>
    <t>h Company, D. Joseph Antonio Cavanilles, D. Joseph Chaix, D. Joseph Ortizf y D. Joaquín de la Croix, secretario, se verifico la primera junta de dicha diputación en casa del Exc. Sr. Presidente el dia 20 de Mayo. El Consejo, á consulta de la Comisión gubernativa de consolidacion.de Vales, y</t>
  </si>
  <si>
    <t>de la Cruz Cano y Olmedilla, Juan</t>
  </si>
  <si>
    <t>Juan de la Cruz Cano y Olmedilla</t>
  </si>
  <si>
    <t>s en igualdad de circunstancias. Mapa geográfico de la América meridional , dispuesto y grabado por D. Juan de la Cruz Cano y Olmedilla , geógrafo que fuá de S. M. , con arreglo á varios mapas , noticias originales y observaciones astronómicas : se compone de 8 pliegos papel imperial. Véndese en la calcografía esr</t>
  </si>
  <si>
    <t>de la Cruz Ver, Juan</t>
  </si>
  <si>
    <t>Juan de la Cruz Ver</t>
  </si>
  <si>
    <t>7 el Marqúes de Vallesántoro, y D. Pedro Domingo de Reynoso. • *■; • Afapórdantos de Semana. 7; r \ D. Juan de la Cruz Ver^és^umve, y D. Vicente Ortiz de Guinea y Teran; y plaza supernameraria de Géntiínombre de la Real Casa á . Don Manuel de Santa Clara. ■ 7 7: Igualmente se ha servido 5: M. hacer me</t>
  </si>
  <si>
    <t>de la Cruz, Manuel</t>
  </si>
  <si>
    <t>Manuel de la Cruz</t>
  </si>
  <si>
    <t>Mo¿ ro, D: EugenioTontas y Alcalá, D. Miguel Rodríguez, D. FranciscO dé Borja , D. Diego; Encina , D. Manuel de la Cruz., D¿ Diego de Mesa , fc)oñ Pedro déPCastillo, D. Joaquín Oquendo, D. Vieente Rosique, D. Cle^* mente Falcon 9 D. Francisco Reyna ¿ D; AntonioBracho, D.Juan Munar-i Hié, D. Vicente</t>
  </si>
  <si>
    <t>de la Cuerda, Francisco</t>
  </si>
  <si>
    <t>Francisco de la Cuerda</t>
  </si>
  <si>
    <t>nso Aguado y Xarava, Obispo de Augustópoli y Auxiliar de Toledo: siendo Asistentes los limos. Sres. D. Francisco de la Cuerda^ Obispo que fue de Puerto Rico, del Consejo de la suprema y general Inquisición , y D. Atanasio Puyal y Poveda, Obispo de Caristo y Auxiliar de Madrid; y Padrino el Cabildo de la</t>
  </si>
  <si>
    <t>de la Cuesta, Antonio</t>
  </si>
  <si>
    <t>Antonio de la Cuesta</t>
  </si>
  <si>
    <t>Antonio de Quadra, Escribano de Cámara de Cruzada, con fecha de 17 de Abril de este año, d.iayor de D. Antonio de la Cuesta,vecino del lugar de Castelruiz,provincia de Soria. Quien los tenga ó sepa su paradero ^visará al primero en Madrid, calle de Deganit.os, núm. 16, al segundo en el misnpo.Castelrui</t>
  </si>
  <si>
    <t>de la Cuesta, Joseph</t>
  </si>
  <si>
    <t>Joseph de la Cuesta</t>
  </si>
  <si>
    <t>rientos, D. Nicolás Povil, D, Juan de Robles, D, Rafael Seáis, D. Joseph Sotolongo, D. Juan Cirera, D. Joseph de la Cuesta, D. Francisco Quesada, D. Joseph Domeneo ,;D. Joaquín de Rayas?, P. Nicolás Guascoñi, D. Mariano Vives, Don Juan de la Garma j D. Miguel Plowes, D. Marcos Funguion, D. Bernardo■ T</t>
  </si>
  <si>
    <t>de la Cuesta, Ramón</t>
  </si>
  <si>
    <t>Ramón de la Cuesta</t>
  </si>
  <si>
    <t>nyD. Aüigei Foxá, D. Joaquín de Cea, Don Joseph Éscovedoj Di Pedro Linares, D. Manuei^le San Pedro, D. Ramón de la Cuesta, D. Lorenzo Arroyo, D. Manuel Meneos, D. Joseph Imaz, D. Joseph Martínez, D. Rodrigo Medrano, D. Bartolomé Monta! ño, D. Joseph Gómez deLatorre, D. Antonio Sarmiento, D. Antonio H</t>
  </si>
  <si>
    <t>de la Encina, Luis</t>
  </si>
  <si>
    <t>Luis de la Encina</t>
  </si>
  <si>
    <t>Canaria, vacante por la promoción de D. Miguel Mariano de Toledo al Deanato dé la misma iglesia, á D. Luis de la Encina; para una Ca-; nongíh dé ia de Oviedp,'vacante por muerte de D; Pedro Colosía, á Don Joseph Rivera Arguelles: para otra.de la colegial de Cardona, diócesis dé Sofsana, vacantepor</t>
  </si>
  <si>
    <t>de la EnoU, Joseph</t>
  </si>
  <si>
    <t>Joseph de la EnoU</t>
  </si>
  <si>
    <t>isco Vízcarrondo, D. Santiago Irrisarri y Sarti, D. Joaquín: dé Castañeda , D. Francisco Riquelme , D. Joseph de la EnoU na, D. Pedro Saenz de la Guardia, D. Salvador del Castillo, D. Joaquín Rodríguez de Ribera, D. Juan Topete, D. Joseph Quevedo y Cheza, D. Lino Truxiilo y Tacón, D. Antonio Miralle</t>
  </si>
  <si>
    <t>de la Fontecilia, Miguel</t>
  </si>
  <si>
    <t>Miguel de la Fontecilia</t>
  </si>
  <si>
    <t>D. Domingo Gallegos; y í esta última clase el Cadete D. Joseph de Córdoba y D. Miguel de la Fontecilia, Soldado distinguido del mismo cuerpo: en las compañías de infantería ligera de Cataluña, ñxas de la Havana, á Capitán al Teniente D. Pedro Carné; á Teniente al Subteniente D. Máximo du-Bo</t>
  </si>
  <si>
    <t>de la Fuente, Fernando</t>
  </si>
  <si>
    <t>Fernando de la Fuente</t>
  </si>
  <si>
    <t>ibañeKyr üma^ ran, D:,Ramón Femandéz de Gü evara ¿0.1 Jüan Jacinto Ferrer-, D. Juan Pinto Carnero , D. Fernando de la Fuente,* 0. Gonzalo Amigo, 0. Pedro Benavídes y Ramos* 0. Santiago María Ecetay.D. Luis del. Arco, Don Antonio Togores; y ]LlatpeCí» P* Manuel; Bete&amp;"Chuecos ■, 0. • Alonso Iguala* da y</t>
  </si>
  <si>
    <t>de la Fuente, Francisco</t>
  </si>
  <si>
    <t>Francisco de la Fuente</t>
  </si>
  <si>
    <t>pañía de Fusileros. Francisco de la Fuente..... Santiago , María Calvo.,... Rabanal.,... León......... 36. a6. Muerto. Martin Goiburu.................. Pedro , Francisca Aguirre</t>
  </si>
  <si>
    <t>de la Fuente, Juan Nicolás</t>
  </si>
  <si>
    <t>Juan Nicolás de la Fuente</t>
  </si>
  <si>
    <t>de granaderos D. Rafael Espinosa: en el de Mallorca Subtenencia de granaderos al primer Subteniente D. Juan Nicolás de la Fuente: en el de León primera Subtenencia al segundo Subteniente D. Juan Alaría Dupac : en el de la Princesa segunda Tenencia de granaderos al segunde» Teniente D. Juan Alontoya; y en el</t>
  </si>
  <si>
    <t>de la Fuente, Manuel</t>
  </si>
  <si>
    <t>Manuel de la Fuente</t>
  </si>
  <si>
    <t>alle del Bonetillo., á la de Mesón de Paños. Quien las haya hallado las entregará en la librería de D. Manuel de la Fuente, calle de la Almudena. Por providencia de 29 de Marzo del Sr. Alcalde D. Manuel Perez de Rozas, caballero de la Real distinguida orden española deCárlosm, se ha vuelto á señalar p</t>
  </si>
  <si>
    <t>s dolores que le afiigiéron durante 18 años. Tafalia 6 de Octubre. E 1 Licenciado en cirugía-médica D. Manuel de la Fuente, Cirujano de estuche de esta ciudad,' ha logrado á fuerza dezelo y actividad vencerlas preocupaciones y la obstinación de los enemigos? de la vacuna, dirigidas í que los padres de</t>
  </si>
  <si>
    <t>de la Fuente, Manuel Domingo</t>
  </si>
  <si>
    <t>Manuel Domingo de la Fuente</t>
  </si>
  <si>
    <t>la catedral de Guadalaxara, para la Dignidad de Tesorero de la misma, vacante por fallecimiento de D. Manuel Domingo de la Fuente; y para la Canongía Magistral de Panamá, vacante por ascenso de D. Tomas Antolih Baxo y Ocerin á la Tesorería ce la misma iglesia, á D. Juan Joseph Cavarcas. En el regimiento de m</t>
  </si>
  <si>
    <t>de la Gándara, Luis</t>
  </si>
  <si>
    <t>Luis de la Gándara</t>
  </si>
  <si>
    <t>Montes , D. Joseph Fernandez de las Peñas 9 D. Joseph García de Quesada, D. Vicente Rodrigo y Ros, D. Luis de la Gándara, D. Juan de la Cagiga, D.. Joseph de la Cagiga, T), Vicente de Lama y Montes, D. Francisco Herrera y Bustamante, Don Joseph de Castro :y Pazos , D. Francisco de Paula Michelena, D</t>
  </si>
  <si>
    <t>de la Garma, Juan</t>
  </si>
  <si>
    <t>Juan de la Garma</t>
  </si>
  <si>
    <t>Francisco Quesada, D. Joseph Domeneo ,;D. Joaquín de Rayas?, P. Nicolás Guascoñi, D. Mariano Vives, Don Juan de la Garma j D. Miguel Plowes, D. Marcos Funguion, D. Bernardo■ Tacón, D. Joseph Tacón, D. Francisco Boneo, D. Félix Gastambide, y D. Antonio Cortada, Madrid 1$ de Octubre. E 1 Rey se ha dig</t>
  </si>
  <si>
    <t>de la Hoz, Joaquín</t>
  </si>
  <si>
    <t>Joaquín de la Hoz</t>
  </si>
  <si>
    <t>do, D. Fernando Moyano, D. Juan Alabés, D. Juan Macarti, 0. Dionisio Sánchez, D. Joseph Chardenoux, D. Joaquín de la Hoz, D. Mateo Rodrigue?, D. Gervasio Gasea, D. Joseph Metzguer; y áD. Ignacio Paino y Mateos, grado de Milicias. En América, D. Pedro Salcedo, D. Francisco de Torres, D. Cárlos Larras</t>
  </si>
  <si>
    <t>de la Huelga, Joseph</t>
  </si>
  <si>
    <t>Joseph de la Huelga</t>
  </si>
  <si>
    <t>naderos al de fusileros D. Alexo Alarcon, y á Subtenientes de bandera al Cadete D. Joseph Alaix y á D. Joseph de la Huelga, Sargento primero deí mismo cuerpo. En el regimiento de infantería de milicias de Voluntarios de Cartagena ha nombrado S. M. Teniente al Subteniente de granaderos D. Bartolomé Gal</t>
  </si>
  <si>
    <t>de la Huerta, Francisco Manuel</t>
  </si>
  <si>
    <t>Francisco Manuel de la Huerta</t>
  </si>
  <si>
    <t>ases. = Disertncion sobre si la mitología es parte de la historia, y cómo debe entrar en ella , por D. Francisco Manuel de la Huerta. Disertación sobre los duelos, desafíos y leyes de su observancia, con sus progresos hasta su total extinción, por D. Martin de Ulloa rz: Disertaciones sobre el origen y patria pr</t>
  </si>
  <si>
    <t>de la Iglesia y Darrac, Rafael</t>
  </si>
  <si>
    <t>Rafael de la Iglesia y Darrac</t>
  </si>
  <si>
    <t>avicencioy Rodríguez de Aria , D. Nicolás Enrile y Desportes, D. Diego Gadéa y Fernandez de Arbina, D. Rafael de la Iglesia y Darrac ,D. Manuel Villavicencio y Garcés, D. Francisco de Hoyos y Laraviedra, D. Mariano Martínez y Vega, D. Gerónimo Fernandez dé Fuenmaybr, D. Alezo Ponce de León y Molejón , ,D. "Guil</t>
  </si>
  <si>
    <t>de la Isla, Manuel</t>
  </si>
  <si>
    <t>Manuel de la Isla</t>
  </si>
  <si>
    <t>Vaca, D. Francisco Man glano, D. Miguel García Sacristán , D. Bartolomé Sandoval, D. Rafael Tavira, D. Manuel de la Isla, D, Félix Pérez Vidal, Francisco de Paula Pa^ía, D. Fernando Sandoval, D. Francisco dé Yeste , D. Lorenzo Villavicencio, D. Agustín Rodríguez, D. Juan Bascon , D. Peclro Celés'tin</t>
  </si>
  <si>
    <t>de la Lastra, Manuel</t>
  </si>
  <si>
    <t>Manuel de la Lastra</t>
  </si>
  <si>
    <t>a al primer Teniente de granaderos Lorenzo dél Moral: en ei de Granada Ayudantía ál primer Teniente D. Manuel de la Lastra : en el de Mallorca segunda Tenencia de granaderos ál segundo Teniente D. Joseph de Toda: én el de Asturias Compañía al Ayudante D. Jacinto.Salgados en</t>
  </si>
  <si>
    <t>de la Lastra, Pedro</t>
  </si>
  <si>
    <t>Pedro de la Lastra</t>
  </si>
  <si>
    <t>rar para el empleo de Contador ordenador del tribunal mayor de cuentas del Nuevo Reyno de Granada á D. Pedro de la Lastra , Oficial primero de libros y Archivero del mismo.tribunal : para este destino á D. Alexandro Villoría, Oficial segundo del propio archivo: para esta resulta á D. Joseph Pió Domín</t>
  </si>
  <si>
    <t>de la Llave y Coca, Manuel</t>
  </si>
  <si>
    <t>Manuel de la Llave y Coca</t>
  </si>
  <si>
    <t>año y Homero, D. Benito^©átísoain^ Perez, D- Francísco Mandiáiy JSHclrrayjDWJosóph ^aifcja Campero, Don Manuel de la Llave y Coca, B;Í^Francisco deila Llave y Coca , D. Domingode Miranda, D. Manuel de. Vill¿n» y 'HorHer^ I3DIgnacio Yusti vjS Urrutia, D. Juan Barrí y Ximénei , Di Mariano Mezcolta yBarbacftanó</t>
  </si>
  <si>
    <t>de la Madrid, Tomás</t>
  </si>
  <si>
    <t>Tomás de la Madrid</t>
  </si>
  <si>
    <t>rancisco Durango é hijo mayor. En Zamora........... D. Vicente Perez de Tejada. En Zaragoza........ D. Tomas de la Madrid. En Zeuta.............. D. Pedro Huguet, comisionado subalterno del de Cádiz. El Consejo, á consulta de la Comisión gubernativa, y con aprobación de S. M., ha acordado la trigesim</t>
  </si>
  <si>
    <t>ncisco Durango é hijo mayor. En Zamora............. D. Vicente Perez de Tejada. En Zaragoza........ D. Tomas de la Madrid. En Zeuta............ . D. Pedro Huguet, comisionado subalterno del de Cádiz. El Consejo, á consulta de la Comisión gubernativa, y con aprobación de S. M., ha acordado la trigesim</t>
  </si>
  <si>
    <t>ancisco Durango e hijo mayor. En Zamora............ D. Vicente Perez de Tejada. En Zaragoza...... . D. Tomas de la Madrid. En Zeuta..... . . D. Pedro Hugúet, comisionado subalterno del de . Cádiz. El Consejo, á consulta de la Comisión gubernativa, y con aprobación de S. M., ha acordado la trigesimase</t>
  </si>
  <si>
    <t>Francisco Diírango é hijo mayor. Zamora......... . D. Vicente Perez de Tejada. En Zaragoza........ D. Tomas de la Madrid. \ ^ En Zeuta.............. D. Pedro Huguet , comisionado snbalterno del de Cádiz. Se ha extraviado en Barcelona un vale Real de 300 pesos, creación de j.° de Mayo, húm. 498,718,</t>
  </si>
  <si>
    <t>ancisco Durango é hijo mayor. En Zamora............ D. Vicente Perez de Tejada. En Zaragoza........ D. Tomas de la Madrid. EnZeuta................D. Pedro Huguet, comisionado subalterno del de Cádiz. Don Miguel Lapeña, Cirujano en esta corte , que vive en la calle de las Maldonadas , casa nueva , núm</t>
  </si>
  <si>
    <t>D. Francisco Durango é hijo mayor. En Zamora...... I&gt;. V icente Perez de Tejada* En Zaragoza....:.. D. Tomas de la Madrid. &gt; En Zeitta....... D. Pedro Hugüet , comisionado subalterno del de ■ : Cádiz. ;l : Real cédula de S. M¿ y Sres* del Consejo, por la qual se mandan observar y cumplir las resoluci</t>
  </si>
  <si>
    <t>de la Mar, Felipe</t>
  </si>
  <si>
    <t>Felipe de la Mar</t>
  </si>
  <si>
    <t>. Gerónimo Valladares, D. Rafael Cravallo, D. Guillermo Chicheri, D. Pedro Saenz, D. Angel de Lana, D. Felipe de la Mar, D. Angel Mijáres, D. Gerónimo Marco , D. Francisco Marcó del Pont, D. Juan Martí Mofa, D. Alonso Morales, D. Nicolás de Mora, D. Fermín Roméo, D. Francisco Merino, D. Manuel Marí</t>
  </si>
  <si>
    <t>de la Mata Linares, Benito</t>
  </si>
  <si>
    <t>Benito de la Mata Linares</t>
  </si>
  <si>
    <t>e, de Ja Real Audiencia de Santa Fé; á D. Felipe Cisneros de la Oliva, Regente de la de Manila, y á D. Benito de la Mata Linares, Regente de la Audiencia de Buenos-Ayres, honores del Consejo de Indias. A D. Miguel Bachiller y Meoa,Asesordel Vireyrtato de México, y á D. Antorio.Ponce de Lepnj Auditor de Guer</t>
  </si>
  <si>
    <t>de la Mata, Marcos</t>
  </si>
  <si>
    <t>Marcos de la Mata</t>
  </si>
  <si>
    <t>úrgos.............. Marcos de la Mata............ Rafael,María Antonia Cha- • chero....»......................... Grstinjst de S* Vicente.*** 40. 24. Id*</t>
  </si>
  <si>
    <t>de la Maza y Llaguno, Félix</t>
  </si>
  <si>
    <t>Félix de la Maza y Llaguno</t>
  </si>
  <si>
    <t>D. Manuel Alvarez y D. Pedro de Orille: también se mandó darles certificaciones, como igualmente á D. Félix de la Maza y Llaguno, y D. Miguel Gómez Avecia: habiéndose dado principio y concluido el acto con dos oraciones que leyéron el referido Beaumont y D. Juan del Campo y Valdes, alusivas al objeto de aqu</t>
  </si>
  <si>
    <t>de la Mesa, Ramón</t>
  </si>
  <si>
    <t>Ramón de la Mesa</t>
  </si>
  <si>
    <t>on ét raénos un vale Real de i$o pesos, creación ¿s 1.® de Enero , núm. *48,138 , cedido á favor de D Ramón de la Mesa^ y una cédula de 900-izi de la Real Caza de Descuentos. Quien supiere de ellos avisará al mismo Mesa, que vive en la calle de tos Gitano», «ún, |t.</t>
  </si>
  <si>
    <t>de la Peña, Bernardo</t>
  </si>
  <si>
    <t>Bernardo de la Peña</t>
  </si>
  <si>
    <t>ntarios de Santa Marta á Tenientes á D. Manuel Conde, Subteniente de la compañía de Artillería, y á D. Bernardo de la Peña , que lo era de granaderos; á Subteniente de granaderos al de fusileros D. Ensebio Navarro; á Subteniente de Artillería al de fusileros D. Henrique Arroyuelo; á Subtenientes de fu</t>
  </si>
  <si>
    <t>de la Peña, Manuel</t>
  </si>
  <si>
    <t>Manuel de la Peña</t>
  </si>
  <si>
    <t>.... D. Juan Casou y compañía. En Avila.............. D. Fernando de Echepare. En Badajoz.......... D. Manuel de la Peña. En Barcelona...... D. Ramón de Llordella é hijo. En B tíraos.......... D. Andrés Fray le. En Cádiz.............. D. Benito de la Piedra. En Cartagena....... D. Manuel de Ozores.</t>
  </si>
  <si>
    <t>ou y compañía. En Avila............. ✓.. D. Fernando de Echepare y sobrinos. En Badajoz............ D. Manuel de la Peña. En Barcelona........ D. Ramón de Llordella é hijo. En Burgos.............. D. Andrés .Erayle. En Cádiz................. D. Benito de la Piedra. En Cartagena........ D. Manuel de</t>
  </si>
  <si>
    <t>Casou y compañía. En Avila.......... ...:. D. Fernando de Echepare y sobrinos* ' En Badajoz...... . D. Manuel de la Peña. , , En Barcelona....... D. Ramón de Liordella é hijo* En Burgos........... D. Andrés Frayle. En Cádiz................ D. Benito de la Piedra. En Cartagena........ D. Manuel de Oz</t>
  </si>
  <si>
    <t>de la Piedra, Benito</t>
  </si>
  <si>
    <t>Benito de la Piedra</t>
  </si>
  <si>
    <t>..... D. Ramón de Llordella é hijo. En B tíraos.......... D. Andrés Fray le. En Cádiz.............. D. Benito de la Piedra. En Cartagena....... D. Manuel de Ozores. En Ciudad-Real... D. Ramón Antonio Pico. En Córdoba.......... Sres. Barcia padre é hijo. En la Cortina........D. Manuel Antonio Elzaurdi.</t>
  </si>
  <si>
    <t>D. Ramón de Llordella é hijo. En Burgos.............. D. Andrés .Erayle. En Cádiz................. D. Benito de la Piedra. En Cartagena........ D. Manuel de Ozores. En Ciudad-Real... D. Ramón Antonio Pico. En Córdoba............ Sres. Barcia padre é hijo. En la Cortina.......... D. Manuel Antonio Elz</t>
  </si>
  <si>
    <t>..... D. Ramón de Liordella é hijo* En Burgos........... D. Andrés Frayle. En Cádiz................ D. Benito de la Piedra. En Cartagena........ D. Manuel de Ozores. , En Ciudad^Real... D. RamónAntonio Pico. En Córdoba........... Sres. Barcia padre é hijo. En la Corima........ D. Manuel Antonio Elzaur</t>
  </si>
  <si>
    <t>celona....... D. Ramón de Llordella é hijo. En Burgos....... ..... D. Andrés Frayle. En Cddtz...... D. Benito de la Piedra. En Cartagena........D. Manuel de Ozores. En Ciudad~Real... D. Ramón Antonio Pico. En Córdoba...........Sres. Barcia padre é hijo. En la Cortina........ D. Manuel Antonio Elzaurdi</t>
  </si>
  <si>
    <t>......D. Ramón de Llordella é hijo. En Burgos*........... D. Andrés Frayle. En Cádiz................D. Benito de la Piedra. En Cartagena....... D. Manuel de Ozores. En Ciudad-Real... D. Ramón Antonio Pico. En Córdoba........... Sres. Barcia padre é hijo. En la Cortina......... D. Manuel Antonio Eizaur</t>
  </si>
  <si>
    <t>Barcelona..D. Ramón de Llórdella é hijo. En Biirgos........ . D. Andrés Fraylé. En Cádiz......... . D. Benito dé la Piedra. En Cartagena........D. Manuel de Ozores. En Ciudad-Beal... D. Ramón Antonio Pico. Én Córdoba......... . Sres. Barcia padre é hijo. En la Corima........ D..Manuel Antonio Elzaurái</t>
  </si>
  <si>
    <t>Barcelona^..... D. Ramón de Llordella é hijo. En Bttrgos........... . D. Andrés Frayle, ,&gt; , En Cda D. Benito de la Piedra. En Cartagena....... D. Manuel de Ozores. En Ciudad-Real-,. D. Ramón Antonio Pico. , En Córdoba......*... $res.. Barcia padreíé hijo. En la Corteña........Manuel Antonio Elzaúrdi,</t>
  </si>
  <si>
    <t>de la Piedra, Joseph</t>
  </si>
  <si>
    <t>Joseph de la Piedra</t>
  </si>
  <si>
    <t>l Eligió, D. Antonio Mayone, D. Ramón Gómez, D. Diego Cortés, D. Juan O-Donovan, D. Joaquín 0-ReiUy\D. Joseph de la Piedra, D. Santiago Moreda , Don Gregorio Donayrej Dé Pablo Carbonell, D. Juan Antonio Martínez, Don Joaquín Goyeneche j D. Vicente de Campos, D. Vicente Pallas, D. Manuel Herrero, D. Jó</t>
  </si>
  <si>
    <t>de la Puente, Fernando</t>
  </si>
  <si>
    <t>Fernando de la Puente</t>
  </si>
  <si>
    <t>ta, con grado de Capitán, al Teniente D. Tomas Llórente; á Tenientes de granaderos los de fusileros D. Fernando de la Puente y D. Pedro Santacilia; á Tenientes los Subtenientes de granaderos D. Christobal Anisa, D. Joseph Eligió y D. Miguel Valera; á Subtenientes de granaderos los de fusileros D. Manuel Mar</t>
  </si>
  <si>
    <t>de la Puente, Lorenzo</t>
  </si>
  <si>
    <t>Lorenzo de la Puente</t>
  </si>
  <si>
    <t>o y Toledo, D. Leandro de Cáceres, D. Juan Izquierdo, D. Manuel de Lobo y Campo, D. Carlos Sellery, D. Lorenzo de la Puente, D, Ruperto Calderón,D. Pedro de Toro y Toledo, D. Carlos Engracia Carrasco , D. Felipe Uriarte y Erquizia, D. Joaquín Delgado Fernandez, D.Francisco Xavier Radillo, D» Benito Bas</t>
  </si>
  <si>
    <t>de la Quintana, Ignacio</t>
  </si>
  <si>
    <t>Ignacio de la Quintana</t>
  </si>
  <si>
    <t>1023 En América. D. Roque Abarca, D. Joan Leonart,D. Manuel González, D. Ignacio de la Quintana, D. Agustín Lasala, D. Pedro Nolasco dei Rio, Don Joseph Sabido de Vargas, D. Joseph Salvador, D. Francisco Muñoz y San Clemente , D. Juan Antonio de laMata,D. Alexo García Condes</t>
  </si>
  <si>
    <t>de la Reguera Valdélomar, Juan</t>
  </si>
  <si>
    <t>Juan de la Reguera Valdélomar</t>
  </si>
  <si>
    <t>ey se ha dignado conceder honores de Oidor de la Chancíllería de Granada con el sueldo de 20® rs. á D. Juan de la Reguera Valdélomar ; y honores /de Alcalde de la Quadra de la Audiencia de Sevillá á-I). Jiiau Sebastian Neri^Alcaldcf mayor de Cádiz. : - : s ; .&gt; Asimismo ha nombrado S. M. á D, Joseph de Castro y</t>
  </si>
  <si>
    <t>de la Riva Agüero, Manuel</t>
  </si>
  <si>
    <t>Manuel de la Riva Agüero</t>
  </si>
  <si>
    <t>de aritmética D. Pedro Tavira, D. Rodrigo Tavira, D. Francisco Traspalados ¿ D. Leopoldo Menendez , D. Manuel de la Riva Agüero, D. Antonio Tavira y D. Ignacio de Emparan: de geometría elemental, hasta los planos exclusive, D. Ignacio de Emparan, D. Sebastian de Lasa, D. Joseph de Berrosteguieta y D. Ferna</t>
  </si>
  <si>
    <t>285 regui, D. Manuel de la Riva Agüero, D. Manuel de Lardizabal y Montoya, D. Ignacio de Lardizabal y Altana, D. Antonio Gilmán, D. Joachín íernandez de Medrano, D. Rodrigo y D. Pedro Tavira, D. Ignacio de Emparan, X).</t>
  </si>
  <si>
    <t>de la Riva, Juan Antonio</t>
  </si>
  <si>
    <t>Juan Antonio de la Riva</t>
  </si>
  <si>
    <t>, calle de las Carretas , á 3 rs. Catecismo de Ripalda , añadido con 130 preguntas y respuestas por D. Juan Antonio de la Riva , Doctoral de la santa iglesia de Murcia, según se enseña en muchas escuelas del Reyno : librito en 8.° Se hallará en la librería de Claros, calle del Arenal. Segunda impresión de</t>
  </si>
  <si>
    <t>de la Riva, Manuel</t>
  </si>
  <si>
    <t>Manuel de la Riva</t>
  </si>
  <si>
    <t>^ Sb&lt;&gt; jaran 9 D. 'Antonio Tavira, D. Manuel de la Riva^AgüerO; Cadete de Rea* Í es Guardias. Waloñas y IX- Antonio^XjrihmrtCiterpo y J&gt;on Iñigo ;Or,tes de &gt; D- JosephMaríaOrtes^d'eiVéla$£oY. IX -Bemar-i / j cte Agosto, —ros Reyes y Pr</t>
  </si>
  <si>
    <t>de la Rocha, Antonio</t>
  </si>
  <si>
    <t>Antonio de la Rocha</t>
  </si>
  <si>
    <t>D. Joseph Molina, D. Lázaro de Avila, D. Baltasar Calvache, Don Francisco Ruiz, D. Alfonso Ramiro, D. Antonio de la Rocha , D. Juan López de Molina,D. Lucas Salazar, D. Ramón Serrano, D. Juan Joseph Martínez, D. Joseph María Cano, D. Francisco Real,-D. Vícéfíté Salcedo, D. Lúeas de Mena, D. Joseph Vi</t>
  </si>
  <si>
    <t>de la Rocha, Joseph María</t>
  </si>
  <si>
    <t>Joseph María de la Rocha</t>
  </si>
  <si>
    <t>O. Mariano Larrea: para la de Oficial de libros interventor de la factoría de tabacos de Ambalema á D. Joseph María de la Rocha : para la de Oficial ayudante de tallador de la Real casa de moneda de Sta. Fe á D. Joseph Antonio Padilla: para la de Guarda mayor de rentas de Riobamba á D. Joseph de la Cadena</t>
  </si>
  <si>
    <t>de la Rosa, Fernando</t>
  </si>
  <si>
    <t>Fernando de la Rosa</t>
  </si>
  <si>
    <t>D. Manuel del Rio. El Rey se ha servido conceder Tenencia en el regimiento de infantería de Cuba á D. Fernando de la Rosa, Guardia de la Compañía Americana del Real cuerpo de Guardias de Corps. El Rey se ha servido conferir la Compañía de milicias regladas de caballería de la isla Margarita al Tenien</t>
  </si>
  <si>
    <t>de la Serna, Joseph</t>
  </si>
  <si>
    <t>Joseph de la Serna</t>
  </si>
  <si>
    <t>oxas. En el Real cuerpo de Artillería se ha servido S. M. conferir el empleo de Capitán al Teniente D. Joseph de la Serna; el de Subteniente de la compañía de minadores del primer batallón al Subteniente D. Joseph Tejada, y el de Guarda Almacén ordinario de artillería de la plaza del Peñón al Sargent</t>
  </si>
  <si>
    <t>de la Soledad Casero, María</t>
  </si>
  <si>
    <t>María de la Soledad Casero</t>
  </si>
  <si>
    <t>en la forma siguiente: 2320 rs. á las niñas de las escuelas: un premio extraordinario de 100 rs. á Doña María de la Soledad Casero, qne en la corta edad de 7 años, y sin haber podido asistir á las escuelas, manifestó mucha habilidad en leer, escribir y contar. Una medalla de plata de 4 onzas á Eusebio Vázquez</t>
  </si>
  <si>
    <t>de la Sota Crespo, Santiago</t>
  </si>
  <si>
    <t>Santiago de la Sota Crespo</t>
  </si>
  <si>
    <t>posiciones que se hagan se remitirán con anticipación á la Real direcciompor medió de su secretario D. Santiago de la Sota Crespo. Almacén de principiantes para el estudio de las lenguas española y francesa: quaderno 8.° y" ultimo del tomo i.° de la segunda clase. Se hallará con los anteriores en la librería</t>
  </si>
  <si>
    <t>de la Sota Ruiz, Gregorio</t>
  </si>
  <si>
    <t>Gregorio de la Sota Ruiz</t>
  </si>
  <si>
    <t>1044 s varrete y Rezaval, D. Francisco Pardo de Andrade , D. Juan Bermudez de Castro, D. Gregorio de la Sota Ruiz, D. Manuel Olmedilla, D. Francisco Zalváburu , D. Joseph de Lama y Montes , D. Joseph Fernandez de las Peñas 9 D. Joseph García de Quesada, D. Vicente Rodrigo y Ros, D. Luis de la</t>
  </si>
  <si>
    <t>de la Sota y Riva, Joseph María</t>
  </si>
  <si>
    <t>Joseph María de la Sota y Riva</t>
  </si>
  <si>
    <t>de la misma Factoría á D. Bartolomé Esparza: para Oficial 3.0 de la Contaduría de dicha Factoría á D. Joseph María de la Sota y Riva: para ías de Guardas de la Factoría de Puebla á D. Manuel Larra-zabal, D. Vicente Segura y D. Ramón Tapia: para Administrador del partido deTlapa á Don Joseph Antonio Gortázar: pa</t>
  </si>
  <si>
    <t>de la Torre Puebla, Antonio</t>
  </si>
  <si>
    <t>Antonio de la Torre Puebla</t>
  </si>
  <si>
    <t>Lino Truxiilo y Tacón, D. Antonio Miralles, D. Luis María de Salazar, D. Miguel Gastón y Navarrete, D. Antonio de la Torre Puebla, Don Francisco de Castro Navarro, D. Joaquín Zarauz, D. Joseph Calderón, D. Antonio García' de Quesada, D. Joseph Manuel de Goicoa, D. Miguel Irigoyen, D^Joan Mesías* y D. Tomas A</t>
  </si>
  <si>
    <t>de la Torre Puebla, Vicente</t>
  </si>
  <si>
    <t>Vicente de la Torre Puebla</t>
  </si>
  <si>
    <t>Xaviejr Pineda, D. Bartolomé Rodríguez de Arias,D. Antonio Miranda y Cosmea, D. Francisco Párraga, D. Vicente de la Torre Puebla ,D. Joseph Pardo y Lama, D. Lorenzo de Toro y Toledo, D. Leandro de Cáceres, D. Juan Izquierdo, D. Manuel de Lobo y Campo, D. Carlos Sellery, D. Lorenzo de la Puente, D, Ruperto C</t>
  </si>
  <si>
    <t>de la Torre y Arce, Diego</t>
  </si>
  <si>
    <t>Diego de la Torre y Arce</t>
  </si>
  <si>
    <t>ledo, que resultará vacante por la promoción de D. Mateo Delgado y Moreno al Obispado de Badajoz, á D. Diego de la Torre y Arce: para la Ración de la colegial de Alfaro, vacante por renuncia que ha hecho de ella D. Joseph María de Mesa, á D. Tomas María Mayor; y para la Capellanía de Coro de la santa igles</t>
  </si>
  <si>
    <t>Real capilla de Sres. Reyes nuevos de la ciudad de Toledo, que resultará vacante por prprnociop ae D. Diego de la Torre y Arce á una Canongía de la metropolitana de aquella ciudad* á D. Juan'López Moreno,Cura Párroco de la villa de Pohyoranca de este arzobispado. &gt; S. M. se ha dignado promover en el regim</t>
  </si>
  <si>
    <t>de la Torre y Mollinedo, Domingo</t>
  </si>
  <si>
    <t>Domingo de la Torre y Mollinedo</t>
  </si>
  <si>
    <t>ación de los principales estados de Europa, de que se empezó á hablar en el anterior: traducido por D. Domingo de la Torre y Mollinedo , Oficial mayor de la contaduría del cargo de la superintendencia general de Juros , habilitado por S. M. para suplir las ausencias y enfermedades del Contador de ella. No puede h</t>
  </si>
  <si>
    <t>de la Torre, Joseph Francisco</t>
  </si>
  <si>
    <t>Joseph Francisco de la Torre</t>
  </si>
  <si>
    <t>do Muñoz; á Ayudante al Teniente D. Mateo Casanova, y á esta clase los Sargentos primeros Veteranos D. Joseph Francisco de la Torre y D. Joseph de la Paz González: en el batallón de igual clase de Cuba y Bayanio á Teniente Veterano al Subteniente agregado D. Santiago Mancebo</t>
  </si>
  <si>
    <t>de la Torre, Manuel</t>
  </si>
  <si>
    <t>Manuel de la Torre</t>
  </si>
  <si>
    <t>.... 487. Id. Manuel de la Torre............ Josef, María Viejo......... Folgoso. León............... 490. 44. Id. Gregorio Cervigon.............. Francisco, Catalina V</t>
  </si>
  <si>
    <t>de la Torre, Pedro</t>
  </si>
  <si>
    <t>Pedro de la Torre</t>
  </si>
  <si>
    <t>...... 3Sr. 24. Id. Pedro de la Torre.. Francisco, Josefa Ruiz..... Rieracolonga. Oviedo.......... 1090. 20. Id. Josef Hortelano.... Francisco, Angela la Casa. Valv</t>
  </si>
  <si>
    <t>de la Torre, Ramón</t>
  </si>
  <si>
    <t>Ramón de la Torre</t>
  </si>
  <si>
    <t>de menores á D. Manuel García Zorrilla y D. Hipólito Diez Serrano. En ia de sintaxis al seminarista Don Ramón de la Torre, D. Victoriano Fernandez y D. Manuel Losada. Y en la de latinidad, retórica y poética á D. R ay mundo Provedo, al seminarista D. Mariano Francos Cerezo y D. Pedro Antunez. . Grana</t>
  </si>
  <si>
    <t>de la Varga, Pedro</t>
  </si>
  <si>
    <t>Pedro de la Varga</t>
  </si>
  <si>
    <t>3. y. Id. Pedro de la Varga.............. Pablo, Josefa Santos............. Viilevedo de. Camporedotido................ 17. 48. Id. Pedro Vallejo.................'... Santiago, Lucía Lomas.... Celada</t>
  </si>
  <si>
    <t>de la Vega y San Julián, Nicolás</t>
  </si>
  <si>
    <t>Nicolás de la Vega y San Julián</t>
  </si>
  <si>
    <t>de Palacios, D. Henrique O-Dogherti, D. Jacinto Romarota y Salamanca^D. Joseph Corones y Alberola, D. Nicolás dé la Vega y San Julián, D. Manuel Lasqueti y Lasqueti , D. Miguel Pascual y Menocal, Don Ramón Rato y Ramírez, fk Roque Díaz Pardo, D. Miguel Daza y García, D. Diego Padura y Vargas, D. Juan Pinedo y An</t>
  </si>
  <si>
    <t>de la Vega, Francisco Xavier</t>
  </si>
  <si>
    <t>Francisco Xavier de la Vega</t>
  </si>
  <si>
    <t>á D. Rafael la Carrera, Teniente del mismo cuerpo. Atendiendo el Rey á los distinguidos méritos de D. Francisco Xavier dé la Vega , Oficial mayor primero dé la Secretaría dél '.despacho uníarersal, dé Hacienda de Indias , se na servido $. M. concederle plaza de Ministro,de capa y espada dei Consejo de aquell</t>
  </si>
  <si>
    <t>de la Vega, Miguel</t>
  </si>
  <si>
    <t>Miguel de la Vega</t>
  </si>
  <si>
    <t>áTeniente al Subteniente de granaderos D. Joseph Cosío; á Subteniente de granaderos al de fusileros D. Miguel de la Vega, y á Subteniente de bandera al Sargento primero de granaderos D. Manuel García.</t>
  </si>
  <si>
    <t>de la Vega, Remigio</t>
  </si>
  <si>
    <t>Remigio de la Vega</t>
  </si>
  <si>
    <t>Víicem?clase¡ Medaff • lias *de cincotonzas de plata. Pintura, á D&gt; francisco Idaser:^ escultura^ á D. Remigio de la Vega: arquitectura, á D. Romualdo de Vienta. Segundos premios. Medallas de tres onzas de plata á D. Antonio Poza y: Muñoz ,. y á D. Evaristo Rubian: escultura, á D. Juan Bautista: arqu</t>
  </si>
  <si>
    <t>de la Vera, Fernando</t>
  </si>
  <si>
    <t>Fernando de la Vera</t>
  </si>
  <si>
    <t>han obrado gratuitamente estimulados de su patriotismo. i Madrid 2$ de Abril. J\\ Mariscal de Campo D. Fernando de la Vera ha nombrado el Rey segundo Comandante de la plaza de Madrid, con honores y facultades de Gobernador de ella. Para el Gobierno de la villa de Almagro, del territorio de la orden de</t>
  </si>
  <si>
    <t>de La Viile, Juan Antonio</t>
  </si>
  <si>
    <t>Juan Antonio de La Viile</t>
  </si>
  <si>
    <t>e Urbina. ¡ Para el Gobierno del castillo de Santa Catalina de la plaza de Cádiz h* nombrado S.M. á D. Juan Antonio de La Viile, Capitán del regimiento de infantería de Guadalaxara. Quien quisiere eomprar una casa sita en la calle del Rubio de esta corte , námero g - rnanz. 471, tasada en 78,600 rs., que .</t>
  </si>
  <si>
    <t>de la Vina, Agustín</t>
  </si>
  <si>
    <t>Agustín de la Vina</t>
  </si>
  <si>
    <t>que resulta al Cadete D. Antonio Tamayo : en el de infantería de Nüeva-España á Capitán al Ayudante D. Agustín de la Vina ; á Ayudante al Teniente de granaderos 1). Joseph Fernandez ; á Teniente de granaderos al de fusileros D. Juan Estor; á esta Tenencia al Subteniente de granaderos D. Domingo Ocamp</t>
  </si>
  <si>
    <t>de la Yerba, Fernando Manuel</t>
  </si>
  <si>
    <t>Fernando Manuel de la Yerba</t>
  </si>
  <si>
    <t>ue son libres y pingües, 8c- rs. Quien quisiere tratar del asunto acudirá á JD. Fernando Manuel de la Yerba , vecino de esta corte , calle de Noramala vayas, núm. ir, quarto principal, que se halla con amplias facultades para hacer las ventajas posibles á quien los dé. Se desea saber quienes son</t>
  </si>
  <si>
    <t>de Lago y León, Vicente</t>
  </si>
  <si>
    <t>Vicente de Lago y León</t>
  </si>
  <si>
    <t>n Truliól y Andreu, D. Juan Olaegui y Aguilar, D. Agustín Manglano y Ruiz, D. Víctor Vinader y Paz, D. Vicente de Lago y León, D. Per dro de Landazuri, D. Joaquín Soroa y Soroa , D. Fernando Bustamante y Bustamante, D. Adrián Morqúecho, D. Mateo Vicente y Crespo, Don Joseph Bazan y Villaroel, D. Juan Sep</t>
  </si>
  <si>
    <t>de Lago, Joseph</t>
  </si>
  <si>
    <t>Joseph de Lago</t>
  </si>
  <si>
    <t>. Gerónimo Montóya, Don Manuel de la Breña, D. Manuel de Alva, D. Juan Vázquez, D. Alberto Moreyra, D. Joseph de Lago, D. Juan María de Moráles, Dé 'Joseph Coppola, D. Pedro Antonio Casasola^'D. Joseph*Molina , D. Miguel Taboada, D. Pedro Espinosa, D. Ramón Varela ¿ D. Melchor Magrat, Don Antonio</t>
  </si>
  <si>
    <t>de Lama y Montes, Joseph</t>
  </si>
  <si>
    <t>Joseph de Lama y Montes</t>
  </si>
  <si>
    <t>Juan Bermudez de Castro, D. Gregorio de la Sota Ruiz, D. Manuel Olmedilla, D. Francisco Zalváburu , D. Joseph de Lama y Montes , D. Joseph Fernandez de las Peñas 9 D. Joseph García de Quesada, D. Vicente Rodrigo y Ros, D. Luis de la Gándara, D. Juan de la Cagiga, D.. Joseph de la Cagiga, T), Vicente de La</t>
  </si>
  <si>
    <t>de Lana, Ángel</t>
  </si>
  <si>
    <t>Ángel de Lana</t>
  </si>
  <si>
    <t>Joseph Graulle, D. Gerónimo Valladares, D. Rafael Cravallo, D. Guillermo Chicheri, D. Pedro Saenz, D. Angel de Lana, D. Felipe de la Mar, D. Angel Mijáres, D. Gerónimo Marco , D. Francisco Marcó del Pont, D. Juan Martí Mofa, D. Alonso Morales, D. Nicolás de Mora, D. Fermín Roméo, D. Francisco M</t>
  </si>
  <si>
    <t>de Landaburu, Ignacio Xavier</t>
  </si>
  <si>
    <t>Ignacio Xavier de Landaburu</t>
  </si>
  <si>
    <t>s , graduado de Coronel, í). Carlos Renato de Coupígny; á segundo Teniente al Alférez de granaderos D. Ignacio Xavier de Landaburu ; á Alférez de granaderos al de fusileros D. Manuel María Polo de Bernabé, y á Alféreces á los Cadetes D. Ramón Foxá Xatmar de Marignat, D. Constantino Joseph Malet Coud'Egruyere,</t>
  </si>
  <si>
    <t>de Lángara, Juan</t>
  </si>
  <si>
    <t>Juan de Lángara</t>
  </si>
  <si>
    <t>ienda: Conde de Montarco de la Pena de Badija: D. Juan Manuel Alvarez, caballero de la del Toyson : D. Juan de Lángara, Gran Cruz de la de Cárlos m ,Capitán General de la Real Armada: D. Pedro Cevallos, primer Secretario de Estado y del Despacho: D. Miguel Cayetano Soler, del Consejo de Estado, Se</t>
  </si>
  <si>
    <t>de Lardizabal y Altana, Ignacio</t>
  </si>
  <si>
    <t>Ignacio de Lardizabal y Altana</t>
  </si>
  <si>
    <t>285 regui, D. Manuel de la Riva Agüero, D. Manuel de Lardizabal y Montoya, D. Ignacio de Lardizabal y Altana, D. Antonio Gilmán, D. Joachín íernandez de Medrano, D. Rodrigo y D. Pedro Tavira, D. Ignacio de Emparan, X). Leopoldo Menendez, D. Joseph de Munive y D. Ramón de Zuloaga. Ln múri</t>
  </si>
  <si>
    <t>de Lardizabal y Altuna, Ignacio</t>
  </si>
  <si>
    <t>Ignacio de Lardizabal y Altuna</t>
  </si>
  <si>
    <t>emental, D. Bernardino Echagiie, D. Joseph de Munive y D. Antonio de ligarte: de álgebra elemental, D. Ignacio de Lardizabal y Altuna: de trigonometría plana, aplicación del álgebra á la geometría y secciones cónicas, D. Manuel de Lardizabal y Montoya, y D. Manuel Claessens: del cálculo diferencial y principios</t>
  </si>
  <si>
    <t>de Lardizabal y Montoya, Manuel</t>
  </si>
  <si>
    <t>Manuel de Lardizabal y Montoya</t>
  </si>
  <si>
    <t>izabal y Altuna: de trigonometría plana, aplicación del álgebra á la geometría y secciones cónicas, D. Manuel de Lardizabal y Montoya, y D. Manuel Claessens: del cálculo diferencial y principios dei integral, D. Joseph María Kindelan. En esfera, baxo la dirección de los mismos dos profesores, D. Luis Verganza, D</t>
  </si>
  <si>
    <t>285 regui, D. Manuel de la Riva Agüero, D. Manuel de Lardizabal y Montoya, D. Ignacio de Lardizabal y Altana, D. Antonio Gilmán, D. Joachín íernandez de Medrano, D. Rodrigo y D. Pedro Tavira, D. Ignacio de Emparan, X). Leopoldo Menendez, D. Joseph de Mu</t>
  </si>
  <si>
    <t>de Lardizabal, Manuel</t>
  </si>
  <si>
    <t>Manuel de Lardizabal</t>
  </si>
  <si>
    <t>D. Luis Berganzi y D. Antonio Abaxos. Del tratado de esfera y atlas geográfico elemental de Vázquez D. Manuel de Lardizabal , D. Manuel Cíaeessens, D. Antonio Ligarte, D. Ignacio Lardizabal, Cadete de Reales Guardias Española*, D. Jo«e:&gt;k Alaría KindeUn, primer Subteniente del regimiento de infantería</t>
  </si>
  <si>
    <t>e las series,&gt;;^álciilo diferencial con sus aplicaciones, y elíntegrai con parte ^e.%u^íipU|^clones Don Manuel de Lardizabal, p. Manuel 'Cíaeessens y.;ejl Subtenieme p. Joseph Mana Kindelau. Eq Jepguq. francesa, al Cj$rgovdelprq|esQr de humanidades D. Pedro ^ M- -Ipseph María Kindelan , los Cadetes P, M</t>
  </si>
  <si>
    <t>de las Barreras, Francisco</t>
  </si>
  <si>
    <t>Francisco de las Barreras</t>
  </si>
  <si>
    <t>os hubiese hallado se servirá entregarlos en casa de D. Félix Martínez de Tejada , calle Mayor, ó á D. Francisco de las Barreras, calle Imperial, del comercio de esta corte. En la villa de Potes y 52 concejos de que se compone la provincia de Liévana, comprehendida en la de Burgos, se necesita un médico. Lo</t>
  </si>
  <si>
    <t>de las Héras, Benito</t>
  </si>
  <si>
    <t>Benito de las Héras</t>
  </si>
  <si>
    <t>Molla ,, á D. Joseph Ortizi para una Canongía de la catedral de Car-7 tagena, vacante por muerte de D. Benito de las Héras, áD.Manuel Gis— pert; y para la Ración que se halla vacante en lá catedral dé’StSá Domingo de la Calzada^ obispado de Calahorra, á D. Fausto Antonio Apellaniz. En la gazeta última</t>
  </si>
  <si>
    <t>de las Llamas y Mena, Gerónimo</t>
  </si>
  <si>
    <t>Gerónimo de las Llamas y Mena</t>
  </si>
  <si>
    <t>de Teniente Coronel, y D. Federico, Caballero de Lamberts, y á Alféreces de fusileros á los Cadetes D. Gerónimo de las Llamas y Mena y D. Antonio Saleta. En el regimiento de infantería del Príncipe se ha servido promover el Rey á segundo Teniente de granaderos al de fusileros D. Alexandro Pallares: en el de Saboya</t>
  </si>
  <si>
    <t>de las Nieves Ravelo, Juan</t>
  </si>
  <si>
    <t>Juan de las Nieves Ravelo</t>
  </si>
  <si>
    <t>s de la misma clase de los regimientos de la Palma, Abona y Lanzarote á D. Joachín Poggio y Alfaro, D. Juan de las Nieves Ravelo, segundos Ayudantes, y D. josaph Feo de Armas, Teniente de milicias de Artillería en aquellas islas. S. M. ha nombrado para el empleo de Ayudante de Guarda Almacén ordinario de Ar</t>
  </si>
  <si>
    <t>de Lasa, Sebastián</t>
  </si>
  <si>
    <t>Sebastián de Lasa</t>
  </si>
  <si>
    <t>y D. Ignacio de Emparan: de geometría elemental, hasta los planos exclusive, D. Ignacio de Emparan, D. Sebastian de Lasa, D. Joseph de Berrosteguieta y D. Fernando Adan de Yarza: de geometría elemental, D. Bernardino Echagiie, D. Joseph de Munive y D. Antonio de ligarte: de álgebra elemental, D. Ign</t>
  </si>
  <si>
    <t>de Latre y Aissa, Juan</t>
  </si>
  <si>
    <t>Juan de Latre y Aissa</t>
  </si>
  <si>
    <t>Martínez y Montes, D. Luis Lasqueti y Gal vez, D. Joaquín Ramírez de Arellano* Don Ignacio Munive, D. Juan de Latre y Aissa, D. Tomas Urrecha y Assua, D. Ramón de Móyua y Mazarredo, D. Francisco Tamayo y Reynalte, D. Joseph Carássa y Figueroa, D. Francisco Xavier Saravia, D. Ramón Torre y Pellicer, D.</t>
  </si>
  <si>
    <t>de Lauzieres, Luis</t>
  </si>
  <si>
    <t>Luis de Lauzieres</t>
  </si>
  <si>
    <t>e al segundo Teniente D. Juan Pió de Tristan, á segundos Tenientes de granaderos á los de fusileros D. Luis de Lauzieres, graduado de Teniente Coronel, y D. Federico, Caballero de Lamberts, y á Alféreces de fusileros á los Cadetes D. Gerónimo de las Llamas y Mena y D. Antonio Saleta. En el regimient</t>
  </si>
  <si>
    <t>de Lavalle, Simón</t>
  </si>
  <si>
    <t>Simón de Lavalle</t>
  </si>
  <si>
    <t>raduado de exército y agregado al mismo batallón; y el de Teniente Coronel al Capitán de granaderos D. Simón de Lavalle. El Consejo, á consulta de la Comisión gubernativa de consolidación de Vales, y con aprobación de S. M., ha acordado la quadragesimasexta amortización de 8o de 600 pesos, y 400 de</t>
  </si>
  <si>
    <t>de Lazaro, Martín</t>
  </si>
  <si>
    <t>Martín de Lazaro</t>
  </si>
  <si>
    <t>e de granaderos al de fusileros D. Rafael Líanzá : en el de León á Capitán de fusileros al Ayudante D. Martin de Lazaro*. en el de Asturias á primer Teniente al segundo D. Francisco Xavier González: en el de la Princesa á segundo Teniente al Subteniente de granaderos D. Juan Bautista Moure: en el d</t>
  </si>
  <si>
    <t>de Leis, Agustín</t>
  </si>
  <si>
    <t>Agustín de Leis</t>
  </si>
  <si>
    <t>de granaderos i los de fusileros D. Roque Rioboo y D. Bernardo Lorenzo; á Ayudantes á los Tenientes D. Agustín de Leis y D. Bernardíno Ortega; á Tenientes i los Subtenientes de granaderos D. Basilio Irigoyen , D. Bruno Muñoz y D. Juan Joseph Viamont, y al de fusileros D. Juan López ; á Subtenientes de</t>
  </si>
  <si>
    <t>de Lemus, Lorenzo</t>
  </si>
  <si>
    <t>Lorenzo de Lemus</t>
  </si>
  <si>
    <t>blica el Corregidor de esta ciudad D. Joseph Guillen de Toledo, y los individuos de su Ayuntamiento Don Lorenzo de Lemus y D. Doroteo Gómez, comisarios de las Reales escuelas costeadas de cuenta de S. M., determinaron (en desempeño de sus respectivos encargos) que en los dias 4, 5 y 6 de Noviembre del a</t>
  </si>
  <si>
    <t>de León Santos de San Pedro, Miguel</t>
  </si>
  <si>
    <t>Miguel de León Santos de San Pedro</t>
  </si>
  <si>
    <t>chín de Iriberri: para otra de Alcalde mayor de la Audiencia de Asturias, vacante por jubilación de D. Miguel de León Santos de San Pedro, á D. Eusebio Joseph Vejerano: para el Corregimiento de letras de la ciudad de Toro á D. Juan Agustín Suinaga : para el de la villa de Mancha Real á D. Miguel Calveton: para el de</t>
  </si>
  <si>
    <t>de León y Arispe, Antonio</t>
  </si>
  <si>
    <t>Antonio de León y Arispe</t>
  </si>
  <si>
    <t>, quien con ios informes necesarios la proveerá en el mas digno el 30 de este mes. Los herederos de D. Antonio de León y Arispe, que sirvió á ©. Alfonso de Acevedo, acudirán en Madrid á D. Joachin Bonet , Abogado del colegio, á percibir algún dinero. Los subscriptores al Compendio de los libros de la santa</t>
  </si>
  <si>
    <t>de León, Antonio</t>
  </si>
  <si>
    <t>Antonio de León</t>
  </si>
  <si>
    <t>eros al primer Subteniente.D. Joseph María Andradé: en él de Saboya á segundo Subteniente al Cadete D. Antonio de León: en el de Córdoba á segundos-Tenientes á los Subtenientes de granaderos D. Lorenzo Cervera y D. Antonio González: en el de América á primer Teniente al segundo de granaderos D. Sa</t>
  </si>
  <si>
    <t>de León, Joseph</t>
  </si>
  <si>
    <t>Joseph de León</t>
  </si>
  <si>
    <t>do á Capitán al Ayudante D. Fernando Vázquez: en el de León á Capitán de granaderos aL de fusileros D. Joseph de León: en el de América á Capitán al Ayudante D. Juan Calvo; á primer Teniente de granaderos al de fusileros D. Manuel de Mendoza; á Ayudante al primer Teniente D. Agustín Benitez de Al</t>
  </si>
  <si>
    <t>a! ño, D. Joseph Gómez deLatorre, D. Antonio Sarmiento, D. Antonio Hermosiíla, D. Joseph Bonicelii, D. Joseph de León, D. Patricio Kindélan, D. Ignacio Husey, D. Ignacio Maraver, D. Manuel Eligió, D. Antonio Mayone, D. Ramón Gómez, D. Diego Cortés, D. Juan O-Donovan, D. Joaquín 0-ReiUy\D. Joseph</t>
  </si>
  <si>
    <t>de León, Juan</t>
  </si>
  <si>
    <t>Juan de León</t>
  </si>
  <si>
    <t>e granaderos al de fusileros D. Alexandro Pallares: en el de Saboya á segundo Subteniente al Cadete D. Juan de León: en el de Guadalaxara á Capitán al primer Teniente de granaderos, graduado, de Teniente Coronel, D. Joseph Chacón: en el de Toledo á segundo Subteniente al agregado en esta clase</t>
  </si>
  <si>
    <t>de Lesaca, Juan</t>
  </si>
  <si>
    <t>Juan de Lesaca</t>
  </si>
  <si>
    <t>Juan Felipe Maíz, Oficial mayor de la Administración general de Rentas de la provincia de Madrid; á D. Juan de Lesaca, Oficial segundo de la Contaduría de exército de Andalucía ; á D.Mariano Alvarez Ordoño, Contador de Aduanas de Cataluña; á D.'Pedro de las Casas, Contador general de Salinas de C</t>
  </si>
  <si>
    <t>de Ley, Francisco</t>
  </si>
  <si>
    <t>Francisco de Ley</t>
  </si>
  <si>
    <t>AntoniriO* Domíciano &amp;c.,,y muchos utensilio ‘ de cobre. Pezueta de Lis Torres 8 de Octubre. E IDr. D. Francisco de Ley va , Abogado de los Reales Consejos, vecino1 de la ciudad de Guadalaxara, padeeia hace mas de 8 años una fístula complefa det 3110 de resultas de un absceso hemorroidal ; y 4 pesa</t>
  </si>
  <si>
    <t>de Leycan, Barón</t>
  </si>
  <si>
    <t>Barón de Leycan</t>
  </si>
  <si>
    <t>ro pide un precio exorbitante. IT Strasburgo G de Abril. JljLía llegado aquí el Barón de Leycan , Ministro de Colonia y del Gran Maestre de la orden Teutónica en la dieta germánica. Va de Viena á París con una comisión particular de aquella corte. Bruselas 11 de Abril. I nformado el Pr</t>
  </si>
  <si>
    <t>de Leykan, Barón</t>
  </si>
  <si>
    <t>Barón de Leykan</t>
  </si>
  <si>
    <t>celebrarlas eí 31. En la junta de esté día se ley o úna nota comunicada por el Barón de Leykan, Ministro de Colonia, cuyo tenor es el siguiente: ,,La legación de Colonia tiene la honra de informar á la dieta general del Imperio que á proposición del Ste. Padre *y-áTéxemplo de Jos Arz</t>
  </si>
  <si>
    <t>de Leyva, Joseph</t>
  </si>
  <si>
    <t>Joseph de Leyva</t>
  </si>
  <si>
    <t>a y Hernández , D.Francisco Sarrachaga y Zavala, Don Joseph García Joye, D. Miguel Vaidásano y Ros, D. Joseph de Leyva y. Lerin , D. Rafael Rodríguez Guerra, D. Ramón Ortiz Canela y Esteller, D. Manuel Valcarcel, y Oconri, t). Joachin de Mora; y Duarte ,, D. Diego de Arteaga, D. Alonso Solis y Zurit</t>
  </si>
  <si>
    <t>de Lezo, Blas</t>
  </si>
  <si>
    <t>Blas de Lezo</t>
  </si>
  <si>
    <t>Joachín del Rio, D. Luis Vidarte, D. Toribio Olalde, D. Joseph Mar ría Esquivel, D. Joseph Catalan, D. Blas de Lezo, D. Joseph Martínez, D. Luis Verganza y D. Zeferino Carrillo. En rudimentos.de latinidad, baxo la dirección de su maestro D. Andrés Beiztegui, los seminaristas D. Joseph de Torres</t>
  </si>
  <si>
    <t>s D. Toribio Olalde, D. Joachín del Rio, D. Luis Verganza, D. Joseph de Eíquivel , D. Iñigo Ortés , Don Blas de Lezo, D. Leopoldo Menendez y D. Ignacio de Lardizabal, Ln el ba) le, al cargo de su maestro D. J uan Castro, D. Joseph Kindelan , Don Ignacio Empatan, D. Pedro Tavira, D. Rodrigo Tavir</t>
  </si>
  <si>
    <t>avira, D. Francisco Trespaiacios, D. Leopoldo Menend.ez, D. Joaquin del Rio, el Marques de Iranda , Don Blas de Lezo, D. Joaquin Fernández de Medrano, D. Juan Bautista Cerain, D. Valentín Martinez, D. Luis Berganzi y D. Antonio Abaxos. Del tratado de esfera y atlas geográfico elemental de Vázque</t>
  </si>
  <si>
    <t>de Ligero, Joseph</t>
  </si>
  <si>
    <t>Joseph de Ligero</t>
  </si>
  <si>
    <t>han vacunado con toda felicidad mas de 100 niños de ámbos sexos, algunos de 2 meses. También lo fué D. Joseph de Ligero, Comisionado principal de i Consejo y Comisión gubernativa de Consolidación de Vales Reales y Caxa de extinción y descuento en esta provincia, y del Real Pósito de Madrid, de edad</t>
  </si>
  <si>
    <t>de Ligucri, Alonso</t>
  </si>
  <si>
    <t>Alonso de Ligucri</t>
  </si>
  <si>
    <t>los días del mes, oraciones para Ja sagrada comunión;■•obra compuesta en italiano por el limo. Sr. D. Alonso de Ligucri, vertida al, español por un sacerdote del oratorio de S. Feüpe Neri de Barcelona : un tomo en n.° Se hallarán en la librería de Feuiandez, trente á S. Felipe el Real. ... Avisos e</t>
  </si>
  <si>
    <t>de Linker, Barón</t>
  </si>
  <si>
    <t>Barón de Linker</t>
  </si>
  <si>
    <t>ó el Barón: de Steigéntesch , Ministro directorial deMjá*guncia, se hallaba* el Barón de Linker, Ministro de Tréveris, ensushaciendas de Bohemia;^y apenas supo aquella muerte, vino á «ta ciudad park no perder "la ocasión? de cxercer el derecho que en tales casos creeteñérsU corte dé c</t>
  </si>
  <si>
    <t>de Liordella, Ramón</t>
  </si>
  <si>
    <t>Ramón de Liordella</t>
  </si>
  <si>
    <t>Fernando de Echepare y sobrinos* ' En Badajoz...... . D. Manuel de la Peña. , , En Barcelona....... D. Ramón de Liordella é hijo* En Burgos........... D. Andrés Frayle. En Cádiz................ D. Benito de la Piedra. En Cartagena........ D. Manuel de Ozores. , En Ciudad^Real... D. RamónAntonio Pico.</t>
  </si>
  <si>
    <t>de Llana, Joseph Gaspar</t>
  </si>
  <si>
    <t>Joseph Gaspar de Llana</t>
  </si>
  <si>
    <t>D. Joseph Gaspar de Llana: para las plazas de Oficiales tercero, quinto y de guias de la aduana de Guayaquil á D.-Joachin Lavoquerrer , D. Gerónimo de Cárdenas y D. Santiago Estrella: para el empleo de Ofi</t>
  </si>
  <si>
    <t>de Llano Garay, Joseph</t>
  </si>
  <si>
    <t>Joseph de Llano Garay</t>
  </si>
  <si>
    <t>seph Pascual de Vivero ,- D..t Francisco Mlllau y Merlo, D« Manuel Díaz Herrera, D. Joseph Salomón, D. Joseph de Llano Garay, D. J« st*ph Ig¿. nado del Camino', D. Vicente de Boz y Cafi^* v D« JCsev*h Meñaca, Don Jfcleph Herediá y Hore, D. Nicolás de Cea , D.DiegoButron y Cortés, D: Joseph Rodríguez de</t>
  </si>
  <si>
    <t>de Llordella, Ramón</t>
  </si>
  <si>
    <t>Ramón de Llordella</t>
  </si>
  <si>
    <t>............ D. Fernando de Echepare. En Badajoz.......... D. Manuel de la Peña. En Barcelona...... D. Ramón de Llordella é hijo. En B tíraos.......... D. Andrés Fray le. En Cádiz.............. D. Benito de la Piedra. En Cartagena....... D. Manuel de Ozores. En Ciudad-Real... D. Ramón Antonio Pico. E</t>
  </si>
  <si>
    <t>Fernando de Echepare y sobrinos. En Badajoz............ D. Manuel de la Peña. En Barcelona........ D. Ramón de Llordella é hijo. En Burgos.............. D. Andrés .Erayle. En Cádiz................. D. Benito de la Piedra. En Cartagena........ D. Manuel de Ozores. En Ciudad-Real... D. Ramón Antonio P</t>
  </si>
  <si>
    <t>.......D. Fernando de Echepare# En Badajoz...,.,.... D. Estdban de V^aldivieíso. En Barcelona.......D. Ramón de Llordella é hijo» En Biírgos............ D. Andrés Fray le. En Cádiz............. . I). Benito de la Piedra. - En Cartagena-*..,... D. Manuel de Ozores. i En Ciudad-Real.*. D. Ramón Antonio</t>
  </si>
  <si>
    <t>...........D. Fernando de Echepare. En Badajoz...... D. Estéban de Valdivielso. En Bdrcelona....... D. Ramón de Llordella é hijo. En Burgos....... ..... D. Andrés Frayle. En Cddtz...... D. Benito de la Piedra. En Cartagena........D. Manuel de Ozores. En Ciudad~Real... D. Ramón Antonio Pico. En Córdob</t>
  </si>
  <si>
    <t>..*. D. Fernando de Echepare. - En Badajoz.......... D. Estéban de Valdivielso. En Barcelona........D. Ramón de Llordella é hijo. En Burgos*........... D. Andrés Frayle. En Cádiz................D. Benito de la Piedra. En Cartagena....... D. Manuel de Ozores. En Ciudad-Real... D. Ramón Antonio Pico. E</t>
  </si>
  <si>
    <t>de Llórdella, Ramón</t>
  </si>
  <si>
    <t>Ramón de Llórdella</t>
  </si>
  <si>
    <t>. D. Fernando de Echepare y sobrinos. En Badajoz.......... D. Estéban de Valdivielso. En Barcelona..D. Ramón de Llórdella é hijo. En Biirgos........ . D. Andrés Fraylé. En Cádiz......... . D. Benito dé la Piedra. En Cartagena........D. Manuel de Ozores. En Ciudad-Beal... D. Ramón Antonio Pico. Én Cór</t>
  </si>
  <si>
    <t>de Echepare y sobrinos. ri &gt; En Badajoz......".* D; Estéban de‘;Valdi vielso.;. En Barcelona^..... D. Ramón de Llordella é hijo. En Bttrgos........... . D. Andrés Frayle, ,&gt; , En Cda D. Benito de la Piedra. En Cartagena....... D. Manuel de Ozores. En Ciudad-Real-,. D. Ramón Antonio Pico. , En Córdob</t>
  </si>
  <si>
    <t>de Lobo y Campo, Manuel</t>
  </si>
  <si>
    <t>Manuel de Lobo y Campo</t>
  </si>
  <si>
    <t>bla ,D. Joseph Pardo y Lama, D. Lorenzo de Toro y Toledo, D. Leandro de Cáceres, D. Juan Izquierdo, D. Manuel de Lobo y Campo, D. Carlos Sellery, D. Lorenzo de la Puente, D, Ruperto Calderón,D. Pedro de Toro y Toledo, D. Carlos Engracia Carrasco , D. Felipe Uriarte y Erquizia, D. Joaquín Delgado Fernande</t>
  </si>
  <si>
    <t>de Lobo y Campo, Rafael</t>
  </si>
  <si>
    <t>Rafael de Lobo y Campo</t>
  </si>
  <si>
    <t>ín de Barrio, D. Isidro Gago y Abarca, D. Pablo de Villa y Gutiérrez, D. Joaquín Sanchiz Verenguer, D. Rafael de Lobo y Campo, D. Francisco Leceta y la Iglesia, D. Manuel Ocarol y Fuertes, D. Antonio Magadan y Entrenos, D. Norberto de Mella-y Barbeyto, I&gt;. Juan de Bustamante y Bustamante, D. Joaquín del</t>
  </si>
  <si>
    <t>de Londoño, Ramón</t>
  </si>
  <si>
    <t>Ramón de Londoño</t>
  </si>
  <si>
    <t>nez.* D. Gaspar Maguna, 0. Joseph Montalbo¿ D. Manuel Aréchávala, D.Matíaís Aldao,D.Josep]iZapiota, D. Ramón de Londoño, D. Ramón de Novoa, D. Francisco García Señeris, D. Tomas Seidel, D. Antonio Moragues, D. Gines Marsilia, D. Isidro Suquilvide , 0. Nicolás Angelí. Radovani, 0. Pedro Salas- , 0.</t>
  </si>
  <si>
    <t>de Lora, Francisco</t>
  </si>
  <si>
    <t>Francisco de Lora</t>
  </si>
  <si>
    <t>á Subteniente de granaderos al de fusileros D. Joseph María del Toro; á Subteniente de fusileros á D. Francisco de Lora, y á Subtenientes de bandera á D. Pedro Manuel de Toro y D. Joseph María Verastegúi. T También se ha servido el Rey conferir Compañía en el regimiento de dragones de Buenos-Ayres</t>
  </si>
  <si>
    <t>de Lorenzana, Tomás</t>
  </si>
  <si>
    <t>Tomás de Lorenzana</t>
  </si>
  <si>
    <t>en el Real hospicio de esta -villa la escuela de dibuxo que había establecido el difunto limo. Sr. D. Tomas de Lorenzana, Obispo de Gerona, y cuyo estudio se suspendió á causa de las calamidades que acaban de finalizar con la deseada paz que ya gozamos. Los progresos qu« prometía tan útil establecim</t>
  </si>
  <si>
    <t>de Lorieri, Pedro Francisco</t>
  </si>
  <si>
    <t>Pedro Francisco de Lorieri</t>
  </si>
  <si>
    <t>del Consejo de las Ordenes Militares, correspondiente á la de Montesa, vacante por fallecimiento de D. Pedro Francisco de Lorieri, al Brigadier D. Fernando de Córdoba, Oficial mayor segundo de la Secretaría de Estado y del deíoacho universal de la Guerra: para otra plaza de Ministro del Conseio de Hacienda a</t>
  </si>
  <si>
    <t>de los Cobos, Francisco Tomás</t>
  </si>
  <si>
    <t>Francisco Tomás de los Cobos</t>
  </si>
  <si>
    <t>ión i su avanzada edad y achaques, conservándole todo su sueldo; y ha nombrado para esta Fiscalía á D. Francisco Tomas de los Cobos: para la Fiscalía del Consejo de Navarra, vacante por promoción de D. Antonio Cano Manuel, i plaza supernumeraria de* Alcalde de lá;Reál casa y .corte, á D. Ramón Giratdo; y para</t>
  </si>
  <si>
    <t>de los Ríos, Joaquín</t>
  </si>
  <si>
    <t>Joaquín de los Ríos</t>
  </si>
  <si>
    <t>cántara á segundo Teniente ü Alférez D. Joseph Barrachina: en el de Calatrava á Capitán ai Ayudante D. Joaquín de los Ríos, y á primer Teniente al segundo D. Rafael de Ortega : en el de Montesa á primeros Tenientes á los segundos D. Joseph fieaumon , D. Juan de Ayala y D. Félix de Roxas: en el de Húsa</t>
  </si>
  <si>
    <t>de los Ríos, Joseph</t>
  </si>
  <si>
    <t>Joseph de los Ríos</t>
  </si>
  <si>
    <t>D. Rafael Morales,. Agustín Arenas, D. Juan Amaro Pestaña, D. Manuel Fernandez, D. Miguel Texedor, D. Joseph de los Ríos, D. Guillermo Roo, IX Juan Antonio Heredia, D. Joseph de Chastre, D. Manuel Astor, Don Ramón Mijares, D. Francisco Alegría, D. Francisco Arnedo, D. Joseph de Zúñiga, D. Alberto Ma</t>
  </si>
  <si>
    <t>de los Ríos, Vicente</t>
  </si>
  <si>
    <t>Vicente de los Ríos</t>
  </si>
  <si>
    <t>ventores de artillería que han florecida en España'desde losRey es Católicos hasta el presente: por D. Vicente de los Ríos. Véndese á g. rs.^en* la librería de lá viuda de Cerro, red de S. Luis , y en su pue»-; to&gt; Cálle. de .Alcalá* .Planisferio terrestre ó Carta general de la; tierra, por la qual se</t>
  </si>
  <si>
    <t>de los Toyos, Antonio</t>
  </si>
  <si>
    <t>Antonio de los Toyos</t>
  </si>
  <si>
    <t>... lao. a.3. Id.'. Antonio de los Toyos......... . Antonio, Joaquina Marrón. Villalaos....... Oviedo....... 102. 22. Id. Manuel de Beytia............ . Manuel, Francisca Asaonguren............................</t>
  </si>
  <si>
    <t>de Losada, Joachín</t>
  </si>
  <si>
    <t>Joachín de Losada</t>
  </si>
  <si>
    <t>nte D. Agustín Benitez de Alfaraz; á primeros Tenientes á ios segundos de granaderos D. Juan Abuin, D. Joachin de Losada y D. Candido Failde; á segundos Tenientes de granaderos á los de fusileros D» Salvador de Molina, D. Pedro Rosselly y D. Pedro Beltran*; á segundos Tenientes á los Subtenientes de gra</t>
  </si>
  <si>
    <t>de Lucena y Prada, Juan</t>
  </si>
  <si>
    <t>Juan de Lucena y Prada</t>
  </si>
  <si>
    <t>dos en la herencia abintestato del Sr. Conde que fue de Maceda , y Doña Catalina Herrera, viuda, de D. Juan de Lucena y Prada , y única heredera de su hijo D. Juan Joseph , administrador que fue del estado de Tcvaruela, sobre aprobación de las cuentas presentadas de dicha administración. Estos autos estu</t>
  </si>
  <si>
    <t>de Luckner, Conde</t>
  </si>
  <si>
    <t>Conde de Luckner</t>
  </si>
  <si>
    <t>ndió un edificio en que habia gran cantidad de cal viva. Haya i.° de Enero. E 1 Conde de Luckner, Ministro de S. M. Dinamarquesa en esta República , ha ido á pasar algún tiempo en sus haciendas del Ducado de Holstein; dexa el despacho de los negocios de Embaxada á cargo del Coronel Fue</t>
  </si>
  <si>
    <t>de Lúe y Riega, Benito</t>
  </si>
  <si>
    <t>Benito de Lúe y Riega</t>
  </si>
  <si>
    <t>el Obispado de Buenos-Ayfes, vacante por promoción de D. Pedro Inocencio Vejarano al de Sigüenza, á D. Benito de Lúe y Riega, Dean de la catedral de Lugo. Tratado definitivo de paz entre S. M. el Rey de España y de las Indias, la Repiíblica Francesa, y la República Bdtava de una parte, y S. M. el Rey de</t>
  </si>
  <si>
    <t>de Luengas y Orive, Manuel</t>
  </si>
  <si>
    <t>Manuel de Luengas y Orive</t>
  </si>
  <si>
    <t>edor, D. Alexandro Boni la y San Juan, D. Juan Uztariz y Valenciano, D. Manuel Martínez Wintuysen , D. Manuel de Luengas y Orive, :D. Domingo Sarachaga y Z aval a, D. Gavino de Arana y Arrióla, D. Joseph Obando y Adorno , D. Joseph Romero y Uriraiz , D. Alvaro de la Sema, D. Garlos Rato y Ramírez, D. Ramón</t>
  </si>
  <si>
    <t>de Lugo, Juan</t>
  </si>
  <si>
    <t>Juan de Lugo</t>
  </si>
  <si>
    <t>enientes de granaderos D. Miguel Agusto, D. Alonso Velez y D. Joseph Lino Garzón, y al de fusileros D. Juan de Lugo; y á Subte-' nientes de granaderos los de fusileros D. Francisco Romero, D. Vicente* Vinegra y D. Eugenio Tarrio. El Rey se ha servido conferir el empleo de Comandante Veterano de</t>
  </si>
  <si>
    <t>de Luna, Mateo</t>
  </si>
  <si>
    <t>Mateo de Luna</t>
  </si>
  <si>
    <t>do Sánchez Cidras: para la Prestamera de Beteta, en la diócesis de Cuenca , vacante por renuncia de D. Mateo de Luna, á D. Antonio Friay: para el Beneficio Sacristía del lugar de Acebo, en la diócesis de Coria , vacante por muerte de D. Miguel Salgado , á D. Antonio Martin Escudero; y para el Be</t>
  </si>
  <si>
    <t>de Macánaz, Melchor Rafael</t>
  </si>
  <si>
    <t>Melchor Rafael de Macánaz</t>
  </si>
  <si>
    <t>confunde con sus propias razones é los hereges y anticatólicos, y á otros engañados por ellos: por D. Melchor Rafael de Macánaz, dada ó luz por D. Antonio Vailadáres de Sotomayor; a tomos en 8.° Se hallará ea la librería de Hurtado, calle de las Carretas. En el almacén de música de la calle de‘Relatores, n</t>
  </si>
  <si>
    <t>de Maceda, Conde</t>
  </si>
  <si>
    <t>Conde de Maceda</t>
  </si>
  <si>
    <t>te Coronel dei de Soria« la Tenencia Coronela del de infantería del Príncipe al Conde de Maceda, Teniente Coronel agregado al de infantería Inmemorial del Rey: la Comandancia del tercer batallón del dé la. Reyna, al Teniente Coronel P. Sebastian de Zaragoza, Sargento mayor dél de Amér</t>
  </si>
  <si>
    <t>de Maderna, Miguel</t>
  </si>
  <si>
    <t>Miguel de Maderna</t>
  </si>
  <si>
    <t>ción de i.° de Mayo, mím. 437,^31, y el otro de i.° de Setiembre, mím. 75,671, endosados á favor de D. Miguel de Maderna, el i.° por 3&gt;. Joseph Ignacio Ortiz de Zarate, y el 2.0 por D. Juan Bautista de Balenzategui. Quien supiere de ellos avisará al referido Maderna , calle de Fuencarral, mim. 5 , e</t>
  </si>
  <si>
    <t>de Madinabeitia, Joseph Domingo</t>
  </si>
  <si>
    <t>Joseph Domingo de Madinabeitia</t>
  </si>
  <si>
    <t>Puerto Rico ai Ayudante de Guarda-Almacén de la misma plaza D. Joseph Saenz; y para esta resulta á D. Joseph Domingo de Madinabeitia. Continuación del tratado de paz con S. JM. Británica. ■ Art. iii. S. M. Británica restituye á la República francesa y á sus aliados; á saber, á S. M. Católica y á la República bá</t>
  </si>
  <si>
    <t>de Madrigal, Manuel</t>
  </si>
  <si>
    <t>Manuel de Madrigal</t>
  </si>
  <si>
    <t>1026 Toledo, D. Antonio Moreno, D. Juan Aldrete, D. Joseph Dupré, D. Simón Fuentes, D. Manuel de Madrigal, D. Narciso Bernales; D. Fernando Orive, D. Francisco de Castro,.D. Francisco Mexia, D. Juan Joseph Indafmtu, D. .Juan Fatqués, ,t I&gt;. Manuel Dambrihe, D. Francisco Perez Brito ,</t>
  </si>
  <si>
    <t>de Mar, Ramón</t>
  </si>
  <si>
    <t>Ramón de Mar</t>
  </si>
  <si>
    <t>s se ha servido promover S*» M: ¿-'Sargento mayor al Comandante'de batallón, graduado de Brigadier, D. Ramón de Mar i moa: en el de Reales Guardias Walonasá segundos Tenientes granaderos ¿-dos de fusileros D. Huberto María Scherer de Scherboorg y D. Joseph Rurz de Porras ; á Alférez de granader</t>
  </si>
  <si>
    <t>de Marco, Antonio</t>
  </si>
  <si>
    <t>Antonio de Marco</t>
  </si>
  <si>
    <t>brinos del Vicario de la iglesia parroquial de Sta. María D. Agustín de Barasoainy una hija del Sr. Don Antonio de Marco, Alcalde honorario de la Real casa y corte, la qual tenia 22 años: y sucesivamente se ha ido propagando la vacunación con la mayor felicidad, viendo el pueblo las grandes vejotaja</t>
  </si>
  <si>
    <t>de Marimon y Bail, Pedro María</t>
  </si>
  <si>
    <t>Pedro María de Marimon y Bail</t>
  </si>
  <si>
    <t>dad de Arcediano mayor de la catedral de Barcelona, vacante por fallecimiento de D. Felipe Paysa, á D. Pedro María de Marimon y Bail: para una Canongía de la catedral de Cuenca , vacante por muerte de D. Francisco Antonio Fuero, á D. Joseph Gil Santibañez, Canónigo de la colegiata de la Coruña: para otra de la</t>
  </si>
  <si>
    <t>de Mata Franco, Juan</t>
  </si>
  <si>
    <t>Juan de Mata Franco</t>
  </si>
  <si>
    <t>e la villa de Medellin á D. Joseph Meliton de Nava: para la de la isla de la Palma , en Canarias, á D. Juan de Mata Franco; y para la del Valle delguña, de nueva creación, á D. Joseph García Tabáres. El Consejo, a consulta de la Comisión gubernativa de consolidación de Vales, y con aprobación de S. M.</t>
  </si>
  <si>
    <t>de Mata Herrera y Oca, Juan</t>
  </si>
  <si>
    <t>Juan de Mata Herrera y Oca</t>
  </si>
  <si>
    <t>aron á D. Joseph María Perez de Vargas y Cárdenas, D. Luis de Cañete, D. Gerónimo Cañete de -Lemus, D. Juan de Mata Herrera y Oca, D. Antonio Manrique, D. Antonio Garzón, D. Juan Muñoz, D. Alfonso de Ortega, Don Juan Bautista del Caño , D. Rafael Sánchez de Sandino, Juan de Roxas, Francisco de Yera, Pedro Ma</t>
  </si>
  <si>
    <t>de Mata Ramos, Juan</t>
  </si>
  <si>
    <t>Juan de Mata Ramos</t>
  </si>
  <si>
    <t>mo, y con arreglo á sus constituciones adjudicó una medalla de bronce al individuo actual de número Don Juan de Mata Ramos, en premio público' del talento y aplicación que en toda la serie del año manifestó en los exercicios literarios de la misma academia. D., Christiano Herphen, profesor del Real es</t>
  </si>
  <si>
    <t>de Matas, Joseph</t>
  </si>
  <si>
    <t>Joseph de Matas</t>
  </si>
  <si>
    <t>de Reales Guardias Españolas se ha servido promover el Rey á Alférez de granaderos ai de fusileros D. Joseph de Matas. Los accionistas de la Caza de Descuentes de esta corte y residentes en Madrid»cuyos títulos y apellidos comiencen con las iniciales comprehendida« desde la A hasta la Z inclusive</t>
  </si>
  <si>
    <t>de Mazarredo, Lorenzo</t>
  </si>
  <si>
    <t>Lorenzo de Mazarredo</t>
  </si>
  <si>
    <t>dé Parra y VÚlalba-, D; Ramón Matsia y Páger* D. Antonio Carbonera y Masa, D. Jóseph;¿e Colmenares, D. Lorenzo de Mazarredo, D. Rafael Calviilo y Lara ,D. Antonio Cagada y Cerponti, D. Luis Na</t>
  </si>
  <si>
    <t>de Medina, Joseph Luis</t>
  </si>
  <si>
    <t>Joseph Luis de Medina</t>
  </si>
  <si>
    <t>iente de granaderos D. Joseph ViUanueva ;la Subr tenencia de granaderos al Subteniente de fusileros D. Joseph Luis de Medina , y una de bandera al Cadete Dv Joseph María del Tojo : Compamas eüii el batallón de milicias disciplinadas de Campeche a los Subtenientes Don Antonio Chazarreta y D. Lorenzo de l</t>
  </si>
  <si>
    <t>de Medina, Juan</t>
  </si>
  <si>
    <t>Juan de Medina</t>
  </si>
  <si>
    <t>llería de la misma plaza ha promovido S. M. á Capitan de Carabineros; al Cap itan del propio cuerpo D. Juan de Medina; á Ayudante mayor al Capitán 0. Manuel Malagon; á Capitanes á los Tenientes 0. Domingo Cevallos, agregado á dicho regimiento, y D. Manuel Dávila de Carabineros ; á Teniente de Car</t>
  </si>
  <si>
    <t>de Mena, Manuel</t>
  </si>
  <si>
    <t>Manuel de Mena</t>
  </si>
  <si>
    <t>dad de Lorca, del mismo reyno de Murcia, ó al de la parroquia de S. Antonio de Cádiz, ó en Madrid á D. Manuel de Mena, Procurador de los Reales Consejos, que vive en la calle de las Huertas , núm. 18. Número i.° Carta esférica de las costas de la península de España,las de Francia é Italia hasta</t>
  </si>
  <si>
    <t>de Mendinueta y Muzquiz, Miguel</t>
  </si>
  <si>
    <t>Miguel de Mendinueta y Muzquiz</t>
  </si>
  <si>
    <t>naderos D. Cayetano Frías Altamirano. En atención á los méritos y dilatados servicios del limo. Sr. D. Miguel de Mendinueta y Muzquiz ha venido S. M. en concederle plaza de Ministro de la Cámara. Asimismo ha nombrado el Rey para una plaza de Alcalde de su Real casa y corte supernumeraria con sueldo, á D. Antonio</t>
  </si>
  <si>
    <t>de Mendioía, Manuel</t>
  </si>
  <si>
    <t>Manuel de Mendioía</t>
  </si>
  <si>
    <t>fresco en la casa ae villa, haciendo igual obsequio en la suya álas Señoras mas visib-es dei pueblo D. Manuel de Mendioía, Alcalde ordinario de 2a ▼illavy diputad) general del tercer partido de la provincia de Guipúzcoa. Hubo corrida de novillos, y se concluyó esta sencilla demostración del afecto de</t>
  </si>
  <si>
    <t>de Mendiolaza, Francisco Xavier</t>
  </si>
  <si>
    <t>Francisco Xavier de Mendiolaza</t>
  </si>
  <si>
    <t>eban de León, á D. Miguel del Moral, Canónigo de gracia de la misma iglesia; y para esta Canongía i D. Francisco Xavier de Mendiolaza, Vicario eclesiástico de la Doctrina de Indios de Sta. Catalina de diclio obispado. En el esquadron de dragones de América fixo de la plaza de la Havana ha promovido el Rey á Teni</t>
  </si>
  <si>
    <t>de Mendíri, Francisco Xavier</t>
  </si>
  <si>
    <t>Francisco Xavier de Mendíri</t>
  </si>
  <si>
    <t>D. Vicente Pico, í). Antonio Arias , D. Joseph Espinosa, D. Miguel de Gerona, D. Manuel Henriquez, D. Francisco Xavier de Mendíri, D. Bartolomé Ladrón de Guevara, D. Gerónimo Montóya, Don Manuel de la Breña, D. Manuel de Alva, D. Juan Vázquez, D. Alberto Moreyra, D. Joseph de Lago, D. Juan María de Moráles,</t>
  </si>
  <si>
    <t>de Mendoza, Joaquín</t>
  </si>
  <si>
    <t>Joaquín de Mendoza</t>
  </si>
  <si>
    <t>res que descubra. plaza de Oliventa 4 dé Junio, A presencia del Gobernador de la plaza el Brigadier D. Joaquín de Mendoza, Cabildo secular, Intendente, oficialidad de la guarnición y demás cuerpos, y sugetos distinguidos, tuviéron exámén público en la sala consistorial de está villa ios cábaííetas Ca</t>
  </si>
  <si>
    <t>de Campo D. Francisco Taranco, Gobernador de la plaza de Gerona : para este Gobierno al Brigadier -D. Joaquin de Mendoza, Gobernador de la de Oüvenza: para el de la plaza de Tdrtosa al Mariscal de Campo D. Manuel Bretón, Gobernador de la de Pamplona: para el de esta plaza al Mariscal de Campo D. Ped</t>
  </si>
  <si>
    <t>Francisco Réqu'ená, D. Antonio Parxearroyo, 0; Joseph Molina* 0. Joseph Urbtua, D. Antonio Samper, D, Joaquín dé Mendoza* D. Fernando • Gaver, D. Mannel Andrade, D. Antonio;Diez dé4,Riv¿rí¿ P; Antonio Galiano, el Matques dé Mos, D¿ António Arce * D. Gerónimo Cifuentes, y D. Antonio de Zamoranó. !í _</t>
  </si>
  <si>
    <t>de Mendoza, Luis Ignacio</t>
  </si>
  <si>
    <t>Luis Ignacio de Mendoza</t>
  </si>
  <si>
    <t>ón dé la catedrai de Mérida de Maracaybo, vacante por muerte de D. ChristóbabOsorio Nieto de Páz, á D. Luis Ignacio de Mendoza» Cura Párroco de la ciudad de Barinás, en él mismo obispado. Él Rey se ha dignado nombrar Ayudante veterano dél batallón de Pardos libres de Panamá al Subteniente de infantería D.</t>
  </si>
  <si>
    <t>de Mendoza, Manuel</t>
  </si>
  <si>
    <t>Manuel de Mendoza</t>
  </si>
  <si>
    <t>el de América á Capitán al Ayudante D. Juan Calvo; á primer Teniente de granaderos al de fusileros D. Manuel de Mendoza; á Ayudante al primer Teniente D. Agustín Benitez de Alfaraz; á primeros Tenientes á ios segundos de granaderos D. Juan Abuin, D. Joachin de Losada y D. Candido Failde; á segundos</t>
  </si>
  <si>
    <t>de Meras, Ignacio</t>
  </si>
  <si>
    <t>Ignacio de Meras</t>
  </si>
  <si>
    <t>as de, goma elástica ,,bragueros , y una medicina eficaz para las quebraduras. i&lt; Obras poéticas de D. Ignacio de Meras y.Queypo; doMomos en 8.9 marqui11a de buena impresión y papel &gt; con $L retrato deí autor. Con tienen: Teonéa , ,tra-, gedia original, en ¿ actos: la Pupila msdrilefia, comedia de fi</t>
  </si>
  <si>
    <t>de Mesa Baulen, Pedro</t>
  </si>
  <si>
    <t>Pedro de Mesa Baulen</t>
  </si>
  <si>
    <t>os, D. Luis Zuazo Ximentz, D. Bernardo Bonávia, D. Manuel de Novales é Iruegas, D. Joaquín Asnn«ulo,D. Pedro de Mesa Baulen, D. Andrés Orive y Quiutano, D. Jo•seph Pascual de Vivero ,- D..t Francisco Mlllau y Merlo, D« Manuel Díaz Herrera, D. Joseph Salomón, D. Joseph de Llano Garay, D. J« st*ph Ig¿. n</t>
  </si>
  <si>
    <t>de Mesa, Joseph María</t>
  </si>
  <si>
    <t>Joseph María de Mesa</t>
  </si>
  <si>
    <t>la Torre y Arce: para la Ración de la colegial de Alfaro, vacante por renuncia que ha hecho de ella D. Joseph María de Mesa, á D. Tomas María Mayor; y para la Capellanía de Coro de la santa iglesia dé Toledo, vacante por la promoción á Racionero de la misma iglesia de D. Luis Alfonso Vázquez, á D. Domi</t>
  </si>
  <si>
    <t>de Mesa, Pedro</t>
  </si>
  <si>
    <t>Pedro de Mesa</t>
  </si>
  <si>
    <t>tariz, D. Tomas Herrera y Cruzat, D. Juan Ignacio Bustillos, D. Felipe Tcurneil, D. Pedro Esquível, D. Pedro de Mesa, D. Ignacio Olaeta, D. Joaquín Gómez Barreda, D. Benito Santacilia, D. Cosme- Carranza, D. Joseph Melendez, D. Antonio Pareja, D. Francisco Piedrola, D. Fernando Bustillo Cuéva,'</t>
  </si>
  <si>
    <t>de Miedes, Manuel</t>
  </si>
  <si>
    <t>Manuel de Miedes</t>
  </si>
  <si>
    <t>Fermín Roméo, D. Francisco Merino, D. Manuel María Pus* terla, D. Francisco Ayóla, D. Juan Tarrius, D. Manuel de Miedes, Don Francisco Dionisio Vives, D. Joseph Canellas, D. Joseph García Orozco, D. Joaquín Regnart y Pont, D. Domingo Larripa, £&gt;. Juan Rayberte, D. Juan Borlasca, D. Víctor Wirtz , D</t>
  </si>
  <si>
    <t>de Mier y Campillo, Francisco Xavier</t>
  </si>
  <si>
    <t>Francisco Xavier de Mier y Campillo</t>
  </si>
  <si>
    <t>o de San Alberto, Arzobispo de Charcas, á quien S. M. se sirvió nombrar para dicho Obispado, al Sr. D. Francisco Xavier de Mier y Campillo, Dignidad de Tesorero de la metropolitana de Santiago: para una Canoneía de la citada metropolitana, vacante por muerte de D. Juan Antonio Serrano Mañero , a D. Fstéban Carracedo</t>
  </si>
  <si>
    <t>de Miguel y Blondel, Ramón</t>
  </si>
  <si>
    <t>Ramón de Miguel y Blondel</t>
  </si>
  <si>
    <t>lféreces á los Cadetes D. Ramón Foxá Xatmar de Marignat, D. Constantino Joseph Malet Coud'Egruyere, D. Ramón de Miguel y Blondel y D. Ramón de E et. _ Las lecciones de química, que da eu el Real estudio de esta ciencia establecido en la calle del Turco el profesor D. Luís Proust, piincipiarán el juéves 2 de Dic</t>
  </si>
  <si>
    <t>de Miguel y Ortega, Pedro</t>
  </si>
  <si>
    <t>Pedro de Miguel y Ortega</t>
  </si>
  <si>
    <t>abancheles de Madrid: para el Arcedianato titular de la catedral de Sigüenza, vacante por muerte de D Pedro de Miguel y Ortega, á D. Fernando Antonio Díaz Alonso, Dignidad de Capellán mayor de aquella catedral* para la Abadía de Santa he-, Dignidad de la metropolitana de Cranada, vacante por fallecimiento</t>
  </si>
  <si>
    <t>de Miranda, Domingo Antonio</t>
  </si>
  <si>
    <t>Domingo Antonio de Miranda</t>
  </si>
  <si>
    <t>Sr. Alcalde de corte D. Domingo Antonio de Miranda , y por la escribanía de provincia de D. Joseph Fernandez de Uceda. Para el remate de una casa sita en esta corte y calle de Luzon, núm. 16, manz. 417, tasada en 229,5x7 r$.,está</t>
  </si>
  <si>
    <t>de la subdelegacion de imprentas y librerías del Rey no.' Por providencia del Sr. Alcalde de corte D. Domingo Antonio de Miranda se ha mandado volver á sacar á pública subasta por 12 dias una casa grande en la villa de la Alameda, en su calle Real, distante de esta corte una Tegua: tiene quarto principal y</t>
  </si>
  <si>
    <t>de Miranda, Pablo</t>
  </si>
  <si>
    <t>Pablo de Miranda</t>
  </si>
  <si>
    <t>se ha servido el Rey conceder el empleo de Teniente al Subteniente de minadores del quarto batallón D. Pablo de Miranda. La junta de gobierno del Banco nacional de S. Carlos, en virtud del capítulo 19 de la Real Cédula de erección, y de lo que previenen el i.° y 2.0 del Reglamento de juntas general</t>
  </si>
  <si>
    <t>de Módena, Nicolás</t>
  </si>
  <si>
    <t>Nicolás de Módena</t>
  </si>
  <si>
    <t>y aplicación por el esmero y actividad con que atiende á su enseñanza su primer maestro y director D. Nicolás de Módena, Piloto jubilado de la armada. Consecutivamente se procedió á la adjudicación de los premios en libros y cartas que se han hecho venir del archivo hidrográfico de Madrid, según es</t>
  </si>
  <si>
    <t>de Molina, Salvador</t>
  </si>
  <si>
    <t>Salvador de Molina</t>
  </si>
  <si>
    <t>Lorenzo Cervera y D. Antonio González: en el de América á primer Teniente al segundo de granaderos D. Salvador de Molina,y á segundo Teniente al Subteniente de granaderos D. Carlos Quiroga: en el de Guadalaxara á segundo Teniente al primer Subteniente D. Antonio Peña : en el de Burgos á primer Tenie</t>
  </si>
  <si>
    <t>de Moncenigo, Jorge (conde)</t>
  </si>
  <si>
    <t>Conde Jorge de Moncenigo</t>
  </si>
  <si>
    <t>ferenciado con el Ministro francés. ^ Ve necia 24 de Abril. A , ntes de ayer llegó á esta ciudad el Conde Jorge de Moncenigo, Consejero de Estado de S. M. el Emperador de Rusia : va á Corfú en calidad de Ministro plenipotenciario; y con un encargo particular de aquel Soberano. Sé pmbárcará en Ñapóles co</t>
  </si>
  <si>
    <t>de Montes, Juan Bautista</t>
  </si>
  <si>
    <t>Juan Bautista de Montes</t>
  </si>
  <si>
    <t>na, baxo la dirección del maestro principal y dignidad de Maestrescuela de la santa iglesia de Jaén D. Juan Bautista de Montes, todos los seminaristas, y muchos de ellos separadamente en el catecismo histórico de Fleuri. En música fuéron examinados de violín, baxo la dirección de su maestro D. Domingo Bar</t>
  </si>
  <si>
    <t>de Montes, Manuel</t>
  </si>
  <si>
    <t>Manuel de Montes</t>
  </si>
  <si>
    <t>rcés, 0. Cayetano Zurita y Adorno, 0. Joseph López Martínez y.Salas, D. Jacinto.Butler y Henriquez, Don Manuel de Montes, Don Juan Topetey D. Salvador Vidart, 0.- Agustín Bocalán, D. Ramón .Martínez.* D. Gaspar Maguna, 0. Joseph Montalbo¿ D. Manuel Aréchávala, D.Matíaís Aldao,D.Josep]iZapiota, D. Ra</t>
  </si>
  <si>
    <t>de Mora y Ramos, Manuel Antonio</t>
  </si>
  <si>
    <t>Manuel Antonio de Mora y Ramos</t>
  </si>
  <si>
    <t>eph Rich. En América. D. Joseph Arcega, D. Filomeno Cendrera, D. Antonio Figueroa, Don Diego Calvo, D. Manuel Antonio de Mora y Ramos, D. Francisco Campos, D. Joaquín Langelé, D. Juan Caequillo, D. Pedro Barat, D. Antonio Vayllant, D. Lúeas Alvarez, D. Joseph Maitmez, D. Francisco Xavier Lamadrid, D. Joseph Anto</t>
  </si>
  <si>
    <t>de Mora, Nicolás</t>
  </si>
  <si>
    <t>Nicolás de Mora</t>
  </si>
  <si>
    <t>el Mijáres, D. Gerónimo Marco , D. Francisco Marcó del Pont, D. Juan Martí Mofa, D. Alonso Morales, D. Nicolás de Mora, D. Fermín Roméo, D. Francisco Merino, D. Manuel María Pus* terla, D. Francisco Ayóla, D. Juan Tarrius, D. Manuel de Miedes, Don Francisco Dionisio Vives, D. Joseph Canellas, D. J</t>
  </si>
  <si>
    <t>de Morales Guzman y Tobar, Juan</t>
  </si>
  <si>
    <t>Juan de Morales Guzman y Tobar</t>
  </si>
  <si>
    <t>costumbre besamanos ,de los Consejos y de la Villa de Madrid, representada por su Corregidor el Sr. D. Juan de Morales Guzman y Tobar, por su Alférez mayor el Excmo. Sr. Conde de Altamira, Marques de Astorga, 8 caballeros Regidores , el Síndico personero, y el Secretario de Ayuntamiento; y por la tarde la ida de</t>
  </si>
  <si>
    <t>de Morales Guzman y Tovar, Juan</t>
  </si>
  <si>
    <t>Juan de Morales Guzman y Tovar</t>
  </si>
  <si>
    <t>tro de lps 9 dias á la escribanía del número de esta villa de Don Vicente de la Costa. ; Por el Sr. D. Juan de Morales Guzman y Tovar, del Consejo de S. M. en ei Supremo de Castilla , Intendente de los Peales exércitos y de Ja provincia de Madrid Corregidor de ella &amp;c. se cita y emplaza á los dueños de Jos ico o</t>
  </si>
  <si>
    <t>R. P. M. Fr. Domingo Salmón,.en S. Felipe el Real de esta corte. Por decreto de 16 de Marzo del Sr. D. Juan de Morales Guzman y Tovar, Intendente de esta provincia, se ha aprobado el remate celebrado en 2.5 de Enero último ante el Sr. D. Ignacio Martínez de Villela, del Consejo de S. M., Alcalde de su Real casa</t>
  </si>
  <si>
    <t>de Morales Guzmán, Juan</t>
  </si>
  <si>
    <t>Juan de Morales Guzmán</t>
  </si>
  <si>
    <t>l; D. Joseph de Carvajal' Roco de Gódóy Videro y Motezu-^ ma; el Conde de San Xayier y Casa Larédb; D. Juan de Morales Guzmán? y^Tpvar; el. Conde dé la Cintera 7 el Marqúes de Vallesántoro, y D. Pedro Domingo de Reynoso. • *■; • Afapórdantos de Semana. 7; r \ D. Juan de la Cruz Ver^és^umve, y D. Vicente</t>
  </si>
  <si>
    <t>de Moráles, Juan María</t>
  </si>
  <si>
    <t>Juan María de Moráles</t>
  </si>
  <si>
    <t>Don Manuel de la Breña, D. Manuel de Alva, D. Juan Vázquez, D. Alberto Moreyra, D. Joseph de Lago, D. Juan María de Moráles, Dé 'Joseph Coppola, D. Pedro Antonio Casasola^'D. Joseph*Molina , D. Miguel Taboada, D. Pedro Espinosa, D. Ramón Varela ¿ D. Melchor Magrat, Don Antonio Laprieta, D. Francisco Ez</t>
  </si>
  <si>
    <t>de Moría, Tomás</t>
  </si>
  <si>
    <t>Tomás de Moría</t>
  </si>
  <si>
    <t>ropia fecha de 3 de Abril de 1802. „He venido en conceder honores y sueldo de Consejero de Estado á D. Tomas de Moría, Teniente General de mis Reales exércitos. Tendráse entendido en mi Consejo de Estado para su cumplimiento en la parte que le toca.” El Rey se ha dignado promover en el regimiento</t>
  </si>
  <si>
    <t>de Motar, Joseph</t>
  </si>
  <si>
    <t>Joseph de Motar</t>
  </si>
  <si>
    <t>que lo es de Valia-, dolid; á D. Francisco Fernandez de la Peña y San Miguel, que lo es-&lt;3$ Jaén; á D. Joseph de Motar que lo e s de Segovia; á IX,Rafael Fernandez Ceyallos, Tesorero!honorario de exército y,de todas Rentas de'la provincia de Segovia ; á ;D. Agustín Sorondo, Comandante de- Res guar</t>
  </si>
  <si>
    <t>de Mouzo, Cayetano</t>
  </si>
  <si>
    <t>Cayetano de Mouzo</t>
  </si>
  <si>
    <t>223. id. Cayetano de Mouzo....... Josef, Juana González..... S. Juan.........Santiago......... 90. 4. Id. Juan Justo......... ..................</t>
  </si>
  <si>
    <t>de Móyua y Mazarredo, Ramón</t>
  </si>
  <si>
    <t>Ramón de Móyua y Mazarredo</t>
  </si>
  <si>
    <t>oaquín Ramírez de Arellano* Don Ignacio Munive, D. Juan de Latre y Aissa, D. Tomas Urrecha y Assua, D. Ramón de Móyua y Mazarredo, D. Francisco Tamayo y Reynalte, D. Joseph Carássa y Figueroa, D. Francisco Xavier Saravia, D. Ramón Torre y Pellicer, D. Manuel Bernal y Petriz, D. Antonio Nuñez Fálcon, D. Joaqu</t>
  </si>
  <si>
    <t>de MpralesGusman y Te, Juan</t>
  </si>
  <si>
    <t>Juan de MpralesGusman y Te</t>
  </si>
  <si>
    <t>s Barreras, frente al Repeso de corte,calle Imperial. &gt; , Ror decreto de ex de: Mayo último dei Sr. D. Juan de MpralesGusman y Te*</t>
  </si>
  <si>
    <t>de Muía y Guevara, Juan</t>
  </si>
  <si>
    <t>Juan de Muía y Guevara</t>
  </si>
  <si>
    <t>Nuñez Falcon, D. Manuel Borroeta y Ozaeta, D. Antonio Piédrola y Verdugo,©. Pedro Mosti y Arrambide,D. Juan de Muía y Guevara, D. Joseph Achaval y Orueta, D. Pedro Ballesteros y Patino, Don Pedro Afán de Rivera, D. Benito Prieto Solares, D. Josepn Zuaznavar y Francia, D. Joseph Julián Jovani, D. Luis Mor</t>
  </si>
  <si>
    <t>de Munive, Joseph</t>
  </si>
  <si>
    <t>Joseph de Munive</t>
  </si>
  <si>
    <t>seph de Berrosteguieta y D. Fernando Adan de Yarza: de geometría elemental, D. Bernardino Echagiie, D. Joseph de Munive y D. Antonio de ligarte: de álgebra elemental, D. Ignacio de Lardizabal y Altuna: de trigonometría plana, aplicación del álgebra á la geometría y secciones cónicas, D. Manuel de Lardi</t>
  </si>
  <si>
    <t>n íernandez de Medrano, D. Rodrigo y D. Pedro Tavira, D. Ignacio de Emparan, X). Leopoldo Menendez, D. Joseph de Munive y D. Ramón de Zuloaga. Ln múrica vocal, al cargo de sus maestros D. Joseph Quintana y D. Joseph Soto, los seminaristas D. Toribio Olalde, D. Joachín del Rio, D. Luis Verganza, D. Jose</t>
  </si>
  <si>
    <t>de Muro, Bernardo</t>
  </si>
  <si>
    <t>Bernardo de Muro</t>
  </si>
  <si>
    <t>tallón veterano fixo de-dicha capital; y esta resulta al Teniente de granaderos del propio batallón D. Bernardo de Muro. Asimismo S. M. se ha dignado conceder al Teniente Coronel graduado D. Antonio Donoso , Ayudante veterano del esquadron de Milicias de car ballería de Pardos de Lima, el empleo de</t>
  </si>
  <si>
    <t>de Muro, Manuel</t>
  </si>
  <si>
    <t>Manuel de Muro</t>
  </si>
  <si>
    <t>il , D. Francisco Robles; D. Angel Fuentes, Di Diego Escovar, D. Bartolomé Cucalón, D. Diego:Niet&lt;&gt;,D. Manuel de Muro, D. Francisco Ixart ,¿0. Miguelde CastroAjaoz, p. Juan Ramirez, Do* Fernando Amador , D. Juan Clark, fif. Vicente Folch, y P. Antonio/Urquiola» : i--i;y". ■ 'O. ,</t>
  </si>
  <si>
    <t>de Ñapóles María Antonia, Princesa</t>
  </si>
  <si>
    <t>Princesa de Ñapóles María Antonia</t>
  </si>
  <si>
    <t>ias la idea de unir en matrimonio , al ^Príncipe Ntro.'Sr.con laSérénísima Sra. Princesa de Ñapóles Doña María Antonia, hija de SS. MM. Sicilianas; y á la Serenísima Sra. Infanta Doña María Isabel con el Serenísimo Sr. Príncipe D. Francisco , heredero de las Dos Sicilias, hijo de los mencionados Reyes:</t>
  </si>
  <si>
    <t>de Nava Campománes, Manuel</t>
  </si>
  <si>
    <t>Manuel de Nava Campománes</t>
  </si>
  <si>
    <t>ignado promover en el regimiento de infantería del Príncipe á Capitán de granaderos al de fusileros D. Manuel de Nava Campománes: en el de Sabóya á primer Teniente al segundo de granaderos Don, Fernando San Millan: eii el de Zamora á segundo Subteniente al Cadete del de cazadores de la Corona D. Manuel Méni</t>
  </si>
  <si>
    <t>de Nava, Ángel</t>
  </si>
  <si>
    <t>Ángel de Nava</t>
  </si>
  <si>
    <t>e, y tiene bastantes apelaciones por tener inmediatos muchos pueblos. Los memoriales se dirigirán á D. Angel de Nava y D. Antonio Sánchez Flores, Procuradores del común, y se admiten hasta mediados de Marzo. Compendio de la Historia universal: quaderno 14 (a.° del tomo 4.0), con las seis estampas co</t>
  </si>
  <si>
    <t>de Nava, Pedro</t>
  </si>
  <si>
    <t>Pedro de Nava</t>
  </si>
  <si>
    <t>lli, D: Antonio Amar, y D.'Bartolomé'Sanabria. • .• \ ■En v ( América. * r_ \, „ • , _ r~ . : í ^ : D. Pedro de Nava.’ ' *•. ^ v r,„ • ■ ' 'T24 Máfiscdles de Campo los Brigddiér^sl^h JEs^fiai, 1 Jl * D. Francisco Barradas, D. Celedonio Fgüizábal* AoSÁatidb Látbüi ret, D. Ramón de San Martin, D.</t>
  </si>
  <si>
    <t>de Navarrete, Joseph</t>
  </si>
  <si>
    <t>Joseph de Navarrete</t>
  </si>
  <si>
    <t>onor que sirviéron de asistente mayor , y de ministros de palmatoria, mitra y báculo, que lo fuéron D. Joseph dé Navarrete,D. Agustín Librero, D. Antonio María Izquierdo y D. Joaquín dé Villanueva; y el otro para D. Pablo Nicolás de S. Pedro y D. Joseph Isaxi, Capellanes dé Honor, que "por sus respect</t>
  </si>
  <si>
    <t>de Navasqiies, Joachín Joseph</t>
  </si>
  <si>
    <t>Joachín Joseph de Navasqiies</t>
  </si>
  <si>
    <t>nes, vacante por fallecimiento de D. Joachin Joseph de Navasqiies, á Don Joseph de Guevara Vasconcelos, Ministro honorario del mismo Consejo. En América. El Rey se ha servido conferir el empleo de Tesorero de las Caxas principales de Carácas, en</t>
  </si>
  <si>
    <t>de Negrete, Juan Joseph</t>
  </si>
  <si>
    <t>Juan Joseph de Negrete</t>
  </si>
  <si>
    <t>ías Ferraz. S. M. sfe há servido nombrar para una plaza de Oidor de la Real Audiencia de Valencia á D. Juan Joseph de Negrete; y para la del crimen^ que este dexa en la misma, á D. Joseph López de Cozar: para la de Regante de la de Mallorca á D. Juan Joseph Perez y Perez: para la de Oidor, que este dex.?</t>
  </si>
  <si>
    <t>de Neyra, Joseph Manuel</t>
  </si>
  <si>
    <t>Joseph Manuel de Neyra</t>
  </si>
  <si>
    <t>ustín Diaz, de granaderos, y D. Marcos González de Roxas; Subtenencia de granaderos al de fusileros D. Joseph Manuel de Neyra; Subtenencias al Sargento segundo de granaderos D. Plácido Rodríguez , y al Cadete D. Fernando del Valle; y Subtenencias de bandera ál Sargento segundo de granaderos D. Miguel Gra</t>
  </si>
  <si>
    <t>de Ñipóles y Arévalo, Nicolás</t>
  </si>
  <si>
    <t>Nicolás de Ñipóles y Arévalo</t>
  </si>
  <si>
    <t>a y D. Ramón Martínez Flore* y «omisionados para el asunto por aquel Ayuntamiento. Eos herederos de D. Nicolás de Ñipóles y Arévalo, natural de la ciudad da Cuba en ludias, deberán ocurrir á D. Ramón de Anaya, que vive en Medriíi,,calle de la Espada, núm. 7, quarto principal, quien tiene encargado avisarles la</t>
  </si>
  <si>
    <t>de Noroña, Conde</t>
  </si>
  <si>
    <t>Conde de Noroña</t>
  </si>
  <si>
    <t>MADRID DEL VIERNES 12 DE NOVIEMBRE L*E 1802. \ Pftersburgo jo de Setiembre. &lt;1 Conde de Noroña, Ministro dé Sí M. Católica cerca del Emperador de Rusia, llegó a esta capital hace unos dias, y tuvo ayer su primera audiencia de este Soberano. N El 11 se despidió de S. M. 1, Mr. de Sted</t>
  </si>
  <si>
    <t>de Novales, Manuel</t>
  </si>
  <si>
    <t>Manuel de Novales</t>
  </si>
  <si>
    <t>asabe, Joseph Póncé de Leonj DI Joseph QueVedo y Hoyos, D. Luis Zuazo Ximentz, D. Bernardo Bonávia, D. Manuel de Novales é Iruegas, D. Joaquín Asnn«ulo,D. Pedro de Mesa Baulen, D. Andrés Orive y Quiutano, D. Jo•seph Pascual de Vivero ,- D..t Francisco Mlllau y Merlo, D« Manuel Díaz Herrera, D. Josep</t>
  </si>
  <si>
    <t>de Novoa y Feixoo, Domingo Antonio</t>
  </si>
  <si>
    <t>Domingo Antonio de Novoa y Feixoo</t>
  </si>
  <si>
    <t>iene este mote : Natura repugnante omnia irrita fiunt; compuesto por el Dr. D. 'Domingo Antonio de Novoa y Feixoo, Médico de la ciudad de Lugo , en Galicia.----Había igualmente ofrecido la academia una medalla de oro del valor de 300 rs. (costeada por uno-de sus socios residentes) al autor que tuvies</t>
  </si>
  <si>
    <t>de Novoa, Ramón</t>
  </si>
  <si>
    <t>Ramón de Novoa</t>
  </si>
  <si>
    <t>a, 0. Joseph Montalbo¿ D. Manuel Aréchávala, D.Matíaís Aldao,D.Josep]iZapiota, D. Ramón de Londoño, D. Ramón de Novoa, D. Francisco García Señeris, D. Tomas Seidel, D. Antonio Moragues, D. Gines Marsilia, D. Isidro Suquilvide , 0. Nicolás Angelí. Radovani, 0. Pedro Salas- , 0. Joseph Foraster, D.</t>
  </si>
  <si>
    <t>de O-Crouley, Pedro Alonso</t>
  </si>
  <si>
    <t>Pedro Alonso de O-Crouley</t>
  </si>
  <si>
    <t>bra escrita en ingles por el ca-, ballero Joseph Addison , y traducida con notas y correcciones por D. Pedro Alonso de O-Crouley, Teniente de quadrillero mayor de la hermandad vieja de Tole-, do, socio de mérito de la sociedad Real vascongada , y miembro correspondiente, de la de antiquarios de Edimburgo: v</t>
  </si>
  <si>
    <t>de Ocariz, Joseph</t>
  </si>
  <si>
    <t>Joseph de Ocariz</t>
  </si>
  <si>
    <t>lica los negocios del Consulado general de España en el Círculo de la Saxonia-lnferior al caballero D. Joseph de Ocariz, su Ministro en dicho Círculo. Los Vice-Cónsules residentes en Lu</t>
  </si>
  <si>
    <t>de Ocnoa, Miguel</t>
  </si>
  <si>
    <t>Miguel de Ocnoa</t>
  </si>
  <si>
    <t>ado por los Sres.D. Francisco Acedo Torres, Dignidad oe Tesorero y Canónigo de dicha santa iglesia, D. Miguel de Ocnoa,' -Auditor de la Rota y Canónigo, D. Gabriel de Hevia y Noriega, del Consejo de la Inquisición general y Canónigo, y D; Sebastian de Gorbea, Arcediano de Calatrava, Dignidad de la</t>
  </si>
  <si>
    <t>de Ojea, Antonio Isidoro</t>
  </si>
  <si>
    <t>Antonio Isidoro de Ojea</t>
  </si>
  <si>
    <t>En matemáticas, baxo la dirección de sus dos profesores D. Joseph Antonio de Ojea, y el Subteniente D. Antonio Isidoro de Ojea!,; fuéron examinados de aritmética D. Pedro Tavira, D. Rodrigo Tavira, D. Francisco Traspalados ¿ D. Leopoldo Menendez , D. Manuel de la Riva Agüero, D. Antonio Tavira y D. Ignaci</t>
  </si>
  <si>
    <t>En matemáticas, baxo la dirección de sus dos profesores D. Joseph Antonio de Ojea y el Subteniente D. Antonio Isidoro de Ojea , fueron examinados de aritmética D. Joaquín del Rio, D. Blas Lezo, D. Valentín Martinez y D. Antonio Abaxos: de aritmética y parte de geometría elemental D. Rodrigo Tavira, D. Pe</t>
  </si>
  <si>
    <t>de Ojea, Joseph Antonio</t>
  </si>
  <si>
    <t>Joseph Antonio de Ojea</t>
  </si>
  <si>
    <t>Velasco y D. Joseph María Ortés de Velasco. En matemáticas, baxo la dirección de sus dos profesores D. Joseph Antonio de Ojea, y el Subteniente D. Antonio Isidoro de Ojea!,; fuéron examinados de aritmética D. Pedro Tavira, D. Rodrigo Tavira, D. Francisco Traspalados ¿ D. Leopoldo Menendez , D. Manuel de</t>
  </si>
  <si>
    <t>, D. Ceferino Carrillo y D. Manuel Carnara. En matemáticas, baxo la dirección de sus dos profesores D. Joseph Antonio de Ojea y el Subteniente D. Antonio Isidoro de Ojea , fueron examinados de aritmética D. Joaquín del Rio, D. Blas Lezo, D. Valentín Martinez y D. Antonio Abaxos: de aritmética y parte de geom</t>
  </si>
  <si>
    <t>de Olaza, Joseph</t>
  </si>
  <si>
    <t>Joseph de Olaza</t>
  </si>
  <si>
    <t>apareciendo á su tiempo un solo grano, del qual y de otros que resultaron de la operación hecha por D. Joseph de Olaza, cirujano de Logroño, llamado para vacunar á los seis hijos del mencionado Cereceda, han resultado casi tantos granos como incisiones ; de manera que en el dia pasan de 170 los va</t>
  </si>
  <si>
    <t>de Olea, Francisco</t>
  </si>
  <si>
    <t>Francisco de Olea</t>
  </si>
  <si>
    <t>nceder el empleo de Contralor provincial de artillería de Cataluña al Comisario honorario de Guerra D. Francisco de Olea. S. M. se ha servido nombrar para el Corregimiento de letras de la ciudad de Tarazona, en el Reyno de Aragón, á D. Juan Prat y Colomer: para la Alcaldía mayor de Castellón de la P</t>
  </si>
  <si>
    <t>de Oliver y Copons, Julián</t>
  </si>
  <si>
    <t>Julián de Oliver y Copons</t>
  </si>
  <si>
    <t>ha servido nombrar Capellán del primer batallón del regimiento de Infantería de Soria al presbítero D. Julián dé Oliver y Copons. En AmSrica. Ei Rey se ha dignado conferir el Vireynkto del Nüevó Réyno de Granada, con la Presidencia dé la Real Audiencia de Santa Fe,' ai 'Mariscal Be Campo D. Antonio Amar, Co</t>
  </si>
  <si>
    <t>de Oña San Juan y Doláf de Espejo, Mánuél</t>
  </si>
  <si>
    <t>Mánuél de Oña San Juan y Doláf de Espejo</t>
  </si>
  <si>
    <t>cer merced de Título de Castilla, parasí» sus hijos y sucesores legítimos á í&gt;. Mánuél dé Oña San Juan y Doláf de Espejo, vecino de Zaragora. 7 Asimismo ha concedido él Réy hoiíPrésT y antigüedad de Ministro del Consejo Real á D. FrañcisCo Xárier La Rrpa ; Difécfor&lt;:dé los Reales cañales dé Aragón: honóéés</t>
  </si>
  <si>
    <t>de Oñate y Burgo, Ramón</t>
  </si>
  <si>
    <t>Ramón de Oñate y Burgo</t>
  </si>
  <si>
    <t>Entre el altar y la mesa que servia de credencia se puso un banquillo para el Maestro de ceremonias D. Ramón de Oñate y Burgo; y detras de aquellos asientos se pusiéron dos bancos , el uno para quatro Capellanes de Honor que sirviéron de asistente mayor , y de ministros de palmatoria, mitra y báculo, que</t>
  </si>
  <si>
    <t>de Ondarza, Pablo Antonio</t>
  </si>
  <si>
    <t>Pablo Antonio de Ondarza</t>
  </si>
  <si>
    <t>as razones , he venido en jubilar con todos sus honores y sueldo á los Ministros del propio Consejo D. Pablo Antonio de Ondarza, D. Juan Antonio López Altamirano, y al Fiscal de la Cámara D. Domingo Codina; al Conde de Torrecuéllar y al Conde de Roche, del Consejo de Ordenes; y asimismo á los Alcaldes de m</t>
  </si>
  <si>
    <t>de Onis y González, Luis</t>
  </si>
  <si>
    <t>Luis de Onis y González</t>
  </si>
  <si>
    <t>egui, Médico de familia de S. M. , por el mes de Abril, con ocasión de haberle hecho venir de París D. Luis de Onis y González, Oficial de la primera Secretaría de Estado , para inocular á sus hijos. Continuó sus observaciones en el Real sitió de S. Ildefonso con 36 niños, habiéndole acompañado el Giiujan</t>
  </si>
  <si>
    <t>de Oois, Joseph</t>
  </si>
  <si>
    <t>Joseph de Oois</t>
  </si>
  <si>
    <t>oviembre último falleció en la villa de Cantalapiedra á los 77 años cumplidos de edad el Excmo. Sr. D. Joseph de Oois, caballero de la Real y distinguida orden española de Cárlos m, y Consejero honorario de Estado. Sirvió á S. M. por espacio de 53 años en la carrera diplomática, habiendo sido Sec</t>
  </si>
  <si>
    <t>de OrejónAsimismo, Domingo</t>
  </si>
  <si>
    <t>Domingo de OrejónAsimismo</t>
  </si>
  <si>
    <t>l de Voluntarios de España á Ayudante al primer Teniente D. Juan de Vergara , y á Alférez al Cadete D. Domingo de OrejónAsimismo se ha servido S. M. conceder en el regimiento de caballería de</t>
  </si>
  <si>
    <t>de Oro y Paz, Ramón</t>
  </si>
  <si>
    <t>Ramón de Oro y Paz</t>
  </si>
  <si>
    <t>o D. Mariano Rodríguez Carabantes: en el de Granada á primer Teniente de granaderos al de fusileros D. Ramón de Oro y Paz, y á segundo de esta clase al Subteniente de granaderos D. Sebastian Garcini: en el de Toledo á Ayudante al primer Teniente D. Luis Quintero, y á segundo Teniente de granaderos al</t>
  </si>
  <si>
    <t>de Ortega, Joseph</t>
  </si>
  <si>
    <t>Joseph de Ortega</t>
  </si>
  <si>
    <t>de Arcediano de Velez de la ca-, tedral de Málaga, vacante por muerte de D. Juan Francisco Marín, á Don Joseph de Ortega.y Monroy, con dimisión de la Canongía que goza en la misma iglesia: para el Arcedianato de Sabogal, Dignidad de la catedraL de Ciudad Rodrigo , vacante por fallecimiento de D. rab</t>
  </si>
  <si>
    <t>de Ortega, Luis</t>
  </si>
  <si>
    <t>Luis de Ortega</t>
  </si>
  <si>
    <t>a de la compañía de Alabarderos ¡ v para la dé la dase ae segundas de la plaza de Ceuta al Teniente D. Luis de Ortega^ .primer Subteniente del regimiento de infantería de Murcia. &gt; En América. El Rey se ha servido nombrar para la plaza de Alcalde -del crimen de la Audiencia de Lima, vacante por p</t>
  </si>
  <si>
    <t>de Ortega, Rafael</t>
  </si>
  <si>
    <t>Rafael de Ortega</t>
  </si>
  <si>
    <t>na: en el de Calatrava á Capitán ai Ayudante D. Joaquín de los Ríos, y á primer Teniente al segundo D. Rafael de Ortega : en el de Montesa á primeros Tenientes á los segundos D. Joseph fieaumon , D. Juan de Ayala y D. Félix de Roxas: en el de Húsares Esmáltales á Alférez al Cadete D. Diego Duran: e</t>
  </si>
  <si>
    <t>de Ortigosa, Manuel</t>
  </si>
  <si>
    <t>Manuel de Ortigosa</t>
  </si>
  <si>
    <t>e Alcántara se ha dignado el Rey nombrar primer Teniente al segundo Teniente , graduado de Capitán, D. Manuel de Ortigosa ; y en el de Calatrava á segundo. Teniente al Alférez D. Francisco de Paula Soto. En el regimiento de dragones de Alrpansa se ha servido S. M. promover á Sargento mayor al Capitán</t>
  </si>
  <si>
    <t>de Ortigúela, Domingo</t>
  </si>
  <si>
    <t>Domingo de Ortigúela</t>
  </si>
  <si>
    <t>ongía de la colegial de Roa, diócesis de Osma, vacante por fallecimiento de D. Sebastian Pintado, á D. Domingo de Ortigúela, Racionero de la misma. S. M. se ha servido promover en el regimiento de Reales Guardias Es</t>
  </si>
  <si>
    <t>de Ortiz, Francisco Manuel</t>
  </si>
  <si>
    <t>Francisco Manuel de Ortiz</t>
  </si>
  <si>
    <t>s dias 4 y 5 los discípulos de primeras letras, asistidos de su maestro D. Francisco Mariscal, y de D. Francisco Manuel de Ortiz su pasante, en doctrina christiana, ortología, caligrafía, aritmética, gramática y ortografía castellana conforme al método de D. Torquato</t>
  </si>
  <si>
    <t>de Orue, Tomás</t>
  </si>
  <si>
    <t>Tomás de Orue</t>
  </si>
  <si>
    <t>Canet. El 28 de Setiembre del afio último remitió D. Domingo de Ventades , vecino de esta corte, á D. Tomas de Orue, del comercio de Bilbao , 2 vales de 300 pesos de i.° de Julio, núms. 70,500 y 34,997 , y otros 2 de igo pesos de is de Setiembre, núms. 189,562 y 189,748 , endosados á su nombre:</t>
  </si>
  <si>
    <t>de Otero, Tomás</t>
  </si>
  <si>
    <t>Tomás de Otero</t>
  </si>
  <si>
    <t>una anacreóntica en acción de gracias, y dixo otra en el de las niñas Doña Vicenta López., Continuó D. Tomas de Otero, vice-secretario de la sociedad y secretario? de la junta de béneficencia unida á este Real cuerpo, leyendo un resumen histórico de su establecimiento y progresos, socorros , raci</t>
  </si>
  <si>
    <t>jie convoyes en Valencia, por D. Joseph Inocencio de Llano: informe sobre el maní ó cacahuate, por D, Tomas de Otero y D. Joachin de la Croix : poesías, por D. Pedro Pichó y D. Esteban Chaix: memoria premiada indicativa de los montes del reyno de Valencia, clase, uso,y abundancia ó escasez de sus ma</t>
  </si>
  <si>
    <t>de Oyarzabal, Antonio</t>
  </si>
  <si>
    <t>Antonio de Oyarzabal</t>
  </si>
  <si>
    <t>nfantería de la Corona se ha servido S. M. promover á primer Teniente de granaderos al de fusileros D. Antonio de Oyarzabal: en el de Zamora á segundo Subteniente al Sargento primero D. Mariano Rodríguez Carabantes: en el de Granada á primer Teniente de granaderos al de fusileros D. Ramón de Oro y Paz,</t>
  </si>
  <si>
    <t>de Ozores, Manuel</t>
  </si>
  <si>
    <t>Manuel de Ozores</t>
  </si>
  <si>
    <t>aos.......... D. Andrés Fray le. En Cádiz.............. D. Benito de la Piedra. En Cartagena....... D. Manuel de Ozores. En Ciudad-Real... D. Ramón Antonio Pico. En Córdoba.......... Sres. Barcia padre é hijo. En la Cortina........D. Manuel Antonio Elzaurdi. En Cuenca............. D. Manuel Escolar</t>
  </si>
  <si>
    <t>......... D. Andrés .Erayle. En Cádiz................. D. Benito de la Piedra. En Cartagena........ D. Manuel de Ozores. En Ciudad-Real... D. Ramón Antonio Pico. En Córdoba............ Sres. Barcia padre é hijo. En la Cortina.......... D. Manuel Antonio Elzaurdi. En Cuenca................ D. Manuel</t>
  </si>
  <si>
    <t>........... D. Andrés Frayle. En Cádiz................ D. Benito de la Piedra. En Cartagena........ D. Manuel de Ozores. , En Ciudad^Real... D. RamónAntonio Pico. En Córdoba........... Sres. Barcia padre é hijo. En la Corima........ D. Manuel Antonio Elzaurd?. En Cuenca..... ........D. Manuel Escol</t>
  </si>
  <si>
    <t>........ D. Andrés Fray le. En Cádiz............. . I). Benito de la Piedra. - En Cartagena-*..,... D. Manuel de Ozores. i En Ciudad-Real.*. D. Ramón Antonio Pico. - En Córdoba...... Sres. Barcia padre é hijo. En la Cortina........ D. Manuel Antonio Elzaurd?. • En Cuenca............D. Manuel Escola</t>
  </si>
  <si>
    <t>En Burgos....... ..... D. Andrés Frayle. En Cddtz...... D. Benito de la Piedra. En Cartagena........D. Manuel de Ozores. En Ciudad~Real... D. Ramón Antonio Pico. En Córdoba...........Sres. Barcia padre é hijo. En la Cortina........ D. Manuel Antonio Elzaurdi. En Cuenca............. D. Manuel Escola</t>
  </si>
  <si>
    <t>s*........... D. Andrés Frayle. En Cádiz................D. Benito de la Piedra. En Cartagena....... D. Manuel de Ozores. En Ciudad-Real... D. Ramón Antonio Pico. En Córdoba........... Sres. Barcia padre é hijo. En la Cortina......... D. Manuel Antonio Eizaurdi. \ En Cuenca..............D. Manuel Es</t>
  </si>
  <si>
    <t>Biirgos........ . D. Andrés Fraylé. En Cádiz......... . D. Benito dé la Piedra. En Cartagena........D. Manuel de Ozores. En Ciudad-Beal... D. Ramón Antonio Pico. Én Córdoba......... . Sres. Barcia padre é hijo. En la Corima........ D..Manuel Antonio Elzaurái. En Cuenca............ D. Manuel Escolar</t>
  </si>
  <si>
    <t>. En Bttrgos........... . D. Andrés Frayle, ,&gt; , En Cda D. Benito de la Piedra. En Cartagena....... D. Manuel de Ozores. En Ciudad-Real-,. D. Ramón Antonio Pico. , En Córdoba......*... $res.. Barcia padreíé hijo. En la Corteña........Manuel Antonio Elzaúrdi, Eti Cuenca....... i.... D. Manuel Escola</t>
  </si>
  <si>
    <t>de Padua, Antonio</t>
  </si>
  <si>
    <t>Antonio de Padua</t>
  </si>
  <si>
    <t>en paz con los hombres, extractado de los Ensayos morales del célebre Pedro Nicoíe por el limo. Sr. D. Antonio de Padua , Obispo de Marañon, traducido del portugués.Esta obrita,que respira los mas puros sentimientos religiosos, es un tratado completo de filosofía moral, y muy propia para conservar</t>
  </si>
  <si>
    <t>de Palacio, Manuel Antonio</t>
  </si>
  <si>
    <t>Manuel Antonio de Palacio</t>
  </si>
  <si>
    <t>rid : para Guarda del propio Resguardo á D. Felipe Montero : para Visitador de la propia Factoría á D. Manuel Antonio de Palacio : para Teniente del Resguardo de la Factoría de. Valladolid á D. Justo* Antonio Fernandez : para Guarda de la. Factoría, de Guadalaxara á Don: Agustín Yurami: para la plaza de Ofi</t>
  </si>
  <si>
    <t>de Palacios, Manuel</t>
  </si>
  <si>
    <t>Manuel de Palacios</t>
  </si>
  <si>
    <t>elendez, D. Manuel de Cañas Truxillo, D. Joseph del Castillo y Armenia, D. Antonio Palomar y Arias, D. Manuel de Palacios, D. Henrique O-Dogherti, D. Jacinto Romarota y Salamanca^D. Joseph Corones y Alberola, D. Nicolás dé la Vega y San Julián, D. Manuel Lasqueti y Lasqueti , D. Miguel Pascual y Meno</t>
  </si>
  <si>
    <t>de Pappenheim, Conde</t>
  </si>
  <si>
    <t>Conde de Pappenheim</t>
  </si>
  <si>
    <t>poseen en este departamento. Mr. de Cetro, Ministro del Elector de Baviera, el Conde de Pappenheim, Ministro del Landgrave de Darmstadt, y otros Enviados que los Príncipes de Alemania tienen en Paris, han entablado negociaciones sobre este asunto con el ciud</t>
  </si>
  <si>
    <t>de Parada y Bértiz, Ramón</t>
  </si>
  <si>
    <t>Ramón de Parada y Bértiz</t>
  </si>
  <si>
    <t>uel de Parada y Sandoval, de edad de 21 años, que no había pasado las viruelas naturales, y otra de D. Ramón de Parada y Bértiz, de 16 años, que las tuvo en la última epidemia, fuéron también inoculadas con el mismo virus; en la primera resultó la vacuna verdadera, y en la segunda la falsa. Los profesores</t>
  </si>
  <si>
    <t>de Parada y Sandoval, Francisco Manuel</t>
  </si>
  <si>
    <t>Francisco Manuel de Parada y Sandoval</t>
  </si>
  <si>
    <t>brazo á brazo, .y ya se cuentan. 9^ en la ciudad, y otros que han concurrido de fuera. Una hija de D. Francisco Manuel de Parada y Sandoval, de edad de 21 años, que no había pasado las viruelas naturales, y otra de D. Ramón de Parada y Bértiz, de 16 años, que las tuvo en la última epidemia, fuéron también inoculadas c</t>
  </si>
  <si>
    <t>de Paula Antonio María, Francisco</t>
  </si>
  <si>
    <t>Francisco de Paula Antonio María</t>
  </si>
  <si>
    <t>r se vistió la corte de gala en el Real sitio de Aranjuez con motivo del cumpleaños del Sr. Infante D. Francisco de Paula Antonio María, hijo tercero del Rey. En la Compañía Italiana del Real'cuerpo de Guardias de Corps se ha servido el Rey promover á Brigadier al Subrigadier D. Luis Marquesi: á Subrigadier al Cad</t>
  </si>
  <si>
    <t>de Paula Antonio, Francisco</t>
  </si>
  <si>
    <t>Francisco de Paula Antonio</t>
  </si>
  <si>
    <t>ontecer.” (Se continuarán estas noticias Madrid 6 de Abril, V^on motivo de los dias del Sr. Infante D. Francisco de Paula Antonio,, hijo 3,0 del Rey, se vistió la corte de gala en el Reai sitio de Aranjuez e£ 'viernes- de la semana anterior. En 3 de AbriL se ha servido el Rey expedir al Exc. Sr. D, Pedro Cev</t>
  </si>
  <si>
    <t>. Sr., de la Sra. Infanta novia Doña María Isabel, y de los Sres. Infantes D. Cárlos María Isidro , D. Francisco de Paula Antonio y D. Antonio Pascual. Venían SS. MM. y AA. adornados con los collares de sus órdenes. Subieron los Reyes Ntros. Sres. á su solio,y el Príncipe y los Sres.Tnfantes se sentaron en las s</t>
  </si>
  <si>
    <t>de Paula Bernui, Francisco</t>
  </si>
  <si>
    <t>Francisco de Paula Bernui</t>
  </si>
  <si>
    <t>Real cuerpo de Guardias de Corps se ha. servido promover S. M. á Exénto de número al supernumerario D. Francisco de Paula Bernui; y á Exénto supernumerario al Brigadier de la misma compañía, graduado de Coronel, D. Joaquín Manglano. El Rey se ha dignado promover en el regimiento de infantería del Príncipe á</t>
  </si>
  <si>
    <t>de Paula Caamafio, Francisco</t>
  </si>
  <si>
    <t>Francisco de Paula Caamafio</t>
  </si>
  <si>
    <t>, dixo el Dr. D. Pedro Manuel Prieto, Canónigo Magistral de aquella santa iglesia ,.y. la da á luz D. Francisco de Paula Caamafio, sobrino del difunto. Se .hallará á 4.rs. en las librerías de Ramos, calle de-las Carretas y carrera de S. Gerónimo ; en CádU en la de Pajáres, y en Sevilla en la de la viuda de H</t>
  </si>
  <si>
    <t>de Paula de Roxas, Francisco</t>
  </si>
  <si>
    <t>Francisco de Paula de Roxas</t>
  </si>
  <si>
    <t>ranaderos D. Gabriel Escolar; y en el de Villavíciosa á Capitán al Ayudante , graduado de Capitán , D. Francisco de Paula de Roxas. Viages de Antenor por Grecia y Asia, con nociones sobre Egipto, vertidos del francés al castellano por el Teniente Coronel D. Bernardo María de Calzada: tres tomos en 8.’ mayor d</t>
  </si>
  <si>
    <t>de Paula Michelena, Francisco</t>
  </si>
  <si>
    <t>Francisco de Paula Michelena</t>
  </si>
  <si>
    <t>a, T), Vicente de Lama y Montes, D. Francisco Herrera y Bustamante, Don Joseph de Castro :y Pazos , D. Francisco de Paula Michelena, D. Agustín Obándo y Adorrtoy D. Martin Uria y Navea, D. Ramón Pówert y Guirát, D. Jiiari Fernández Aiarcon, D. Joseph González Castañon, D. Francisco García Sala, .D. Ramón Bermu</t>
  </si>
  <si>
    <t>de Paula Puig de Samper, Francisco</t>
  </si>
  <si>
    <t>Francisco de Paula Puig de Samper</t>
  </si>
  <si>
    <t>tisfacción de losconcurrentes, dando todos pruebas de su aplicación y adelantamiento, en particular D. Francisco dé Paula Puig de Samper; D. Juan Antonio Boixar y Tabregues, y D. Joseph María Vidal y Bou , habiendo presentado varios planos que tenían hechos, revistas de Comisario, extractos,, ajustes de tesorería,</t>
  </si>
  <si>
    <t>de Paula Roxas y Toledo Fernández de Miranda, Ramón Francisco</t>
  </si>
  <si>
    <t>Ramón Francisco de Paula Roxas y Toledo Fernández de Miranda</t>
  </si>
  <si>
    <t>£1 dia 11 de Junio de este año falleció en esta corté á la edad de 44 años y 9 meses el Exento. Sr. D. Ramón Francisco de Paula Roxas y Toledo Fernandez de Miranda Villacis y la Cueva, Conde de Mora, de Valverde y Aramayona, Marques de la Torre de Estéban-Hambran» y de Sta. Clara, Vizconde de-Castejon, Grande de España de primera clase, Gent</t>
  </si>
  <si>
    <t>de Paula Soto, Francisco</t>
  </si>
  <si>
    <t>Francisco de Paula Soto</t>
  </si>
  <si>
    <t>, graduado de Capitán, D. Manuel de Ortigosa ; y en el de Calatrava á segundo. Teniente al Alférez D. Francisco de Paula Soto. En el regimiento de dragones de Alrpansa se ha servido S. M. promover á Sargento mayor al Capitán, graduado de Teniente Coronel, D. Joseph María de Ribas , y á Alféreces á los Ca</t>
  </si>
  <si>
    <t>de Paula y Rodríguez, Francisco</t>
  </si>
  <si>
    <t>Francisco de Paula y Rodríguez</t>
  </si>
  <si>
    <t>, á D. Tomas Franco de la Vega, Racionero de la propia iglesia: para esta Ración al Medio-Racionero Don Francisco de Paula y Rodríguez; y para esta Media-Ración á D. Urbano Antonio Díaz de las Cuevas. Asimismo se ha servido nombrar para otra Canongía de la referida catedral, vacante por muerte de D. Ignacio Anton</t>
  </si>
  <si>
    <t>de Paula, Francisco</t>
  </si>
  <si>
    <t>Francisco de Paula</t>
  </si>
  <si>
    <t>de Oro, en el qiial fueron recibidos, y jüráron como caballeros de ella, el Serenísimo Sr. Infante D. Francisco de Paula, siendo padri</t>
  </si>
  <si>
    <t>a y por su orden el Príncipe Ntro. Sr., la Sra. Infanta novia y los Sres. Infantes D. Cárlos María, D. Francisco de Paula y D. Antonio, llevándoles á sus sillas la mesa, y sirviéndoles el tintero los mismos que la habian llevado y servido á SS. MM. Sentóse despues el Sr. Embaxador en uno de los taburetes</t>
  </si>
  <si>
    <t>haciendo de Padrinos los Reyes Ntros. Sres. y de Testigos especiales los Sres. Infantes D. Cárlos, D. Francisco de Paula y D. Antonio, hallándose presente el Sr. Embaxador de las Dos Sicilias , como Asistente principal, y los Xefes, Grandes , Prelados, Ministros del Rey, Damas, Señoras de Honor , Embaxa</t>
  </si>
  <si>
    <t>de PaulaiZayas, Francisco</t>
  </si>
  <si>
    <t>Francisco de PaulaiZayas</t>
  </si>
  <si>
    <t>Marsilia, D. Isidro Suquilvide , 0. Nicolás Angelí. Radovani, 0. Pedro Salas- , 0. Joseph Foraster, D. Francisco de PaulaiZayas, D. Francisco Tórdi, I&gt;. Joaquiti Ruiz, Don Ignacio Salazar , 0* Martin Boneo , D. CáriosDominieh , D.í Manuel de los Ríos , y Di Mariano Julián. : :... : Jl-r: ) » &gt;&gt;: . ^ . -.T</t>
  </si>
  <si>
    <t>de Paz, Domingo</t>
  </si>
  <si>
    <t>Domingo de Paz</t>
  </si>
  <si>
    <t>oaquín Bilbao y Angosto, D. Rafael Asprer y Janer,D.Francisco Pareja y Tortolero,D. Joseph Labayen, Don Domingo de Paz, D. Aiexandro Morales,D.Pedro Joseph de Lemus, Don Manuel Arcavna y Ximenez, D. Francisco Meñaca y Arechaga, D. Justo Arison yRooaud, D. Pedro Iriarte y Zerezera, D. Joseph Sáaved</t>
  </si>
  <si>
    <t>de Paz, Felipe</t>
  </si>
  <si>
    <t>Felipe de Paz</t>
  </si>
  <si>
    <t>ez Ordoño. S. M. ha nombrado Ingeniero en xefe de sus exércitos ,• plazas y fronteras al en segundo D. Felipe de Paz; y Ayudante de Ingeniero a Don Joáchín Salcedo, segundo Subteniente del regimiento de infantería de León. También en el regimiento de caballería de España ha promovido el Rey á Ca</t>
  </si>
  <si>
    <t>de Pelé, Barón</t>
  </si>
  <si>
    <t>Barón de Pelé</t>
  </si>
  <si>
    <t>buque no hubo casi daño. Hma r.° de Noviembre. H - í' ;&gt; a llegado á Nimega el Barón de Pelé, Ministro dé ía córte de Viena cerca de esta República, y no tardará en vénir ai Haya. - A proposición del Consejo dé Marina-ha hecho el gobierno úna gran promoción en 4a oficialidad de la</t>
  </si>
  <si>
    <t>de Peralta, Manuel</t>
  </si>
  <si>
    <t>Manuel de Peralta</t>
  </si>
  <si>
    <t>ndo Rodríguez del Toro; á Tenientes de granaderos y cazadores á los segundos Tenientes de fusileros D. Manuel de Peralta y D. Ramón Despujol, graduado de Teniente Coronel, y a Alférez de cazadores al de fusileros D. Francisco Peralta. En el de Reales Guardias Waíonas á Capitanes á los primeros Tenientes</t>
  </si>
  <si>
    <t>de Piedra, Dionisio</t>
  </si>
  <si>
    <t>Dionisio de Piedra</t>
  </si>
  <si>
    <t>genio Delgado, D. Francisco Pa-' mies y D. Juan Manuel de Blas, y á segundos Subtenientes al Cadete Don Dionisio de Piedra y al Sargento primero de granaderos D. Francisco González, como también á D. Ignacio de Gally, Cadete del primer batallón de Voluntarios de Barcelona: en el de cazadores Voluntarios</t>
  </si>
  <si>
    <t>de Piles, Joseph</t>
  </si>
  <si>
    <t>Joseph de Piles</t>
  </si>
  <si>
    <t>del Castillo y Rada, D. Juan Muñoz y Abreu, D. Matías Arauco, D.. Antonio de Lema,D. Joseph López, D, Joseph de Piles,D. Martin de Jáuregui, D. Cayetano Muller, D, Juan Romay, D. Felipe del Saso , D. Carlos Calvo, D. Joaquín Aldecoa, D. Antonio de Rozo, D. Joseph.de la Gceja , P. Juan de Sesma, D</t>
  </si>
  <si>
    <t>de Piña y Rair, Juan</t>
  </si>
  <si>
    <t>Juan de Piña y Rair</t>
  </si>
  <si>
    <t>, que lo es de la Mancha; á D. Domingo de Arberas y Larragpri, Intendente honorario de provincia; á D. Juan de Piña y Rair, Idem, y sLD. Rafael Gómez Rombau, Comisario Ordenador de Marina y Director de la Renta de tabacos de la Havana. Honores de Intendente de provincia A D. Manuel de Abarróla, Comisa</t>
  </si>
  <si>
    <t>de Pinedo, Luis Xavier</t>
  </si>
  <si>
    <t>Luis Xavier de Pinedo</t>
  </si>
  <si>
    <t>iscol de la colegial de la villa de Castroxeriz, en el arzobispado de Búrgos, vacante por muerte de D. Luis Xavier de Pinedo , á D.Blas Gutiérrez Varona, Canónigo de ella: para una Canongía de la misma colegial, vacante también por muerte del propio Pinedo, á D. Antonio Zamiano y Francés, Racionero de l</t>
  </si>
  <si>
    <t>de Ponte, Joaquín</t>
  </si>
  <si>
    <t>Joaquín de Ponte</t>
  </si>
  <si>
    <t>res, D. Rosendo Abal, D. Juan Joseph. Navajas, D. Juan Patricio Rodríguez, D. Joseph Benito Romero, D. Joaquín de Ponte, D. Joseph Molina, D. Lázaro de Avila, D. Baltasar Calvache, Don Francisco Ruiz, D. Alfonso Ramiro, D. Antonio de la Rocha , D. Juan López de Molina,D. Lucas Salazar, D. Ramón Ser</t>
  </si>
  <si>
    <t>de Posada, Joseph</t>
  </si>
  <si>
    <t>Joseph de Posada</t>
  </si>
  <si>
    <t>as y la Torre, D. ifulio Róco y Massopagano, D. Miguel Roco y Massopagano , D. Juan Pascual y AyeL, D. Joseph de Posada* y Castilla^ D. MigüeldeVá-^ randicaylX Marcos Betancourt, D. Gerardo Morphry Connan, D. Pedro Fühés V Morillo, D: LoptfFtíúes ^í^íorifjló * D. ¡Andrbs Allende Salazar, D: Lorenzo</t>
  </si>
  <si>
    <t>de Posada, Ramón</t>
  </si>
  <si>
    <t>Ramón de Posada</t>
  </si>
  <si>
    <t>za de Fiscal del Consejó y Cámara de Indias por lo'tóéante á Nueva España, vacante por promoción de Don Ramón de Posada £ plazá de Ministro del mismo Consejo. La feria que se celebraba en la villa de la Almunia de Doña Godina, en Aragón, los dias'24, 2f y 26 de Setiembre, se ha trasladado con facul</t>
  </si>
  <si>
    <t>de Posch, Barón</t>
  </si>
  <si>
    <t>Barón de Posch</t>
  </si>
  <si>
    <t>DEL VIERNES 16 DE ABRIL DE 1802. Petersburgo 28 de Febrera. H a llegado aquí el Barón de Posch, Ministro del Elector de Baviera cerca de este Soberano. Su antecesor, Mr. de Sulzer, se restituirá quanto ántes á Munich. El Marques de Niza, Enviado de Portugal, saldrá de esta ciudad en</t>
  </si>
  <si>
    <t>de Power, Matías</t>
  </si>
  <si>
    <t>Matías de Power</t>
  </si>
  <si>
    <t>graduado de Brigadier, Don Manuel de Craiwinckel; á segundo Teniente de granaderos al dé fusileros D. Matías de Power; y á segundo Teniente al Alférez de granaderos Don Antonio Cao de Beños y Les.</t>
  </si>
  <si>
    <t>de Prats, Juan Nepomuceno</t>
  </si>
  <si>
    <t>Juan Nepomuceno de Prats</t>
  </si>
  <si>
    <t>de granaderos al de fusileros D. Carlos Conde de Moy ; á Alféreces de granaderos á los de fusileros D. Juan Nepomuceno de Prats, D. Carlos Daunoy y D. Antonio Cao Beños de Les, y á Alférez de fusileros al Cadete D. Gaspar de Aramendi. En el Real cuerpo de Artillería ha conferido el Rey el empleo de Tenient</t>
  </si>
  <si>
    <t>de Premio Real, Conde</t>
  </si>
  <si>
    <t>Conde de Premio Real</t>
  </si>
  <si>
    <t>conceder el empleo dé Coronel del batallón dé milicias disciplinadas de Lima al Conde de Premio Real, Coronel graduado de exército y agregado al mismo batallón; y el de Teniente Coronel al Capitán de granaderos D. Simón de Lavalle. El Consejo, á consulta de la Comisión gubernativa de cons</t>
  </si>
  <si>
    <t>de Preux, Carlos</t>
  </si>
  <si>
    <t>Carlos de Preux</t>
  </si>
  <si>
    <t>Teniente Coronel del regimiento de infantería Suizo de Courten al Capitán primero del misino cuerpo D. Carlos de Preux. El Rey se ha servido conferir la segunda Compañía fixa de la plaza de Melilia á D. Mateo Pablo Rosales. Eri el Real cuerpo de Artillería ha promovido S, M. á Coronel al Teniente</t>
  </si>
  <si>
    <t>de Priego, Joseph</t>
  </si>
  <si>
    <t>Joseph de Priego</t>
  </si>
  <si>
    <t>de la colegial de S. Hipólito de la ciudad de Córdoba, vacante por muerte de D. Pedro de Torres, á D. Joseph de Priego é Hidalgo para el Beneficio Préstamo de la parroquia de S. Cipriano de Píllame, en el concejo de Castnllon, obispado de Oviedo, vacante por fallecimiento de D. Valentín González d</t>
  </si>
  <si>
    <t>de Prusia, Henrique (príncipe)</t>
  </si>
  <si>
    <t>Príncipe Henrique de Prusia</t>
  </si>
  <si>
    <t>mucho tiempo á las llamas en caso de incendio, y á la tuerza de las aguas. Berlín 5 de Febrero. E I Príncipe Henrique de Prusia, hermano de Federico el Grande, estuvo peligrosamente enfermo en.sus estados de Rheinsberg 1 y habiendo mejorado, le ha dado el público-repetidos testimonios del afecto que le pro</t>
  </si>
  <si>
    <t>de Prusia, Luís Fernando (príncipe)</t>
  </si>
  <si>
    <t>Príncipe Luís Fernando de Prusia</t>
  </si>
  <si>
    <t>esempeñar varios encargos de este Soberano. - De INieburgo ha vuelto á Magdeburgo el regimiento det Príncipe Luís Fernando de Prusia,como asimismo la artillería ligera que formaba parte de la guarnición de aquella plaza. .Ratisbona 24 deNoviembre. D ícese que luego que se abra el congreso, de Amiens se comunica</t>
  </si>
  <si>
    <t>de Puch, Juán Joseph</t>
  </si>
  <si>
    <t>Juán Joseph de Puch</t>
  </si>
  <si>
    <t>n los señalados con los números que se publicáron en el suplemento á la gazeta de *) del corriente. Don Juán Joseph de Puch, vecino y del comercio de Cádiz, endosó y remitió por el correo á D. Baltasar.de Bacardi, del de Barcelona, varios vales Reales, y entre ellos uno de 130 pesos, de la creación de</t>
  </si>
  <si>
    <t>de Quadra, Antonio</t>
  </si>
  <si>
    <t>Antonio de Quadra</t>
  </si>
  <si>
    <t>1,704, 304,253, 308,521, 3*5.3**&gt;79l » 3,*3&gt;7S3* 33*&gt;9l$&gt; 33V787» 34I&gt;I $4 y 3&amp;3&gt;4°°&gt; endosados por D. Antonio de Quadra, Escribano de Cámara de Cruzada, con fecha de 17 de Abril de este año, d.iayor de D. Antonio de la Cuesta,vecino del lugar de Castelruiz,provincia de Soria. Quien los tenga ó sepa</t>
  </si>
  <si>
    <t>de Quésada y Axango, Rafael</t>
  </si>
  <si>
    <t>Rafael de Quésada y Axango</t>
  </si>
  <si>
    <t>iego del Castillo y Castro, D. Sebastian Rodríguez de: Arias y la; Puente, D. Juan Barrera y Amiot, D. Rafael de Quésada y Axango, P. Francisco Ponce de León y Morejon, D. Juan Navarro y Pinillos, D. Rafael del Castillo y Rada, D. Juan Muñoz y Abreu, D. Matías Arauco, D.. Antonio de Lema,D. Joseph López, D,</t>
  </si>
  <si>
    <t>de Quevedo Alvarado, Diego</t>
  </si>
  <si>
    <t>Diego de Quevedo Alvarado</t>
  </si>
  <si>
    <t>y Moya r 0í Pernaódo Éizarra y Tari-iva* D. Pedro Cabrera.y 0¡a*y ÍX¡ Antonio fdej, Corro y Camusó, D. Diego de Quevedo Alvarado , 0. Juan Portillo y V^co , y 0. Francisco Perez de Grandallana. , a , a •. . :..j &lt; , -vi, .v r1 'M i , AAlféreces de Fragata, los Guardias-Marinas s r: ... -. .rrx ‘ .En frimero</t>
  </si>
  <si>
    <t>de Quevedo Bústamante, Manuel</t>
  </si>
  <si>
    <t>Manuel de Quevedo Bústamante</t>
  </si>
  <si>
    <t>s entregará en Comillas al referido D. Joaquín, en Santander á D. Francisco de Sayús, y en Madrid á Don Manuel de Quevedo Bústamante, Secretario de la subdelegacion de imprentas y librerías del Rey no.' Por providencia del Sr. Alcalde de corte D. Domingo Antonio de Miranda se ha mandado volver á sacar á pública</t>
  </si>
  <si>
    <t>de Quevedo Villegas, Francisco</t>
  </si>
  <si>
    <t>Francisco de Quevedo Villegas</t>
  </si>
  <si>
    <t>. Felipe xi. Se hallará en la librería dé ¿lera. Juguetes de la niñez y travesuras del ingenio: por D. Francisco de Quevedo Villegas. Se hallará en la librería de Castillo, frente á las gradas de S. Felipe; de la viúda de Cerro, red de S. Luis, y en su puesto, calle de Alcalá, á 8 rs. en pasta y 6 en pergamino.</t>
  </si>
  <si>
    <t>cos', escritas en el afio de 1503 desde el Rosellon: un tomo en 8.° marquilla. . Obras escogidas de D. Francisco de Quevedo Villegas, segunda edición en dos tomos en 8.° de mas de 4^0 páginas cada uno, dé buen papel, y letra: se han colocado los tratados por el órden que los escribió el autor, y para que salies</t>
  </si>
  <si>
    <t>de Quixano, Joachín</t>
  </si>
  <si>
    <t>Joachín de Quixano</t>
  </si>
  <si>
    <t>,803, con endoso de D. Pedro Lavat á Don Toseph Campanaga , del comercio de Santander, y por este a D. Joachín de Quixano vecino del valle de Buelna , concejo de S. Felices , en el obispado de Santander. Quien supiere de él avisará al mencionado Quixano, ó ai R. P. M. Fr. Domingo Salmón,.en S. Felipe</t>
  </si>
  <si>
    <t>de Ra, Bartolomé</t>
  </si>
  <si>
    <t>Bartolomé de Ra</t>
  </si>
  <si>
    <t>sejo Reai á los Sres. D. Joseph Navarro Vida!, D. Domingo Fernandez Campo manes, D, Andrés Lasauca, D. Bartolomé de Ra</t>
  </si>
  <si>
    <t>de Rada y Santander, Bartolomé</t>
  </si>
  <si>
    <t>Bartolomé de Rada y Santander</t>
  </si>
  <si>
    <t>e ha servido nombrar para la Regencia dé la Chancillería de Granada^, vacante por promoción del Sr. D. Bartolomé dé Rada y Santander á plaza del Consejo Real , á D. Francisco Suarez de Deza y Yebra, Oidor supernumerario de la Chancillería de Valladolid; y para dos plazas de Alcaldes de su Real, casa, y corte á</t>
  </si>
  <si>
    <t>de Rayas, Joaquín</t>
  </si>
  <si>
    <t>Joaquín de Rayas</t>
  </si>
  <si>
    <t>Joseph Sotolongo, D. Juan Cirera, D. Joseph de la Cuesta, D. Francisco Quesada, D. Joseph Domeneo ,;D. Joaquín de Rayas?, P. Nicolás Guascoñi, D. Mariano Vives, Don Juan de la Garma j D. Miguel Plowes, D. Marcos Funguion, D. Bernardo■ Tacón, D. Joseph Tacón, D. Francisco Boneo, D. Félix Gastambide,</t>
  </si>
  <si>
    <t>de Rebolleda, Fernando Nicolás</t>
  </si>
  <si>
    <t>Fernando Nicolás de Rebolleda</t>
  </si>
  <si>
    <t>bre próximo en su audiencia de once á una de la mañana. Aventuras de Telémaco: nueva traducción por D. Fernando Nicolás de Rebolleda. Se abre subscripción á dos ediciones de esta obra, una con el texto francés al frente, otra sin él j y áotra del texto francés solo , todas en 8.° , segua mas por menor se explic</t>
  </si>
  <si>
    <t>de Reden, Barón</t>
  </si>
  <si>
    <t>Barón de Reden</t>
  </si>
  <si>
    <t>evacuación de Hannover se habia hecho de resoltas de una nota comunicada por el Barón de Reden, Ministro de aquel Electorado; y aseguran como positivo que esta corte no contestó á aquel oficio ni á los demas que le presentaron de la misma especie: por consiguiente no contribuyó á la</t>
  </si>
  <si>
    <t>de Relian y Brea, Julián</t>
  </si>
  <si>
    <t>Julián de Relian y Brea</t>
  </si>
  <si>
    <t>se ha dignado nombrar para la Vara de Alcalde mayor de I2 villa de Viar, en el Reyno de Valencia, á D. Julián de Relian y Brea, Abogado del Colegio de Madrid. ELConsejo, á consulta de Ja Comisión gubernativa, y con aprobación de S. M., ha resuelto la quadragesimaquinta amortización de 100 Vales de 600 pes</t>
  </si>
  <si>
    <t>de Répide, Juan</t>
  </si>
  <si>
    <t>Juan de Répide</t>
  </si>
  <si>
    <t>, que .se vende á voluntad de Sus dueños, acuda á la escribanía del número de esta villa que eaerce^D. Juan de Répide^ Se abre subscripción á los sermones.de Sto. Tomas de Vilíanueva, Arzobispo dé Valencia, por D. Nicolás Peres el Setabiense, socio de varias academias , el qual aunque tiene ya tr</t>
  </si>
  <si>
    <t>de Retz, Juan</t>
  </si>
  <si>
    <t>Juan de Retz</t>
  </si>
  <si>
    <t>nte D. Luis Granados. En el Real cuerpo de Ingenieros del exército ha promovido S. M. á ordinario á D. Juan de Retz, Ingeniero extraordinario, y á empleos de esta •dase á los Ayudantes D. Luis Laviña y D. Gaspar Durwel. En el regimiento de caballería del Rey se ha servido S. M. promover á 'Capi</t>
  </si>
  <si>
    <t>de Rey, Joseph</t>
  </si>
  <si>
    <t>Joseph de Rey</t>
  </si>
  <si>
    <t>rtillería ha nombrado el Rey Capitán al Teniente D. Domingo Gómez Cuesta; y Teniente al Subteniente D. Joseph de Rey na. El Rey se ha servido nombrar al Sr. Marques de Fuerte-Híjar para una plaza de Ministro del Consejo Real, vacante por muerte del Sr. Don Pedro González Calderón. Asimismo ha co</t>
  </si>
  <si>
    <t>de Reynoso, Pedro Domingo</t>
  </si>
  <si>
    <t>Pedro Domingo de Reynoso</t>
  </si>
  <si>
    <t>Larédb; D. Juan de Morales Guzmán? y^Tpvar; el. Conde dé la Cintera 7 el Marqúes de Vallesántoro, y D. Pedro Domingo de Reynoso. • *■; • Afapórdantos de Semana. 7; r \ D. Juan de la Cruz Ver^és^umve, y D. Vicente Ortiz de Guinea y Teran; y plaza supernameraria de Géntiínombre de la Real Casa á . Don Manuel</t>
  </si>
  <si>
    <t>de Rhode, Conde</t>
  </si>
  <si>
    <t>Conde de Rhode</t>
  </si>
  <si>
    <t>e de Tanenzien volverá á Petersburgo en calidad de Ministro de Prusia; y que el Conde de Rhode, Ministro cerca de S. M. Católica , irá á París con igual carácter. Acaba de comprar S. M. en 4® thalers el precioso gabinete de medicina y física del difunto Dr. Meyer, y lo ha enviado á l</t>
  </si>
  <si>
    <t>de Ríbadeneyra, Joseph Pablo</t>
  </si>
  <si>
    <t>Joseph Pablo de Ríbadeneyra</t>
  </si>
  <si>
    <t>cio Préstamo de Viilanueva de Cameros , en la diócesis de Calahorra, vacante por Ldlecii’nientc' de D. Joseph Pablo de Ríbadeneyra, á D. Pedro García Buelia, con retención-dei Préstamo de la villa de Mouzon que obtiene. En el regimiento■ .de. infantería- de- Sahoya se, Jia .servido promover el</t>
  </si>
  <si>
    <t>de Ribas, Joseph María</t>
  </si>
  <si>
    <t>Joseph María de Ribas</t>
  </si>
  <si>
    <t>de Alrpansa se ha servido S. M. promover á Sargento mayor al Capitán, graduado de Teniente Coronel, D. Joseph María de Ribas , y á Alféreces á los Cadetes D. Joseph Rodríguez de Paterna y D. Pedro de las Gas^s y Ruiz ; y en ei de Numancia á Sargento mayor al Capitán , graduado de Teniente Coronel, D. Fr</t>
  </si>
  <si>
    <t>de Ribas, Juan</t>
  </si>
  <si>
    <t>Juan de Ribas</t>
  </si>
  <si>
    <t>...... iro. 14. Id. Juan de Ribas.................. .. Pedro, María López........... Montejo........ Arévalo...... -• 275. 33- Id. Juan Fernandez................,.. Benito, Juana Casas ...... Lomas........... G</t>
  </si>
  <si>
    <t>de Ribera, Benito</t>
  </si>
  <si>
    <t>Benito de Ribera</t>
  </si>
  <si>
    <t>e$tricciones de la población en los ..difefentes estados y modos d§ .vivir ?4# los pueblos; el í&gt;r. D. Benito de Ribera!,de prirUer anb, r$9bned%&lt;fúitii#er’ leza del papel moneda, ventajas de su. creacton , y límites á que Se^^réducirse, y sobre los bancos de’ circulación de, ^epQsito y de negoeiac</t>
  </si>
  <si>
    <t>resultaron en la clase de sobrésáliéntés D. Escolástico Laviila, D. Ramón Mateo, Don Pedro Alfaro, D. Benito de Ribera, D. Agustín Alcayde, D. Vicente Royó , D; Jacinto Munárriz ^ D. Juan Antonio Coijiat, D. Joseph Fortuno, D. Joaquín Ollés de Regales; y en la clase de buenos, D. Fabian Lorenté',</t>
  </si>
  <si>
    <t>de Ribera, Juan Antonio</t>
  </si>
  <si>
    <t>Juan Antonio de Ribera</t>
  </si>
  <si>
    <t>ia de carabineros al Teniente D. ^Manuel Dávila: Tenencias á los Alféreces D. Christóbal Hernández, D. Juan Antonio de Ribera y D. Julián Romero; y el empleo de Alférez de carabineros al Alférez D. Rafael de Silva. A consulta del Consejo lia concedido S. M. permiso á la villa de Palenzuela, provincia de Vall</t>
  </si>
  <si>
    <t>de Richelieu, Duque</t>
  </si>
  <si>
    <t>Duque de Richelieu</t>
  </si>
  <si>
    <t>en á su país : entre ellos ei Príncipe de Gallitzin, el Conde de Stakelberg, el Duque de Richelieu, Teniente General de ios ejércitos del Emperador de Rusia, que se restituye de Francia á Petersburgo, el Barón de Forell, Ministro del Elector de Saxonia en la corte de España, el Conde de</t>
  </si>
  <si>
    <t>de Rio y Arnedo, María</t>
  </si>
  <si>
    <t>María de Rio y Arnedo</t>
  </si>
  <si>
    <t>de Madama Montier á su hija, escritas en francés por Madama le Prince de Beaumont, y traducidas por Doña María de Rio y Arnedo: 3 tomos en 8.° Esta ebrá se puede considerar como una escuela de educación para toda señora christiana, y al paso que ss-tiaa impugnación de las malas nóvelas, forma por sí misma</t>
  </si>
  <si>
    <t>de Rivadeneyra, Ramón</t>
  </si>
  <si>
    <t>Ramón de Rivadeneyra</t>
  </si>
  <si>
    <t>. Francisco Falces y Agramont: para la Canongía de la catedral de Tuy, vacante por fallecimiento de D. Ramón de Rivadeneyra, á D. Ramón Diaz de ia Peña: para la Canongía de la colegial de Lorca, en la diócesis de Cartagena,.vacante por promoción de D. Joachín Escunmo á Canongía de la catedral de Zamora</t>
  </si>
  <si>
    <t>de Rivas, Benito María</t>
  </si>
  <si>
    <t>Benito María de Rivas</t>
  </si>
  <si>
    <t>rar para la Contaduría del Consulado de la Coruña, vacante por jubilación de D. Joseph Leguerica, á D. Benito María de Rivas, Secretario del mismo Cuerpo ; y para la Secretaría que resoltó vacante á D. Joseph Lúeas Labrada. • En América. El Rey se ha servido nombrar para el empleo de Teniente letrado As</t>
  </si>
  <si>
    <t>de Robles, Juan</t>
  </si>
  <si>
    <t>Juan de Robles</t>
  </si>
  <si>
    <t>tillo, D. Mariano de Lara,Dori' Manuel Fernandez Cortacero, D. Manuel Barrientos, D. Nicolás Povil, D, Juan de Robles, D, Rafael Seáis, D. Joseph Sotolongo, D. Juan Cirera, D. Joseph de la Cuesta, D. Francisco Quesada, D. Joseph Domeneo ,;D. Joaquín de Rayas?, P. Nicolás Guascoñi, D. Mariano Vive</t>
  </si>
  <si>
    <t>de Roda, Nicolás</t>
  </si>
  <si>
    <t>Nicolás de Roda</t>
  </si>
  <si>
    <t>sco Jares Maldonado , ha caido la casa sita en el Real sitio de S. Lorenzo al barrio del Romeral, á D. Nicolás dé Roda y'Zúñiga, Teniente dé Navio de la ReaL armada, vecino de Puerto ReaL ^ ¿ w--• '-.y8- y.t. ..... ; - . - j^-^v ; - - ;) Porlar audiencia dél SrJ D. * Juan Anteáib María , -y escriban</t>
  </si>
  <si>
    <t>de Rodas, Rafael</t>
  </si>
  <si>
    <t>Rafael de Rodas</t>
  </si>
  <si>
    <t>a medalla de plata de 4 onzas , y concedido derecho á la jubilación á su individuo actual de número D. Rafael de Rodas, por haber desempeñado dignamente en sus disertaciones el encargo que se le confió de comentar el libro 7.0 de la obra de Juan Luis Vives , que trata de causis corruptarum artium.</t>
  </si>
  <si>
    <t>de Ron, Vicente</t>
  </si>
  <si>
    <t>Vicente de Ron</t>
  </si>
  <si>
    <t>uierdo: para otra de la catedral de Patencia;, vacante por fallecimiento de D. Bernabé de Urculu, á D. Vicente de Ron : parada Ración de la de Tuy , vacante por promoción de D. Joseph de Turnes á una Canongía de la misma iglesia, á D. Bernardo Sánchez Cidras: para la Prestamera de Beteta, en la d</t>
  </si>
  <si>
    <t>de RoóySmidts, Ignacio</t>
  </si>
  <si>
    <t>Ignacio de RoóySmidts</t>
  </si>
  <si>
    <t>Alféreces de Navio , * D. Joseph Arguelles, D. Félix Pareja y Mesía, D. Francisco Espinóla yLiaño, D. Ignacio de RoóySmidts, D. Claudio Zulmezu y Palacioi D. Juan Ülloa y Be.betoros, D. Martin Oarrichena , D. Manuel Vacaro X Valcarcel, D. Antonio Bobadi!la|y Ángulo, D. Miguel Martínez y Montes, D. Luis</t>
  </si>
  <si>
    <t>de Rosales, Antonio</t>
  </si>
  <si>
    <t>Antonio de Rosales</t>
  </si>
  <si>
    <t>a primer Teniente al segundo Teniente D. Luís Rey: en el de dragones de Pavía á Teniente al Alférez D. Antonio de Rosales; y en el de Villavicio$a a Sargento mayor al Capitán D. Eugenio Tomas y Alcalá. El Rey se ha servido restituir al Sr. D. Plugenio Izquierdo en elempleo de Director del Real gabine</t>
  </si>
  <si>
    <t>de Rosales, Pedro Manuel</t>
  </si>
  <si>
    <t>Pedro Manuel de Rosales</t>
  </si>
  <si>
    <t>vido conferir el, empleo de Comandante del tercer esquadron del regimiento de dragones de Almanta á D. Pedro Manuel de Rosales?*.Sargento mayor del de dragones de Pavía; y ha nombrado Alférezcetu el de caballería de Alcántara á D. Joseph Buena, Portaestandarte del mitmO' cüerpóV ‘ En Ainéric‘a.' 'Ha promo</t>
  </si>
  <si>
    <t>de Roxas Rodríguez, Simón</t>
  </si>
  <si>
    <t>Simón de Roxas Rodríguez</t>
  </si>
  <si>
    <t>o de Alharo, en el obispado de Córdoba, vacante por muerte de D011 Francisco Xavier de Piedrola , á D. Simón de Roxas Rodríguez : para el Préstamo del lugar de Narros, el de Torlengua y el de Recuenda, los tres en la diócesis de Osma, á D. Alexandro Barruchi y Ore ; y para una Capellanía titular del Real c</t>
  </si>
  <si>
    <t>de Roxas, Antonio María</t>
  </si>
  <si>
    <t>Antonio María de Roxas</t>
  </si>
  <si>
    <t>ias Españolas se ha servido el Rey promover á Capitán al primer Teniente y Comandante de granaderos D. Antonio María de Roxas. En el Real cuerpo de Artillería se ha servido S. M. conferir el empleo de Capitán al Teniente D. Joseph de la Serna; el de Subteniente de la compañía de minadores del primer bata</t>
  </si>
  <si>
    <t>de Roxas, Joseph</t>
  </si>
  <si>
    <t>Joseph de Roxas</t>
  </si>
  <si>
    <t>al Portaestandarte D. Juan Cruz de Ilzarve; y en el de Voluntarios de España á Capitán al Ayudante D. Joseph de Roxas, Marques de Alventos ; á primer Teniente al segundo Teniente D. Joachín Marín, y á segundo Teniente al Alférez D. Ensebio Sánchez Mendoza. En América. $. M. se ha dignado promover</t>
  </si>
  <si>
    <t>de Rozo, Antonio</t>
  </si>
  <si>
    <t>Antonio de Rozo</t>
  </si>
  <si>
    <t>regui, D. Cayetano Muller, D, Juan Romay, D. Felipe del Saso , D. Carlos Calvo, D. Joaquín Aldecoa, D. Antonio de Rozo, D. Joseph.de la Gceja , P. Juan de Sesma, D. Santiago Aldaó, D. Juan Piñeyro, D, Narciso Llaudes, D. Pedro Marsilla, D. Ni-' colas dél Castillo, D. Gines López del Castillo, D. M</t>
  </si>
  <si>
    <t>de Saboya, Carlos Félix (príncipe)</t>
  </si>
  <si>
    <t>Príncipe Carlos Félix de Saboya</t>
  </si>
  <si>
    <t>cha en Roma por el Rey Carlos Manuel á favor de su hermano el Duque de Aost, publicó en Cagliari el Príncipe Carlos Félix de Saboya, Vi rey y Teniente General de Cerdeña, vna pro</t>
  </si>
  <si>
    <t>de Sahagun de la Mata Linares, Juan</t>
  </si>
  <si>
    <t>Juan de Sahagun de la Mata Linares</t>
  </si>
  <si>
    <t>27 de Octubre del año próximo pasado falleció en la ciudad de Valladolid, pueblo de su naturaleza , D. Juan de Sahagun de la Mata Linares, Conde dei Carpió, caballero de la. orden de Calatrava, Ministro jubilado del Real Consejo de las Ordenes , Á los 58 años de edad. Fue colegial en el Viejo de JS. Bartolomé de Sal</t>
  </si>
  <si>
    <t>de Salas Boxadors, Joseph</t>
  </si>
  <si>
    <t>Joseph de Salas Boxadors</t>
  </si>
  <si>
    <t>Toubes y Ordoñez, D. Antonio de Aiscar y Piedrola , D. Anicetó Quixano y Arce, D. Fernando Ordoñez, D. Joseph de Salas Boxadors, Don Alonso Yusti y Herrera, D- Torquato Piedrola y Verdugo, D. Luis Cris y Sansón, D. Francisco Mendinueta, D. Joseph Orozco, y Herrera , D. Manuel Barruchi, D.Francisco Lafita,</t>
  </si>
  <si>
    <t>de Salas Boxádors, Ramón</t>
  </si>
  <si>
    <t>Ramón de Salas Boxádors</t>
  </si>
  <si>
    <t>y Torres , D. Juan Michelena y Moreno, D. Pedro Cortazar y Abarca, D. Isidro Cortazar: y Abarca, y D. Ramón de Salas Boxádors. / . t . A Tenientes de IFragata los Alféreces de Navio , * D. Joseph Arguelles, D. Félix Pareja y Mesía, D. Francisco Espinóla yLiaño, D. Ignacio de RoóySmidts, D. Claudio Zulmez</t>
  </si>
  <si>
    <t>de Salas Calderón, Juan</t>
  </si>
  <si>
    <t>Juan de Salas Calderón</t>
  </si>
  <si>
    <t>ra: piezas de Horacio, y del acto &lt;j. * de la tragedia Xh ¡estes de Séneca can notas; porjel . Lie. D. Juan de Salas Calderón, Abogado del colegio, de esta corte. Sp hallará en -la librería de Villareal, calle de las Carretas, á :i i rs.' qq papel K ,13 ep r^ústica y ri&lt;5^ep pa$ta.t &gt;. K,f.t Errores ,méd</t>
  </si>
  <si>
    <t>de Salas, Francisco Gregorio</t>
  </si>
  <si>
    <t>Francisco Gregorio de Salas</t>
  </si>
  <si>
    <t>con los tomos anteriorM eo ls| 1 lih^rvería..de. £asj:iÍlo. : ¡ .« _ ,:v Observatorio rústico, por D. Francisco Gregorio de Salas, nueva y 7.lirapresion en 1 á.® prolongado de bqen papel y, letra, ppn uña estampa alusiva y, el retrato del autor. Se hallaré en las librerías de,Castillo,frente á S. Felipe ,y d</t>
  </si>
  <si>
    <t>de Salazar, Luis María</t>
  </si>
  <si>
    <t>Luis María de Salazar</t>
  </si>
  <si>
    <t>e Ribera, D. Juan Topete, D. Joseph Quevedo y Cheza, D. Lino Truxiilo y Tacón, D. Antonio Miralles, D. Luis María de Salazar, D. Miguel Gastón y Navarrete, D. Antonio de la Torre Puebla, Don Francisco de Castro Navarro, D. Joaquín Zarauz, D. Joseph Calderón, D. Antonio García' de Quesada, D. Joseph Manu</t>
  </si>
  <si>
    <t>de Salazar, Ramón</t>
  </si>
  <si>
    <t>Ramón de Salazar</t>
  </si>
  <si>
    <t>éo,CavaíeH y Poní, ce, Di; Pedro delKCel :Loy¡zágay DiJósephí^idyórfcs^ D*4É»as$ÉaY Iidíran^ Cerda, D. Ramón de Salazar y "Sosa.p-DsiFrhnmseóTde^Luñon'y^lU^lot^ D. Francisco Crespo de León y Luquey D.ríBrunO cRscaTndorn ;y Antayd, ’ D. Antonio Duran y Cazó , iD.( Mateo * Togoí’és* y Zangla'da , D.. J</t>
  </si>
  <si>
    <t>de Salazar, Sebastián</t>
  </si>
  <si>
    <t>Sebastián de Salazar</t>
  </si>
  <si>
    <t>ellanía que se baila vacante en el Real monasterio de la Visitación de Madrid, por fallecimiento de D. Sebastian de Salazar, á D. Gregorio Díaz; y para la que este obtiene en el mismo monasterio , con carga de misa de hora fixa, ¿ D. Isidoro Villar. El Rey se ha servido conferir el empleo de Teniente C</t>
  </si>
  <si>
    <t>de San Christóbal, Juan</t>
  </si>
  <si>
    <t>Juan de San Christóbal</t>
  </si>
  <si>
    <t>ervido nombrar para la Canongía penitenciaria de la catedral de Chile, vacante ppr fallecimiento de D. Juan de San Christóbal, á D. Joseph Ignacio del Rio, Cura de Cauquenes en Ig jnismadiocesis j y para otraCanongíadela de Nicaragua, vacante por romocion^de D. Juan Joseph de Zelaya á Maestrescuela de el</t>
  </si>
  <si>
    <t>de San Marsan, Conde</t>
  </si>
  <si>
    <t>Conde de San Marsan</t>
  </si>
  <si>
    <t>ue su legítimo Soberano le considerase como rebelde. Viena 28 de Diciembre. E 1 Conde de San Marsan, Ministro de S. M. Sarda, ha pedido á este Embaxador de Francia pasaportes para ir á París. Abdul-Achmet, Baxá de tres colas, nombrado Embaxador de la Sublime Puerta en esta corte, llegó el</t>
  </si>
  <si>
    <t>de San Martín, Ramón</t>
  </si>
  <si>
    <t>Ramón de San Martín</t>
  </si>
  <si>
    <t>Marques de Palacios y D. Antonio Arteaga : y en la Compañía Italiana á segundo Teniente ai Alférez D. Ramón de San Martin; á esta resulta al Exento Don Carlos Cataneo; á Exento de número al supernumerario D. Christóbal Montes, y á Exento supernumerario al Brigadier de la misma Compañía Italiana D. Be</t>
  </si>
  <si>
    <t>rigddiér^sl^h JEs^fiai, 1 Jl * D. Francisco Barradas, D. Celedonio Fgüizábal* AoSÁatidb Látbüi ret, D. Ramón de San Martin, D. Santiago Lusarretá , D, Vicente rQasa' sola* D. Alonso VtlUfáñe, D. Cayetano Marimon * D. Jbseph Barón de Mer , D. Alexáñdro Conde de.Coupigni, D. Pedro Antonio TE^éjo, Don Pe</t>
  </si>
  <si>
    <t>de Sancha y Prado, Tomás</t>
  </si>
  <si>
    <t>Tomás de Sancha y Prado</t>
  </si>
  <si>
    <t>su mañana en la audiencia del Sr. Teniente D. Juan &lt;Antonio Santa María y escribanía del número de D. Tomas de Sancha y Prado. Quien quisiere hacer postura á ella acuda ante dicho Sr. Teniente y escribanía. Los subscriptores al Diccionario universal de Física de Brísson, traducido al castellano de la últ</t>
  </si>
  <si>
    <t>. Manuel de Torres Cónsul , Teniente Corregidor de esta villa, y escribanía de su número que exerce D. Tomas de Sancha y Prado, se hallan pendientes los autos de abintestato y testamentaría de Juan Moscoso , ve¿cino que fue del lugar de Alcorcon. Quien pretenda tener derecho hereditario ó por crédito á su</t>
  </si>
  <si>
    <t>a del Sr. D. Manuel de Torres Cónsul , Teniente Corregidor de esta villa y escribanía del número de D. Tomas de Sancha y Prado, se están subastando dos casas.sitas en Ja villa de Vaidemoro y calles del Mediodía , del Relox y de la Soledad, construidas con toda decencia y oficinas, una contigua a otra:: ti</t>
  </si>
  <si>
    <t>a acuda ante el Sr. D. Juan Antonio Santa María, Teniente Corregidor de esta viila, y escribanía de D. Tomas de Sancha y Prado. En la Subdeiegacion general de bienes mostrencos , vacantes y abintestatos se están siguiendo autos entre los interesados en la herencia abintestato del Sr. Conde que fue de Mace</t>
  </si>
  <si>
    <t>or la audiencia del Sr. Teniente Corregidor D. Manuel de Torres Cónsul , y escribanía del número de D, Tomas de Sancha y Prado, se subastan 31 pedazos de tierra sitas en término y jurisdicción de los lugares de los Carabancheles , Getafe y Villaverde , su caber 41 fanegas, ir celemines y 7 estadales, que</t>
  </si>
  <si>
    <t>. Juan Antonio Santa María, Teniente Corregidor de esta villa , y escribanía de su número que sirve Don Tomas de Sancha y Prado, se han puesto en subasta, por término de 30 dias contados desde 4 del presente , dos casas sitas en el lugar de Carabanchel de arriba y ana huerta en el propio término, al sitio</t>
  </si>
  <si>
    <t>. Juan Antonio Santa María , Teniente Corregidor de esta villa , y escribanía del número que exerce D. Tomas de Sancha y Prado, se subasta una casa sita en esta Corte y calle de Toledo, mím. 9, mauz. 99, perteneciente á la memoria que fundó Doña María Martínez, y comprehende 1045$ pies de sitio , tasada e</t>
  </si>
  <si>
    <t>udiencia del Sr. D. Manuel de Torres, Teniente Corregidor de esta villa, y escribanía del número de D. Tomas de Sancha y Prado, se están subastando dos casas, sitas en la villa de Valdemoro y calles del Mediodía , del Relox y de la Soledad, construidas con toda decencia y oficinas, una contigua á otra; ti</t>
  </si>
  <si>
    <t>udiencia del Sr. D. Manuel de Torres, del Consejo de S. M., Teniente Corregidor de esta villa, ante D. Tomas de Sancha y Prado , Escribano de su número. Quien quisiere hacer postura á ellas acuda ame S. S. y dicha escribanía. En la gazeta de 9 de Marzo último se anunció la subasta de Jos sotos de Gaiapaga</t>
  </si>
  <si>
    <t>está vilhu Quien ¡quisiere hacer .postura acuda ante dicho Sr. Teniente, y escribanía de numero de D. Tomás de Sancha y Prado, t , Por-el mismo Sr. JD. Juan. Antonio Santa María se cita y emplaza d todas las personas que seaú descendientes de D. Pedro, D. Gonzalo , í). Juan y Doña Catalina del Campo , su</t>
  </si>
  <si>
    <t>udiencia del Sr. D. Manuel de Torres, Teniente Corregidor de esta villa, y escribanía del número de D. Tomas de Sancha y Prado, se están subastando dos casas sitas en la villa de Vaidemoro, y calles del Mediodía, del Relox .y de la Soledad, construidas con toda decencia y oficinas, una contigua á otra; ti</t>
  </si>
  <si>
    <t>s. Quien quisiere hacerla acuda ante el Sr. I&gt;. Juan Antonio Santa María y escribanía del número de D. Tomas de Sancha y Prado dentro del propio término, contado desde 41 de este mes, y cumplirá en el dia a® del próximo Agosto. En virtud de providencia del Sr. D. Manuel Vicente de Torres, del Consejo de S. M</t>
  </si>
  <si>
    <t>escribanía. Por la audiencia del propio Sr. D. Manuel de Torres, y escribanía de número que exerce D. Tomas de Sancha y Prado , se subastan juntas ó separadas las fincas siguientes : una casa , que si:ve de esquileo y lavadero de lanas, con cercado, sita en Ja villa de Vil acastin , con 1.608,242^ pies s</t>
  </si>
  <si>
    <t>de Sancha, Gabriel</t>
  </si>
  <si>
    <t>Gabriel de Sancha</t>
  </si>
  <si>
    <t>IOOO nuestra lengua esta excelente Historia. Los que quieran subscribirse acudirán ácasa de D. Gabriel de Sancha, c^lle del Lobo. Compendio de la Historia universal: quaderno, a i (i.° del tomo &lt;5.°), con las &lt;$ estampas correspondientes. Se hallará en la librería de Gómez Fuentenebro y comp</t>
  </si>
  <si>
    <t>de Sancha, Tomás</t>
  </si>
  <si>
    <t>Tomás de Sancha</t>
  </si>
  <si>
    <t>; |fain 'Antonio Sanfa MáHa, Teniente Corregidor de esta villa y escribanía de su número que exerce D. Tomas de Sancha y pra&gt; dó, actída á#ita dlchb Sri júea poriia citada escribíanía; • s; * La R caf dirección desbastes de esta Corté, con aprobación del supremo; Con— aejo de Castilla, ha acordado c</t>
  </si>
  <si>
    <t>de Santa Clara, Manuel</t>
  </si>
  <si>
    <t>Manuel de Santa Clara</t>
  </si>
  <si>
    <t>D. Manuel Nicasio Gómez de Cuéliar, Cura propio de la parroquial de Santiago el Real de esta villa, D. Manuel de Santa Clara, caballero de la órden de Cirios m , y capitular de su Ayuntamiento, y D. Rafael Martinez de Ariza, apoderado de D. Juan Bautista Wbanbrock y Agraz, Teniente Coronel de los Reales</t>
  </si>
  <si>
    <t>e, y D. Vicente Ortiz de Guinea y Teran; y plaza supernameraria de Géntiínombre de la Real Casa á . Don Manuel de Santa Clara. ■ 7 7: Igualmente se ha servido 5: M. hacer merced de Título de Castilla, parasí» sus hijos y sucesores legítimos á í&gt;. Mánuél dé Oña San Juan y Doláf de Espejo, vecino de Zarago</t>
  </si>
  <si>
    <t>de Santa María, Joseph Joaquín</t>
  </si>
  <si>
    <t>Joseph Joaquín de Santa María</t>
  </si>
  <si>
    <t>r de aquella ciudad; del Crimen de Sevilla á D. Antonio Quer y Villaró, Alcalde mayor de Córdoba; á D. Joseph Joaquín de Santa María, Alcalde mayor de Ecija, y á D.Antonio Rodríguez de Rivera, Teniente primero de Asistente de la misma ciudad de Sevilla; del Crimen de Extremadura á D. Joseph Manuel Calderón de G</t>
  </si>
  <si>
    <t>de Santiago, Joseph</t>
  </si>
  <si>
    <t>Joseph de Santiago</t>
  </si>
  <si>
    <t>endelagua, D. Ma-, nuel Abreu y Orta, D. Ignacio del Valle y ¡Máttmon , D. Manuel Primo de Ribera , D. Joseph de Santiago; y.García, D. Manuel de Clemente y&gt; Miro, D. Joaquín Fernandez Chicarrón . Bernardo Metvendano, Don:</t>
  </si>
  <si>
    <t>de Santistébán, Gaspar</t>
  </si>
  <si>
    <t>Gaspar de Santistébán</t>
  </si>
  <si>
    <t>enientes Pablo Martínez y Don Juan Salvador ; á Téniéhtes á los Subtenientes D. Nicolás Aguilera -y Don Gaspar dé Santistébán y' á Subtenientes á los Cadetes D. Joseph de Gastro y í). Manuel Aguilar. Catón español político christiano: obra original sacada de graves autores nacionales y extrangeros, para la</t>
  </si>
  <si>
    <t>de Santos, Joseph</t>
  </si>
  <si>
    <t>Joseph de Santos</t>
  </si>
  <si>
    <t>lesiástica en verso , por el P. Joseph Francisco de Isla , de la extinguida compañía, concluida por D. Joseph de Santos, á que sigue el sumario de la historia de España. Se hallará en las librerías de Escribano y de Dávila, calle de la§ Carretas, de Guillen, carrera de S. Gerónimo, y en casa de la;</t>
  </si>
  <si>
    <t>de Saxonia Teschen, Alberto (duque)</t>
  </si>
  <si>
    <t>Duque Alberto de Saxonia Teschen</t>
  </si>
  <si>
    <t>inuo estos dias el paso por esta ciudad de correos de Paris, de Nápoles y de Viena. Por encargo del Duque Alberto de Saxonia Teschen está haciendo el eélebre escultor Canova un cenotafio, para honrar la memoria de su esposa la Archiduquesa María Christina. Costará este monumento 18® zequies, y se colocará en la i</t>
  </si>
  <si>
    <t>de Sayús, Francisco</t>
  </si>
  <si>
    <t>Francisco de Sayús</t>
  </si>
  <si>
    <t>iado, quien tenga noticia de ellos los entregará en Comillas al referido D. Joaquín, en Santander á D. Francisco de Sayús, y en Madrid á Don Manuel de Quevedo Bústamante, Secretario de la subdelegacion de imprentas y librerías del Rey no.' Por providencia del Sr. Alcalde de corte D. Domingo Antonio d</t>
  </si>
  <si>
    <t>de Schulembourg-Kehnert, Conde</t>
  </si>
  <si>
    <t>Conde de Schulembourg-Kehnert</t>
  </si>
  <si>
    <t>toma de posesión de dichos paises y su arreglo á nuestro General de caballería Conde de Schulembourg-Kehnert, Ministro íntimo de Guerra y de Estado^ caballero del Aguila Negra y de la Roxa &amp;c.; y hémos mandado que un cuerpo de tropas baxo sus órdenes inmediatas efectúe la toma de posesión; y que a</t>
  </si>
  <si>
    <t>de Sequera, Julián</t>
  </si>
  <si>
    <t>Julián de Sequera</t>
  </si>
  <si>
    <t>D. Alexandro Antonio Ojéá, D. Gaspar Barón de Rocreusse, D. Joseph María Lambí, D. Joseph Villaiba, Don Julián de Sequera, D. Joseph Graulle, D. Gerónimo Valladares, D. Rafael Cravallo, D. Guillermo Chicheri, D. Pedro Saenz, D. Angel de Lana, D. Felipe de la Mar, D. Angel Mijáres, D. Gerónimo Marco ,</t>
  </si>
  <si>
    <t>de Sierra y Gil, Domingo</t>
  </si>
  <si>
    <t>Domingo de Sierra y Gil</t>
  </si>
  <si>
    <t>doy: para el Préstamo de Carrascal del Rio, en el obispado de Segovia, vacante por fallecimiento de D. Domingo de Sierra y Gil, á D. Francisco O rcheil: para la Prestamera de la villa de Guadalcázar, en la diócesis de Córdoba, vacante por muerte de D. Basilio Caballero, á D. Miguel Ibarra, con retención d</t>
  </si>
  <si>
    <t>de Sierra, Esteban</t>
  </si>
  <si>
    <t>Esteban de Sierra</t>
  </si>
  <si>
    <t>599 nencia eñ el mismo esquadron al Alférez D. Esteban de Sierra: igual empleo en el regimiento dé infantería de Voluntarios de Cartagena al Subteniente D. Joseph María Prieto del Campillo i y Subtenencia de bandera á D. Juan Merino Gómez. Igua</t>
  </si>
  <si>
    <t>de Sierra, Martín</t>
  </si>
  <si>
    <t>Martín de Sierra</t>
  </si>
  <si>
    <t>os al de fusileros D. Joseph Mo3*a *, y en el ae Aragón a primer Subteniente al segundo Subteniente Don Martin de Sierra* El Consejo, á consulta de la Comisión gubernativa de consolidación de Vales, y con aprobación de S. Mv* ha acordado la trigesimanonavamortización de 33 Vales de*600*.pesos; 44 de</t>
  </si>
  <si>
    <t>de Sierra, Nicolás</t>
  </si>
  <si>
    <t>Nicolás de Sierra</t>
  </si>
  <si>
    <t>cante por ascenso de,IX Ramón Navarro Pingarron.á plaza de.Alcalde de la dicha Real casa y corte, a D. Nicolás de Sierra: para la de Alcalde dé Quadra dé la propia Audiencia de Sevilla , vacante por prbmocion del citado Francisco Xóribio de ligarte á plaza de Otdoi de la1 de Valencia, £ D. Luis Marí</t>
  </si>
  <si>
    <t>de Sieyra, Francisco</t>
  </si>
  <si>
    <t>Francisco de Sieyra</t>
  </si>
  <si>
    <t>dos según el orden que está mandado. , . , T, jge necesita saber e¡ paradero de Francisco de Sieyra, natural del cqto de Eoyroven la provincia de Santiago de Galicia, que el año 1794 salió sorteado en quinta; v se ígnora i que regimiento le destináron, como asimismo si es muerto o vive.</t>
  </si>
  <si>
    <t>de Silva, Joseph</t>
  </si>
  <si>
    <t>Joseph de Silva</t>
  </si>
  <si>
    <t>del partido de Tamagua á D. Antonio Campos *, para la de Guarda del Resguardo unido de Guanaxuato á D. Joseph de Silva: para 1 as de Guarda de la Factoría de Oaxaca á D. Joseph Seoane y Torres y IX Joseph María Gómez Eguíarte: para la de Visitador del Resguardo de la misma Factoría á D. Bartolomé</t>
  </si>
  <si>
    <t>de Silva, Rafael</t>
  </si>
  <si>
    <t>Rafael de Silva</t>
  </si>
  <si>
    <t>dez, D. Juan Antonio de Ribera y D. Julián Romero; y el empleo de Alférez de carabineros al Alférez D. Rafael de Silva. A consulta del Consejo lia concedido S. M. permiso á la villa de Palenzuela, provincia de Valladolid, para que el lunes de cada semana pueda celebrar un mercado público. Por el j</t>
  </si>
  <si>
    <t>de Sobrevilla, Joseph</t>
  </si>
  <si>
    <t>Joseph de Sobrevilla</t>
  </si>
  <si>
    <t>te acudirán á las tiendas de D. Isidro de Azcona, mercader de lienzos, calle de Toledo, núm. 5 , de D. Joseph de Sobrevilla, que lo es de mercería en la Plaza mayor, á la entrada del portal de Guadalaxara, números 12 y 13, y en dicho Real sitio á la casa misma que se rifa, en la que habita Pedro íbañez</t>
  </si>
  <si>
    <t>de Sola, Luis</t>
  </si>
  <si>
    <t>Luis de Sola</t>
  </si>
  <si>
    <t>as de caballería de Puerto Rico se ha,servido el Rey promover á Capitán ¡al Teniente de carabineros Don Luis de Sola *, á esta clase á- D. Miguel Baiseyro; á Teniente á D. Bernardino de la Seda, y á la «resulta de: Alférez , -que este dexa, al Cadete D011 Alonso Dávila. • S. M. se ha dignado con</t>
  </si>
  <si>
    <t>de Solís y Becerra, Sebastián</t>
  </si>
  <si>
    <t>Sebastián de Solís y Becerra</t>
  </si>
  <si>
    <t>IX Antonio Alcalá Galiano, y para la de Alcalde del crimen, que este obtenía en la de Valladolid, á D. Sebastian de Solís y Becerra: para otra de Oidor de la misma Chancillería de Granada, vacante por fallecimiento de Don Diego de Villafañe, á D. Gabriel Suarez de Váleles : para otra de Oidor de la Audiencia d</t>
  </si>
  <si>
    <t>de Soria, Joseph</t>
  </si>
  <si>
    <t>Joseph de Soria</t>
  </si>
  <si>
    <t>lo, de la misma diócesis : para otra Canongía de la catedral de Avila, vacante por fallecimiento de D. Joseph de Soria, á D. Joaquín Ferraz: para una Ración del colegio de Sancti Spiritus de la ciudad de Santiago, vacante por muerte de D* Gaspar Goyos Saavedra, á D. Juan Prieto Mendez de Llanos ,</t>
  </si>
  <si>
    <t>de Sorribas, Vicente Mateo</t>
  </si>
  <si>
    <t>Vicente Mateo de Sorribas</t>
  </si>
  <si>
    <t>Hacienda al Conde de Guzman: para la de Oidor de la Chancilleria de Granada, vacante por muerte de D. Vicente Mateo de Sorribas , á IX Antonio Alcalá Galiano, y para la de Alcalde del crimen, que este obtenía en la de Valladolid, á D. Sebastian de Solís y Becerra: para otra de Oidor de la misma Chancillerí</t>
  </si>
  <si>
    <t>de Sosa Miranda, Joseph</t>
  </si>
  <si>
    <t>Joseph de Sosa Miranda</t>
  </si>
  <si>
    <t>, P. Joseph María,Monagas, D, Francisco, Leandro Paez , D. Joseph Antonio Paez, D^Domipgo Xaboada y D. Joseph de Sosa Miranda. El 27 de Octubre del año próximo pasado falleció en la ciudad de Valladolid, pueblo de su naturaleza , D. Juan de Sahagun de la Mata Linares, Conde dei Carpió, caballero de la. o</t>
  </si>
  <si>
    <t>de Soto y Valcarce, Vicente</t>
  </si>
  <si>
    <t>Vicente de Soto y Valcarce</t>
  </si>
  <si>
    <t>r 30 dias que se habían de contar desde el 3 de Diciembre último; y en el 28 del mismo por el -Lie. D. Vicente de Soto y Valcarce, Dignidad de Maestrescuela de la catedral de dicha* ciudad , se ha fcechó la'mejora del quarto en vales que importa-107,750 rs., está admitida por auto dé 29 del -mismo'; y se ha</t>
  </si>
  <si>
    <t>de Soto, Joaquín</t>
  </si>
  <si>
    <t>Joaquín de Soto</t>
  </si>
  <si>
    <t>de granaderos D. Francisco Roxas: en ei de Toledo á Subteniente de granaderos al primer Subteniente D. Joaquin dé Soto , y á¡segundo Teniente de granaderos al de fusileros D. Joseph Sánchez: en el de Murcia á Capitán ai primer Teniente D. Juan Irisarri: en el de Amé•rica á Cap-tan al Ayudante D. V</t>
  </si>
  <si>
    <t>de Soto, Joseph</t>
  </si>
  <si>
    <t>Joseph de Soto</t>
  </si>
  <si>
    <t>andante del tercer batallón del mismo cuerpo ; esta resulta al Sargento mayor del propio regimiento D. Joseph de Soto, y la que este dexa al Capitán del mismo D. Mauricio de Zúñiga. : Asimismo ná conferido el Rey Compañía 'en el regimiento de Milicias disciplinadas vde caballería de la Havana al</t>
  </si>
  <si>
    <t>de Soto, Juan</t>
  </si>
  <si>
    <t>Juan de Soto</t>
  </si>
  <si>
    <t>...... 965. 20. Id. Juan de Soto.......................... Márcos, Teodora Vázquez.. S.TirsoSoeyro. Corufia.......... 920. 24. Id. Tomas Revilla.................. Antonio, Teresa Perez....... Maza riegos...</t>
  </si>
  <si>
    <t>de Soto, Juan María</t>
  </si>
  <si>
    <t>Juan María de Soto</t>
  </si>
  <si>
    <t>io Cordero,. D. Pedro Villaescusa, D. Miguel Emparan , D. Francesco Alburquerque, D. Blas González, D. Juan María de Soto, D. Francisco Caballero, D. Ignacio Merlos, Don Lorenzo Burgos^, D. .Joseph Arata,p. Ildefonso Larrauri ,D. Tomas ligarte, D. Ignacio de; la Luz, D. Francisco Sánchez, p. Joseph A</t>
  </si>
  <si>
    <t>de Soto, Lucas</t>
  </si>
  <si>
    <t>Lucas de Soto</t>
  </si>
  <si>
    <t>ño y D. Joseph Gallarte. En la segunda D. Romualdo Merino» D. Nicolás Casaba!, Dpn Nicolás Ramírez, D. Lucas de Soto, D. Fructuoso Cariñena, D* Patricio Gómez, D. Manuel Martínez-, D. Dionisio Pinedo, D. HemeterioMdtetio* D. Anacleto Orbañanos, D. Gerardo Moreno, D. Braulio Martínez, Don Vicente</t>
  </si>
  <si>
    <t>de Sotolongo, Joseph María</t>
  </si>
  <si>
    <t>Joseph María de Sotolongo</t>
  </si>
  <si>
    <t>de Portaestandartes &amp; los Sargentos segundos 6. Miguel Hernández y D. Francisco. Toyos, y al Cadete D. Joseph María de Sotolongo; Ayudantía al Teniente P. Pedro Juan de Ochoa, y Tenencia veterana al Sargento primero P¿ Francisco María de Lara....... v"; ; . ,4./;'r ^ Igualmente ha conferido S. M. el empleo</t>
  </si>
  <si>
    <t>de Stadion, Conde</t>
  </si>
  <si>
    <t>Conde de Stadion</t>
  </si>
  <si>
    <t>franciscanos de aquélla ciudad. ’ t Ha llegado repentinamente de Berlín aquí el Conde de Stadion , Ministro de esta corte cerca de S. M. Prusiana. . Permanece en esta capital Mr, \Wmdham y Ministro dé Inglaterra ce'rca del A rchiduque Femando ..de Toscaqa; y parece, que finalizado eLcbn</t>
  </si>
  <si>
    <t>La respuesta que el gabinete prusiano ha dado á la ultima nota que presentó el Conde de Stadion, Ministro del Emperador, dice en suma lo siguiente: „ Advierte lá corte de Berlín dos puntos principales en el oficio de Mr. Stadion, que son la conservación de los Electores eclesiásticos,</t>
  </si>
  <si>
    <t>cias; no puede suspenderse dicha ocupación. Igual declaración, se h¡a; hechp'aí Conde de Stadion, Ministro imperial en. Berlín, en respuesta á un oficio que presentó en nombre de su Soberano, y en que pedia no se verifícase la ocupación de dichos paises hasta después que la sancionase</t>
  </si>
  <si>
    <t>de Steigéntesch, Barón</t>
  </si>
  <si>
    <t>Barón de Steigéntesch</t>
  </si>
  <si>
    <t>rado al Barón de Plessen por* su Ministro en la Dieta. Aun no ha vuelto aquí el Barón de Steigéntesch, Ministro directoñal1 de Maguncia ; y por esto no han empezado todavía las sesiones de la dieta germánica, sin embargo de haber concluido las vacaciones; de Pascua* El ciud. Bacher, Encarga</t>
  </si>
  <si>
    <t>de Steigentesch, Barón</t>
  </si>
  <si>
    <t>Barón de Steigentesch</t>
  </si>
  <si>
    <t>es de aye* noche entregó el ciüd. Bacher, Encargado de negocios de Francia , al Barón de Steigentesch, Ministro directorial de Maguncia, los documentos relativos á la prorogacion de la magistratura del primer Cónsul, acompañando el extracto ae un oficio del Ministro de Relaciones exteriores</t>
  </si>
  <si>
    <t>de Stengel, Estéban (barón)</t>
  </si>
  <si>
    <t>Barón Estéban de Stengel</t>
  </si>
  <si>
    <t>e su fundación con junta pública, á que asistió el Príncipe electoral; que es individuo de ella. El Barón Estéban de Stengel, Consejero íntimo y Vicepresidente de la academia, pronunció un discurso sobre los beneficios de que este cuerpo es deudor al Elector; y el Consejero Westenrieder, Secretario, ley</t>
  </si>
  <si>
    <t>de Suero González de Andrade, Joseph</t>
  </si>
  <si>
    <t>Joseph de Suero González de Andrade</t>
  </si>
  <si>
    <t>170 la metropolitana de' Charcas,' vacante por fallecimiento de D. Joseph de Suero González de Andrade, á D. Juan Manuel de Verdeja, Maestrescuela de la propia iglesia: para la Maestrescolía al Canónigo de gracia D. Gregorio Chuquiguanca: para esta Canongía al Racionero D. Pedro Jo</t>
  </si>
  <si>
    <t>de Tabüega, Félix</t>
  </si>
  <si>
    <t>Félix de Tabüega</t>
  </si>
  <si>
    <t>la. Los pretendientes que no quisieren pasar á ella pueden tomar las instrucciones que necesiten de D. Félix de Tabüega , que vive calle del Carmen, mím. 3 , quarto a.° Don Pedro Giroud de Villette , adornista de casa y cámara de S. M., dueño de Ja Real fábrica de papeles pintados establecida en Ma</t>
  </si>
  <si>
    <t>de Tagle, Pedro</t>
  </si>
  <si>
    <t>Pedro de Tagle</t>
  </si>
  <si>
    <t>es, D. Joseph. de Tona, D. Juan Joseph de Fierro, D. Pedros Salcedo, D. Ignacio Muñoz de Cedenilla, D. Pedro de Tagle y D. Atanasio Sotelo. , Agrado de Capitán los Tenientes: en España, D. Manuel Chaperon y D. Leoncio Carrasco. Agrado de Teniente los Alféreces D. Dionisio Beccas y D. Miguel Sobrevill</t>
  </si>
  <si>
    <t>de Taranoo, Francisco</t>
  </si>
  <si>
    <t>Francisco de Taranoo</t>
  </si>
  <si>
    <t>os 11 caballeros Cadetes del regimiento de infantería de Valencia á presencia del Mariscal de Campo Don Francisco de Taranoo, Gobernador de la Plaza, Oficiales del estado Mayor y guarnición, y varias personas distinguidas , en el qual, por sorteo de papeletas, y contestaciones á las preguntas que se les</t>
  </si>
  <si>
    <t>de Tejada, Miguel</t>
  </si>
  <si>
    <t>Miguel de Tejada</t>
  </si>
  <si>
    <t>tes, y D. Antonio de Zamoranó. !í _ . ■ En América. - C D. Juan Bautista VaUlant, D. Pedro Garibay, D. Miguel de Tejada, P. Antonio Narvaez, el Conde Ruiz de Castilla, 0. Joaquín .Cabrera, Do? Rafael María Aguilar, D. Joseph Montero, D. Isidro jLimonta, tD; Joá-1 quin de Zubillága, D. Joseph Fernan</t>
  </si>
  <si>
    <t>de Terán, Joseph Antonio</t>
  </si>
  <si>
    <t>Joseph Antonio de Terán</t>
  </si>
  <si>
    <t>uel Aguirre, Don JuanNuñez , D. Juan Navarro , D. Anselmo Plaza , D. Francisco González de la Vega, D. Joseph Antonio de Terán, D. Vicente Vázquez, Don Juan Vázquez, D. Manuel Quiroga y Cornide, D. Gonzalo4H¿1 Lema, D. Xavier García Flores, D. Rosendo Abal, D. Juan Joseph. Navajas, D. Juan Patricio Rodríg</t>
  </si>
  <si>
    <t>de Terrazas, Martín</t>
  </si>
  <si>
    <t>Martín de Terrazas</t>
  </si>
  <si>
    <t>lt de Rocheneutre, y á Alféreces á los Cadetes D. Francisco Xavier de Cabanes, Don Manuel de Tovar, D. Martin de Terrazas y D. Juan Bautista Dusmet. En el regimiento de infantería de la Reyna ha promovido S. M. á segundo Subteniente al Sargento primero del de Cazadores Voluntarios de la Corona D. Joseph</t>
  </si>
  <si>
    <t>de Toda, Joseph</t>
  </si>
  <si>
    <t>Joseph de Toda</t>
  </si>
  <si>
    <t>iente D. Manuel de la Lastra : en el de Mallorca segunda Tenencia de granaderos ál segundo Teniente D. Joseph de Toda: én el de Asturias Compañía al Ayudante D. Jacinto.Salgados en</t>
  </si>
  <si>
    <t>de Toledo y Duboii, Joseph</t>
  </si>
  <si>
    <t>Joseph de Toledo y Duboii</t>
  </si>
  <si>
    <t>pantoso, 0. Pedro Hurtado de Corcuera, D. Simón Londoño y Collantes , D. Joseph Bustamante Mannque, D. Joseph de Toledo y Duboii &gt;&gt;30. Manoel Salayerriai¡y Sanchez , D.; JorgoGarcíá Giapitmir,.0*. Eugenio Vizcaíno y;Martinez*D.Jo*eph :de Ta^Puentey fÁran«ifen.* D? Joseph de SeqtleNLyjDuitrte^PtíPLadael haot</t>
  </si>
  <si>
    <t>de Toledo, Joseph</t>
  </si>
  <si>
    <t>Joseph de Toledo</t>
  </si>
  <si>
    <t>una Ración de la catedral de la Paz, vacante por ascenso de D. Luis Joseph de Artajona y Eslava , á D. Joseph de Toledo, Medio-Racionero de la propia; y para esta á D. Francisco Gutiérrez de Escotar, Cura Párroco de Guarina, en el mismo obispado. El Rey se ha dignado conceder agregación de Subtenie</t>
  </si>
  <si>
    <t>de Tolosa, Domingo</t>
  </si>
  <si>
    <t>Domingo de Tolosa</t>
  </si>
  <si>
    <t>s D. Gaspar Fernaiidez; á esta resulta al Subteniente D. Francisco Dugi, y á Subteniente, al Cadete D. Domingo de Tolosa. En cumplimiento de lo mandado por S. M. en Real Pragmática Sanción de 30 de Agosto de 1800, desde i.° de Abril próximo hasta 31 de Mayo se presentarán los Males de 6go y 300 peso</t>
  </si>
  <si>
    <t>de Tompson, Martín</t>
  </si>
  <si>
    <t>Martín de Tompson</t>
  </si>
  <si>
    <t>1047 Antonio Benavides, D. Joseph del Calvó, D. Martin de Tompson, D. Juan de Hevia , D. Diego Guillen, D. Julián Henriquez , D..Pedro Marín Fernandez , D. Vicente García y Navarro, y D. Hipólito Souvirao. • -i Em tercera :}echa.\ :-ú]&gt; .• -.r*</t>
  </si>
  <si>
    <t>de Toro y Toledo, Lorenzo</t>
  </si>
  <si>
    <t>Lorenzo de Toro y Toledo</t>
  </si>
  <si>
    <t>onio Miranda y Cosmea, D. Francisco Párraga, D. Vicente de la Torre Puebla ,D. Joseph Pardo y Lama, D. Lorenzo de Toro y Toledo, D. Leandro de Cáceres, D. Juan Izquierdo, D. Manuel de Lobo y Campo, D. Carlos Sellery, D. Lorenzo de la Puente, D, Ruperto Calderón,D. Pedro de Toro y Toledo, D. Carlos Engracia</t>
  </si>
  <si>
    <t>de Toro y Toledo, Pedro</t>
  </si>
  <si>
    <t>Pedro de Toro y Toledo</t>
  </si>
  <si>
    <t>quierdo, D. Manuel de Lobo y Campo, D. Carlos Sellery, D. Lorenzo de la Puente, D, Ruperto Calderón,D. Pedro de Toro y Toledo, D. Carlos Engracia Carrasco , D. Felipe Uriarte y Erquizia, D. Joaquín Delgado Fernandez, D.Francisco Xavier Radillo, D» Benito Basabe y UJente, Dón Francisco Toubes y Ordoñez, D</t>
  </si>
  <si>
    <t>de Toro, Blas</t>
  </si>
  <si>
    <t>Blas de Toro</t>
  </si>
  <si>
    <t>leo de Administrador del colegio de Santa Isabel de Madrid, vacante por dimisión que ha hecho de él D. Blas de Toro, á D. Francisco Xavier Cano, Capellán de Honor de S. M. : para el Beneficio de Chinchilla, en la diócesis de Cartagena, vacante por fallecimiento del Cardenal Celada* á D. Manuel</t>
  </si>
  <si>
    <t>de Toro, Francisco</t>
  </si>
  <si>
    <t>Francisco de Toro</t>
  </si>
  <si>
    <t>las Gas^s y Ruiz ; y en ei de Numancia á Sargento mayor al Capitán , graduado de Teniente Coronel, D. Francisco de Toro. El ltey se ha servido nombrar Guarda Almacén ordinario* de Artillería de la plaza de Alcudia al Sargento del mismo ramo D. Miguel Domingo. Ent América. S. M. se ha servido confer</t>
  </si>
  <si>
    <t>de Toro, Joseph Gregorio</t>
  </si>
  <si>
    <t>Joseph Gregorio de Toro</t>
  </si>
  <si>
    <t>ballería del Rey á Comandante de esquadron al Capitán de Carabineros, graduado de Teniente Coronel, D. Joseph Gregorio de Toro; á segundo Teniente al Alférez D. Vicente Novoa, y á Portaestandarte al Sargento D. Gabriel Rodríguez: en el de la Reyna á Alférez al Portaestandarte D. Ramón Calderón: en el del</t>
  </si>
  <si>
    <t>de Toro, Pedro Manuel</t>
  </si>
  <si>
    <t>Pedro Manuel de Toro</t>
  </si>
  <si>
    <t>ph María del Toro; á Subteniente de fusileros á D. Francisco de Lora, y á Subtenientes de bandera á D. Pedro Manuel de Toro y D. Joseph María Verastegúi. T También se ha servido el Rey conferir Compañía en el regimiento de dragones de Buenos-Ayres á D. Joseph Palavecino, Ayudante del de milicias disciplina</t>
  </si>
  <si>
    <t>de Torres Cónsul, Manuel</t>
  </si>
  <si>
    <t>Manuel de Torres Cónsul</t>
  </si>
  <si>
    <t>rá en. ellos conforme á derecho, y les parará el perjuicio que haya lugar. Por la audiencia del Sr. D. Manuel de Torres Cónsul , Teniente Corregidor de esta villa, y escribanía de su número que exerce D. Tomas de Sancha y Prado, se hallan pendientes los autos de abintestato y testamentaría de Juan Moscoso</t>
  </si>
  <si>
    <t>villa, por la escribanía de su numero que regenta Donjuán de Repide. , ... Por la audiencia del Sr. D. Manuel de Torres Cónsul , Teniente Corregidor de esta villa y escribanía del número de D. Tomas de Sancha y Prado, se están subastando dos casas.sitas en Ja villa de Vaidemoro y calles del Mediodía , del</t>
  </si>
  <si>
    <t>ancisco Camunez, Teniente dei de infantería de Puebla. Por la audiencia del Sr. Teniente Corregidor D. Manuel de Torres Cónsul , y escribanía del número de D, Tomas de Sancha y Prado, se subastan 31 pedazos de tierra sitas en término y jurisdicción de los lugares de los Carabancheles , Getafe y Villaverde</t>
  </si>
  <si>
    <t>está tasada en 381,866 rs. Quien quisiere hacer postura acuda ante el Señor I). Manuel de Torres Cónsul, Teniente Corregidor de esta villa, y por la escribanía de D. Casimiro Antonio Gómez, en el término de 30 dias contados desde 7 de este mes. En el anuncio inserto en la gazeta última sobre</t>
  </si>
  <si>
    <t>de Torres Cónsul, Manuel Vicente</t>
  </si>
  <si>
    <t>Manuel Vicente de Torres Cónsul</t>
  </si>
  <si>
    <t>a circulación son los que se publicaron en el suplemento á la gazeta de 31 del pasado. r Por ei Sr. D. Manuel Vicente de Torres Cónsul, Teniente de Corregidor de esta villa, se han señalado los dias 13 de Setiembre y siguientes que no sean festivos, á las 4 en punto de su tarde, para el sorteo que se ha de celebr</t>
  </si>
  <si>
    <t>11'deiAgosto ;ydos 3 sucesivos i , 2 y-3 deSetiembré. fr En la rifa que se ha practicado por el Sr. D. Manuel Vicente de Torres Cónsul v del Cónsejó¿dé S. M.* Teniente de Corregidor de* esta Villa, por lá escribanía de número de D. Francisco Jares Maldonado , ha caido la casa sita en el Real sitio de S. Lorenzo a</t>
  </si>
  <si>
    <t>Real cuerpo de Guardias de Corps al Guardia de la misma Compañía D. Tomas Despiiig. ■-•x Por el Sr. D. Manuel Vicente de Torres Cónsul, del Consejo de S. M., Teniente Corregidor de esta villa, se cita y emplaza á los parientes y demas personas que puedan tener derecho á los bienes que quedáron por muerte de D. Di</t>
  </si>
  <si>
    <t>de Torres Erraz-i, Blas</t>
  </si>
  <si>
    <t>Blas de Torres Erraz-i</t>
  </si>
  <si>
    <t>habiéndose extraviado, quien supiere de él avisará en S. Sebastian al referido Urrutia, en Madrid á D. Blas de Torres Erraz-i quin , Agente general de la provincia de Guipúzcoa, y en Cádiz al dicho D. Juan Francisco de. Lezera, de aquel comercio. Por providencia de. 1.1 de este mes del Sr. D. Manuel Pere</t>
  </si>
  <si>
    <t>de Torres y Cónsul, Manuel Vicente</t>
  </si>
  <si>
    <t>Manuel Vicente de Torres y Cónsul</t>
  </si>
  <si>
    <t>sin incluir lo que por dominio y señorío deba regularse. Quien quisiere comprarlo acuda ante el Sr. D. Manuel Vicente de Torres y Cónsul, Teniente Corregidor de esta villa, por la escribanía de D. Diego Benigno González, donde se admitirán las posturas que se hicieren en moneda metálica sonante; en inteligencia que</t>
  </si>
  <si>
    <t>de Torres y Portocarrero, Sebastián</t>
  </si>
  <si>
    <t>Sebastián de Torres y Portocarrero</t>
  </si>
  <si>
    <t>Lima, el empleo de Sargento mayor del batallón de Españoles de milicias de la misma ciudad. El Sr. D. Sebastian de Torres y Portocarrero, dd Consejo de S.M. en el Real y supremo de Castilla, Juez protector y presidente del curso de gramática y ortografía castellana, establecido en esta corte en la calle de Relatore</t>
  </si>
  <si>
    <t>de Torres, Antonio</t>
  </si>
  <si>
    <t>Antonio de Torres</t>
  </si>
  <si>
    <t>s primeros D. Pedro López, D. Remigio Romero, D. Antonio Romero, D. Esteban Dupré, dé granaderos, y D. Antonio dé Torres; y á los Cadetes D. Fernando Gandía y D. Ramón Quiñones : éri el cíe Milicias dé caballería de la misma plaza ha promovido S. M. á Capitan de Carabineros; al Cap itan del propio c</t>
  </si>
  <si>
    <t>de Torres, Diego</t>
  </si>
  <si>
    <t>Diego de Torres</t>
  </si>
  <si>
    <t>os intereses de S. M. ni de los particulares____Los discursos y justificaciones deberán dirigirse á D. Diego de Torres, Secretario de la sociedad, en todo el corriente año; y los autores de memorias y disertaciones enviarán en papeles cerrados sus nombres, los quales no se abrirán hasta la adjudic</t>
  </si>
  <si>
    <t>de Torres, Francisco</t>
  </si>
  <si>
    <t>Francisco de Torres</t>
  </si>
  <si>
    <t>D. Joseph Metzguer; y áD. Ignacio Paino y Mateos, grado de Milicias. En América, D. Pedro Salcedo, D. Francisco de Torres, D. Cárlos Larras, D. Joseph del Castillo, D. César Baibiam, D. Bartolomé Arguelles, D. Casimiro Montero, D. Antonio Montaña, D. Joseph S?avedra, D. Joseph Sastre, D; Francisco Nu</t>
  </si>
  <si>
    <t>de Torres, Joseph</t>
  </si>
  <si>
    <t>Joseph de Torres</t>
  </si>
  <si>
    <t>. En rudimentos.de latinidad, baxo la dirección de su maestro D. Andrés Beiztegui, los seminaristas D. Joseph de Torres, eí Marques de Iranda, D. Martin Esterripa, D. Ramón Carrillo, D. Francisco Barraicua, D. Mariano Zapata, D. Ramón Zuloaga y D. Luis Duran. En sintaxis, baxo la dirección de su ma</t>
  </si>
  <si>
    <t>, mán, D. Fernando Adan de Yarza, D. Manuel de la Riva Agüero, D. Joseph Cia, D. Leopoldo Menendez, D. Joseph de Torres, D. Joseph Munive, D. Luis Verganza, D. Luis Vidarte, D. Joachín del Rio, D. Francisco 1 respalacios , D. Francisco ÍNecochea , D. Joseph Gaitan , D. Mariano Zapata , D. Agustín y</t>
  </si>
  <si>
    <t>de Torres, Joseph Miguel</t>
  </si>
  <si>
    <t>Joseph Miguel de Torres</t>
  </si>
  <si>
    <t>31S D. Joseph Miguel de Torres : para la de Guarda de la Administración general dei arzobispado de México á D. Joseph Valladares : para la de Administrador del partido de Tamagua á D. Antonio Campos *, para la</t>
  </si>
  <si>
    <t>de Torres, Juan</t>
  </si>
  <si>
    <t>Juan de Torres</t>
  </si>
  <si>
    <t>ortaestandarte al Cadete D. Agustín López: en el de Húsares Españoles á segundo Teniente al Alférez D. Juan de Torres; y en el de dragones de Numancia á Capitán al Ayudante, graduado de Capitán, D. Ignacio Anuncibay. También ha provisto S. M. la Capellanía del segundo batallón del regimiento de i</t>
  </si>
  <si>
    <t>de Torres, Manuel</t>
  </si>
  <si>
    <t>Manuel de Torres</t>
  </si>
  <si>
    <t>ourt , Inspector general de caminos ; y de Oidor de la Chanciliería de Granada al Teniente de villa D. Manuel de Torres. También se ha servido nombrar para la Intendencia y Corregimiento de la provincia de \ralladolid, vacante por muerte de D. Joseph Ventura Perez de Lema, á D. Pascual Vallejo, que</t>
  </si>
  <si>
    <t>s números que se publicaron en el suplemento á la gazeta de 30 del pasado* Por la audiencia del Sr. D. Manuel de Torres, Teniente Corregidor de esta villa, y escribanía del número de D. Tomas de Sancha y Prado, se están subastando dos casas, sitas en la villa de Valdemoro y calles del Mediodía , de</t>
  </si>
  <si>
    <t>asadas en 47,474 rs., está sefíalado el dia 40 de este mes á las 11 y medía en la audiencia del Sr. D. Manuel de Torres, del Consejo de S. M., Teniente Corregidor de esta villa, ante D. Tomas de Sancha y Prado , Escribano de su número. Quien quisiere hacer postura á ellas acuda ame S. S. y dicha es</t>
  </si>
  <si>
    <t>e anunciará .oportunamente ai público por medio de 1 a gazeta y el diario. Por la audiencia del Sr. D. Manuel de Torres, Teniente Corregidor de esta villa, y escribanía del número de D. Tomas de Sancha y Prado, se están subastando dos casas sitas en la villa de Vaidemoro, y calles del Mediodía, del</t>
  </si>
  <si>
    <t>acuda ante dicho Se— fior Teniente por la citada escribanía. En virtud de providencia del mismo Sr. D. Manuel de Torres se .cita, llama y emplaza á Joseph Perez de Jél Rio y Paula López, ó sus herederos, criados que fiiéron de D. Francisco Echáuz, presbítero que. fué de esta vecindad, acreedores á</t>
  </si>
  <si>
    <t>203 rs., se ha señalado el 10 del corriente entre once y doce de su mafiana en la audiencia del &amp;r. D. Manuel de Torres, Teniente Corregidor de esta villa, por ante D. Antonio Fernandez, Escribano de su número. . Los.subscriptores al temo 1,° del Censor en la historia de Espafia, ó Censura de las q</t>
  </si>
  <si>
    <t>eparadas acuda ante dicho Señor y escribanía en eltérníin© deludías. Por la audiencia del mismo Sr. D. Manuel de Torres.y por.la,propia esc n baquía se subasta una tierra en el lugac de 'Viliaverde., copiada dá nian&gt;rrparte,ccÉi casa, jardín» charcon para pesca, aguas potables, estanqufescon^tc^aái</t>
  </si>
  <si>
    <t>iado todo ello eñ 1.051,911 rs. 5 mrs., que se vende «1 virtud de facultad Real, ha señalado el Sr. D. Manuel de Torres , del Consejo de S. M. , Teniente Corregidor de esta villa, el dia 6 de Octubre próximo en su audiencia de once á una de la mañana. Aventuras de Telémaco: nueva traducción por D.</t>
  </si>
  <si>
    <t>blica, con 3784 pies de sitio, en 92,143 rs. 23 mrs. Quien quisiere hacer postura acuda ante el Sr. D. Manuel de Torres, Teniente Corregidor de esta villa, que despacha la audiencia vacante, por la escribanía del número de D. Antonio Fernandez. La subasta de unas casas principales sitas en la calle</t>
  </si>
  <si>
    <t>in de Villarubia, léase de Vitlarubin. A voluntad de su dueño ,-y en virtud de providencias del Sr. D. Manuel de Torres, Teniente Corregidor dé* está villa, se ha sacado á subasta por término de 30 dias una huerta sita, en término la villa de Eegánésy dezmería de Butarque, de caber'como *j fanegas</t>
  </si>
  <si>
    <t>alguna de dichas fincas, acuda ála citada escribanía de Salazar hasta dicho dia. El mencionado Sr. D. Manuel de Torres ba señalado el 39 del corriente í las x* del día en su audiencia, y ante D; Antonio Fernandez, Escribano del número; pa*&gt; ra el remate dé las fincas siguientes: Unas casas prinéip</t>
  </si>
  <si>
    <t>ayor mal que pudiera sobrevenirles en las actuales circunstancias. En virtud de providencia del Sr. D. Manuel de Torres, del Consejo de S. N., Teniente Corregidor de esta villa, dada el 03 de este mes por la escribanía del numero de D. Juan Antonio de Urraza, se han mandado sacar nuevamente á publi</t>
  </si>
  <si>
    <t>les parará el perjuicio que baya lugar en derecho. * Por. providencia del Sr. i Teniente Corregidor D. Manuel de Torres y escrt* baiua dcl número de O, Santiago de; Estepar , se ha señalado el dia ió de eitfi mes, pafa .cl rémate 4 la, puertíi de su audiencia y hora de las 1 a, de las casas siguieqtes.</t>
  </si>
  <si>
    <t>se ha señalado el viernes 19 dei corriente entre 11 y si de su mañana en la audiencia del mismo Sr. D. Manuel de Torres, y por ante D. Antonio Fernandez, Escribano dé su mí mero; previniéndose que Has mejoras para ser ñdmisibléé deberán hacerse en dicha especie dé moneda me** siálica, y que ef rema</t>
  </si>
  <si>
    <t>hecho muy sensible la pérdida de este digno Prelado. ' Por la audiencia vacante que despacha el Sr. D. Manuel de Torres , del Concejo de S. M. , Teniente Corregidor de esta villa, y escribanía del numero del cargo de D. Antonio Fernandez , se ha mandado sacar á pública subasta por término de 30 día</t>
  </si>
  <si>
    <t>27 , 38 y 22 j y cou ellos-han ganado áorjtt^’ gádóiék 7&lt;o,i2o rs. _ • * ■ Por la audiencia del Sr. D. Manuel de Torres , Teniente Corregidor dié és’ra3 idó-MOntéhégroy táSadas en ¿S.Í543 rs. 8 roif'S.yy'daftfpdt-i lid id es. Quién quisiere hicer mejora acuda tinte dicho1 Srí^Tenícrftey f Jes¿i*ibá</t>
  </si>
  <si>
    <t>de Torres, Manuel Vicente</t>
  </si>
  <si>
    <t>Manuel Vicente de Torres</t>
  </si>
  <si>
    <t>tras dos el 18 á la:; IZ de su mafiaLa :t la puerta de la a udiencia de dicho Sr. Te!1ie~te. El Sr. D. Manuel Vicente de Torres, Teniente Corregidor ~e esta villa, ha seña... Jado los remates de fincas que se han de ceJebrar ~i 'las 1 ~ de su mañana á.las puertas de su auclier-cia en los dlas siguieates: e</t>
  </si>
  <si>
    <t>ita Pedro íbañez. El precio de cada billete es 4 rs. Y se previene que por auto proveído por el Sr. D. Manuel Vicente de Torres, Teniente de Corregidor de esta villa, en 30 de Marzo último, se ha señalado el término preciso y perentorio de 2 meses, que cumplen á fin del de Mayo, para proceder á la rifa sin</t>
  </si>
  <si>
    <t>Real sitio dé Aranjuez en la tienda del Rubio; y en Cádiz en ¿asa de D. Manuel Navarro. Por el Sr. D. Manuel Vicente de Torres, del Consejo de S¡ M., Teniente Corregidor deest a villa , se cita y emplaza á los administradores del estado de la Conquista y concurso de D. Luis Montero del Carpió /ó á quien l</t>
  </si>
  <si>
    <t>quiera hacer postyra á ella acuda ante dicho Sr. Juez y citada escribanía. Por la audiencia del Sr. D. Manuel Vicente de Torres, Teniente Corregido^ de esta villa, y citada escribanía se está subastando otra casa , sita en la calle de las Beatas , núm. 14 , manz. 498 , que contiene 2380^ pies, retasada en</t>
  </si>
  <si>
    <t>desde 41 de este mes, y cumplirá en el dia a® del próximo Agosto. En virtud de providencia del Sr. D. Manuel Vicente de Torres, del Consejo de S. M., Teniente Corregidor de esta villa , refrendada de D. Antonio Fernandez, Escribano de su número, se han sacado á subasta unas casas principales, sitas en la</t>
  </si>
  <si>
    <t>ó cada una de dichas posesiones, acudirá á la referida escribanía. En virtud de providencia del Sr. D. Manuel Vicente dé Torres ¿dei Consejo de S. M. , Teniente Corregidor de esta villa : se ha mandado convocar por edictos é Joseph Perca de Jél Rio y Paula Lopes, criados que fuéron del présbítéto Don Franc</t>
  </si>
  <si>
    <t>dia.$ de Noviembre próximo á las la de su mañana. El dia 26 dél corriente de once á una ante el Sr. D. Manuel Vicente de Torres, dei Consejo de S. M., primer Teniente Corregidor de esta villa, á presencia de S. S. y dél Escribano del número D. Antonio López de Salazar, á las puertas de la audiencia de dich</t>
  </si>
  <si>
    <t>e hicieren; y está sefialado para su remate el 30 de este.mes á las puertas de la audiencia del Sr. D. Manuel Vicente de Torres, Teniente Corregidor de esta villa. Quien quisiere comprar una viña, sita junto al camino que llaman del Pardo, de 345 cepas vivas, aunque viejas y maltratadas, sin cultivo ni ben</t>
  </si>
  <si>
    <t>as fincas el dia ¿o de éste mes á las xz.de su jnsfiana en la audiencia del Sr. Teniente Corregidor D. Manuel Vicente de Torres. La hacienda de campo sombrada la Pintada, término-de la villa de Alcalá de Guada y ra, ai pago del. Romeral, se vende á voluntad de sus dueños: consta de 300 aranzadfs de olivar</t>
  </si>
  <si>
    <t>Ramos para el Deanato de la metropolitana dé Zaragoza, debió decir á D. Antonio Romero. Por el Sr. D. Manuel Vicente de Torres, Teniente Corregidor dé esta viKa, se cita y emplaza por'segundo y último término i los defensores ó administradores del estado de la Conquista y concurso de D. Luis Montero del C</t>
  </si>
  <si>
    <t>ción, bondad, desinterés y rectitud formaban el carácter de este Ministro. Por la audiencia del Sr. D. Manuel Vicente de Torres , Teniente Corregidor de esta villa, y escribanía del número de D. Gervasio Fernandez Izquierdo, se está subastando una casa sita en esta corte, en la calle de Sta. Isabel, ndm 1,</t>
  </si>
  <si>
    <t>de Torres, Pedro</t>
  </si>
  <si>
    <t>Pedro de Torres</t>
  </si>
  <si>
    <t>mbrar para la Canongía de la colegial de S. Hipólito de la ciudad de Córdoba, vacante por muerte de D. Pedro de Torres, á D. Joseph de Priego é Hidalgo para el Beneficio Préstamo de la parroquia de S. Cipriano de Píllame, en el concejo de Castnllon, obispado de Oviedo, vacante por fallecimiento de</t>
  </si>
  <si>
    <t>de Torres, Sebastián</t>
  </si>
  <si>
    <t>Sebastián de Torres</t>
  </si>
  <si>
    <t>l 8.° exámen publico de los alumnos del curso de gramática y ortografía castellana. Presidió el Sr. D. Sebastian de Torres, del Consejo de S. M. en el de Castilla, y lo autorizó el Exc. Sr. Duque de Híjar, á quien estaba dedicado. Los alumnos, en las preguntas que les hicieron su catedrático D. Guille</t>
  </si>
  <si>
    <t>de Tovar, Manuel</t>
  </si>
  <si>
    <t>Manuel de Tovar</t>
  </si>
  <si>
    <t>deros D, Luis Perjgault de Rocheneutre, y á Alféreces á los Cadetes D. Francisco Xavier de Cabanes, Don Manuel de Tovar, D. Martin de Terrazas y D. Juan Bautista Dusmet. En el regimiento de infantería de la Reyna ha promovido S. M. á segundo Subteniente al Sargento primero del de Cazadores Voluntar</t>
  </si>
  <si>
    <t>de Trido, Ramón</t>
  </si>
  <si>
    <t>Ramón de Trido</t>
  </si>
  <si>
    <t>Ramón de Trido...., Roque, Antonia Díaz..... Cenicero....... Sto. Domingo. asa. a. Licenciado. Pablo Osaba................ Ped</t>
  </si>
  <si>
    <t>de Turnes, Joseph</t>
  </si>
  <si>
    <t>Joseph de Turnes</t>
  </si>
  <si>
    <t>iene: para una Canongía de la catedral de Mondoñedo, vacante por muerte de D. Tiburcio del Riego, á D. Joseph de Turnes, Racionero de la catedral de Tuy; y para otra déla colegial de Santa Fe de Granada , vacante por fallecimiento de D. Andrés Guerrero á D. Joseph Zarate y Vargas, Colegial en el de</t>
  </si>
  <si>
    <t>e D. Bernabé de Urculu, á D. Vicente de Ron : parada Ración de la de Tuy , vacante por promoción de D. Joseph de Turnes á una Canongía de la misma iglesia, á D. Bernardo Sánchez Cidras: para la Prestamera de Beteta, en la diócesis de Cuenca , vacante por renuncia de D. Mateo de Luna, á D. Antonio F</t>
  </si>
  <si>
    <t>de Ubau, Simón</t>
  </si>
  <si>
    <t>Simón de Ubau</t>
  </si>
  <si>
    <t>s mayores de las milicias disciplinadas de infantería de Goatemala á Tos Capitanes D. Juan Sánchez, D. Simón de Ubau y D. Andrés Gil Taboada, y á D. Juan Manuel Gil, Ayudantes que eran de las propias milicias; y Sargentos mayores de las de dragones á los Capitanes D. Alexandro Carrascosa y D. Pedro</t>
  </si>
  <si>
    <t>de Uclés y Sanmartín, Miguel</t>
  </si>
  <si>
    <t>Miguel de Uclés y Sanmartín</t>
  </si>
  <si>
    <t>lidad de los demás discípulos. Los pretendientes dirigirán sus memoriales á X). Miguel de Uclés y Sanmartín, Secretario de dicho Real cuerpo , hasta el día x.° de Setiembre, y el nombramiento se hará el i.° de Octubre* Hallándose concluida en la imprenta Real la impresión de la última entrega del D</t>
  </si>
  <si>
    <t>de Ugar, Ignacio</t>
  </si>
  <si>
    <t>Ignacio de Ugar</t>
  </si>
  <si>
    <t>ros al Subteniente de granaderos D. Lorenzo del Corral; á Subteniente de granaderos al de fusileros D. Ignacio de Ugar</t>
  </si>
  <si>
    <t>de Ugarte, Antonio</t>
  </si>
  <si>
    <t>Antonio de Ugarte</t>
  </si>
  <si>
    <t>escripción política de todo el globo, D. Joseph María Kindelan , D. Manuel de Lardizabal y Montoya, D. Antonio de Ugarte, D. Ignacio de Emparan, D. Joseph de Munive, D. Antonio Gilmán, D. Iñigo Ortés de Velasco, D. Antonio Tavira y D. Manuel de la Riva Agüero. En la lengua francesa, al cargo del pro</t>
  </si>
  <si>
    <t>de Uíloa Carvájál Roco de Go, Francisco</t>
  </si>
  <si>
    <t>Francisco de Uíloa Carvájál Roco de Go</t>
  </si>
  <si>
    <t>uque de Rivas» y Marques de Viilanuev* de Duero. . ;^ vjo 7 - ' ■ /'*' "" Llaves con Entrada. ’ ■ v D. Francisco de Uíloa Carvájál Roco de Go?dóy.» Díé joseph dé Mendoza Manuel; D. Joseph de Carvajal' Roco de Gódóy Videro y Motezu-^ ma; el Conde de San Xayier y Casa Larédb; D. Juan de Morales Guzmán? y^Tpvar; el. Conde</t>
  </si>
  <si>
    <t>de Ulloa, Martín</t>
  </si>
  <si>
    <t>Martín de Ulloa</t>
  </si>
  <si>
    <t>bre los duelos, desafíos y leyes de su observancia, con sus progresos hasta su total extinción, por D. Martin de Ulloa rz: Disertaciones sobre el origen y patria primitiva de les godoS', por D. Ignacio Lu?an y D. Martin de Ulloa.=Disertaciones sobre qual de los~Reyes godos fue y debe contarse prim</t>
  </si>
  <si>
    <t>de Uñarte y Lauda, Joachín</t>
  </si>
  <si>
    <t>Joachín de Uñarte y Lauda</t>
  </si>
  <si>
    <t>l abrió la sesión con un discurso sobre el verdadero espíritu social. El Dr. D. Joachín de Uñarte y Lauda, secretario del cuerpo, leyó una historia filosófica de su establecimiento y progresos, manifestando los diversos ramos de industria que ha promovido, y los estorbos que han detenido su prosp</t>
  </si>
  <si>
    <t>de Urbina, Joaquín</t>
  </si>
  <si>
    <t>Joaquín de Urbina</t>
  </si>
  <si>
    <t>s se ha servido .promover el Reyá primer Ayudante mayor al primer Teniente y segundo Ayudante mayor D. Joaquín de Urbina. ¡ Para el Gobierno del castillo de Santa Catalina de la plaza de Cádiz h* nombrado S.M. á D. Juan Antonio de La Viile, Capitán del regimiento de infantería de Guadalaxara. Quien</t>
  </si>
  <si>
    <t>de Ures, Francisco</t>
  </si>
  <si>
    <t>Francisco de Ures</t>
  </si>
  <si>
    <t>. . 109. 6. Muerto; Francisco de Ures.............. ,. Antonio, Dominica Castro. S. Esteban... Santiago....... , 131. 16. I¿. Cabo 2.0 Rafael Casado..</t>
  </si>
  <si>
    <t>de Uriz, Joaquín Xavier</t>
  </si>
  <si>
    <t>Joaquín Xavier de Uriz</t>
  </si>
  <si>
    <t>la Real casa y monasterio dé Roncesvalles, vacante por fallecimiento de D. Felipe Rubio de Celis, á D. Joaquín Xavier de Uriz, Arcediano dé Tabla ¿ Dignidad de la catedral de Pamplona: para la Dignidad de Arcediano de Velez de la ca-, tedral de Málaga, vacante por muerte de D. Juan Francisco Marín, á Don</t>
  </si>
  <si>
    <t>de Urraza, Juan Antonio</t>
  </si>
  <si>
    <t>Juan Antonio de Urraza</t>
  </si>
  <si>
    <t>de S. N., Teniente Corregidor de esta villa, dada el 03 de este mes por la escribanía del numero de D. Juan Antonio de Urraza, se han mandado sacar nuevamente á publica subasta por término de 35 dias las fincas siguientes: Una casa sita en esta corte y calle de S. Joseph, esquina álade Sta. María, mím. c</t>
  </si>
  <si>
    <t>de Urrutia, Joseph</t>
  </si>
  <si>
    <t>Joseph de Urrutia</t>
  </si>
  <si>
    <t>eldosrius, Marques de la Vera, y Marques de Malferit; y los Capitanes Generales Conde de Glimes , y D. Joseph de Urrutia. . Concurrieron también el Sr. Cardenal Nuncio , y todo el cuerpo diplomático, convidado por oficio del primer Secretario de Estado; y también se permitió la entrada á muchas pers</t>
  </si>
  <si>
    <t>de Urrutia, Sebastián</t>
  </si>
  <si>
    <t>Sebastián de Urrutia</t>
  </si>
  <si>
    <t>quarto principal ,ó al mencionado D. Joseph , en S. Sebastian. La viuda de D. Saturnino de Vicuña,y D. Sebastian de Urrutia, como testamentarios de dicho Vicuña, dirigieron desde la ciudad de S. Sebastian el 14 de Setiembre de 1801 á D. Juan Francisco deLezeta,de Cádiz,un vale Real de 300 pesos, crea*</t>
  </si>
  <si>
    <t>de Urtubey, Pedro Joseph</t>
  </si>
  <si>
    <t>Pedro Joseph de Urtubey</t>
  </si>
  <si>
    <t>nombrar para el Arcedianato de la catedral de Sta. Cruz de la Sierra, vacante por íallecimiento de D. Pedro Joseph de Urtubey, á D. Joseph Lorenzo Gutiérrez, Canónigo Lectoral de la misma : para una Ración de la catedral de la Paz, vacante por ascenso de D. Luis Joseph de Artajona y Eslava , á D. Joseph</t>
  </si>
  <si>
    <t>a la Canongía Penitenciaria de la catedral de Sta. Cruz de la Sierra , vacante por fallecimiento de D. Pedro Joseph de Urtubey, á D. Joseph Joachín de Velasco , Sacrista n mayor de dicha catedral: para la Canongía Doctoral de la de VaUadolid de Mechoacan , vacante por haber entrado en la Congregación del</t>
  </si>
  <si>
    <t>de Usátegui, Julián</t>
  </si>
  <si>
    <t>Julián de Usátegui</t>
  </si>
  <si>
    <t>: viuda de Gilí, hijos y sobrino, calle Imperial: D. Rafael Robina, plazuela de la Cebada: viuda de D. Julián dé Usátegui, plazuela de Sto; Domingo: librea ría de D. Elias Ranz, calle de la Cruz: D. Francisco María López MoreÍle, lonja.de especería, plazuela de Antón Martin : D. Fernando Varga, plazu</t>
  </si>
  <si>
    <t>de Ustariz, Joseph Joaquín</t>
  </si>
  <si>
    <t>Joseph Joaquín de Ustariz</t>
  </si>
  <si>
    <t>Canongía de la metropolitana de Lima , vacante por fallecimiento de D. Julián Carrion, al Racionero D. Joseph Joaquín de Ustariz ; y para la referida al Medio-Racionero D. Pedro Tadeo Bravo de Rivero. El Real y supremo Consejo de Castilla se ha dignado conceder facultad á la villa de la Solana, provincia de</t>
  </si>
  <si>
    <t>de Utrilla, Ramón María</t>
  </si>
  <si>
    <t>Ramón María de Utrilla</t>
  </si>
  <si>
    <t>mas López, DI Joseph González, D. Manuel Asensio, D. Joseph Francisco Díaz, D. Juan Afán de Rivera, D. Ramón María de Utrilla, D. Juan Antonio Cosío , D. Joseph Vaca, D. Francisco Man glano, D. Miguel García Sacristán , D. Bartolomé Sandoval, D. Rafael Tavira, D. Manuel de la Isla, D, Félix Pérez Vidal,</t>
  </si>
  <si>
    <t>de Ux, Joseph</t>
  </si>
  <si>
    <t>Joseph de Ux</t>
  </si>
  <si>
    <t>de besar la mano á SS. MM. y,AA. • v / i;-«&gt; Atendiendo S. M. :á idsí servicios y circunstancias de D. Joseph de Ux;-» iquia;y de D. Juan.Caldera; sé ha dignado concederles Cruces supernume-&lt;rarlas en la Real y distinguida orden de Carlos ni. . Madrid 22 dé Octubre» E 1 Rey se lia servido confe</t>
  </si>
  <si>
    <t>de Valaise, Conde</t>
  </si>
  <si>
    <t>Conde de Valaise</t>
  </si>
  <si>
    <t>aviso. Parece que se harán estipulaciones favorables al Rey deCerdeña: pues el Conde de Valaise, Ministro de S. M. Sarda en Petersburgo, ha pedido nuevamente que el Emperador se interese por su Soberano con el gobierno francés. Adviértese sin embargo que el Encargado de Negocios que e</t>
  </si>
  <si>
    <t>de Valbuena, Manuel</t>
  </si>
  <si>
    <t>Manuel de Valbuena</t>
  </si>
  <si>
    <t>udante general y Director del Real seminario de Nobles, y el Regente de estudios y segundo Director D. Manuel de Valbuena, con motivo de presentar los exemplares impresos de los certámenes públicos de todas las clases de ciencias y habilidades en que actualmente están repartidos los caballeros semina</t>
  </si>
  <si>
    <t>de Valdivielso, Estéban</t>
  </si>
  <si>
    <t>Estéban de Valdivielso</t>
  </si>
  <si>
    <t>......... D. Juan Casou y compañía. En Avila..............D. Fernando de Echepare. En Badajoz...... D. Estéban de Valdivielso. En Bdrcelona....... D. Ramón de Llordella é hijo. En Burgos....... ..... D. Andrés Frayle. En Cddtz...... D. Benito de la Piedra. En Cartagena........D. Manuel de Ozores. En Ciud</t>
  </si>
  <si>
    <t>.. D. Juan Casou y compañía. En Avila*...........*. D. Fernando de Echepare. - En Badajoz.......... D. Estéban de Valdivielso. En Barcelona........D. Ramón de Llordella é hijo. En Burgos*........... D. Andrés Frayle. En Cádiz................D. Benito de la Piedra. En Cartagena....... D. Manuel de Ozores.</t>
  </si>
  <si>
    <t>nCasou y compañía. En Avila............... D. Fernando de Echepare y sobrinos. En Badajoz.......... D. Estéban de Valdivielso. En Barcelona..D. Ramón de Llórdella é hijo. En Biirgos........ . D. Andrés Fraylé. En Cádiz......... . D. Benito dé la Piedra. En Cartagena........D. Manuel de Ozores. En Ciudad-</t>
  </si>
  <si>
    <t>de Valencia, Simón</t>
  </si>
  <si>
    <t>Simón de Valencia</t>
  </si>
  <si>
    <t>al Sargento mayor D. Juan Gautier; á esta resulta al Ayudante mayor, graduado de Teniente Coronel, D. Simón de Valencia; á Capitanes á D. Francisco Ximenez, D. Ignacio Padilla y D. Joseph del Toro, Tenientes de granaderos; á esta clase á los de fusileros Don Vicente Andino, D. Santiago de Córdoba y</t>
  </si>
  <si>
    <t>de Valenzuela, Manuel</t>
  </si>
  <si>
    <t>Manuel de Valenzuela</t>
  </si>
  <si>
    <t>: para una Ración de la metropolitana de Santa Fe , vacante por muerte de D. Santiago de Burgos, á D. Manuel de Valenzuela, Cura del pueblo del Sopo en dicha diócesis: para otra Ración de la catedral de Trux¡lio, vacante por fallecimiento de D. Bernabé Villalobos, á D. Pedro Joseph Valdivieso ; y para</t>
  </si>
  <si>
    <t>de Valladares, Pedro</t>
  </si>
  <si>
    <t>Pedro de Valladares</t>
  </si>
  <si>
    <t>ugar. En el juzgado del Sr. Alcalde de casa corte y D. Joseph Navarro, y escribanía de provincia de D. Pedro de Valladares , está radicada la testamentaría de Doña Tomasa Ribas, viuda deD. Juan del Canto, que falleció en ella abintestato el 14 de Febrero de 1801 ; se hizo almoneda de sus bienes, y por</t>
  </si>
  <si>
    <t>hecha postura en la misma cantidad en vales Reales, acuda á la escribanía de provincia que regenta D. Pedro de Valladares, que siendo arregladas se admitirán las que se hicieren en el término de 20 dias, y está señalado su remate para el dia 14 de Mayo próximo i la hora de las 12 de su mañana en la r</t>
  </si>
  <si>
    <t>Navarro y Vidal, á quien está cometida di-, cha Real facultad, y por la escribanía de provincia de D. Pedro de Valladares, que, se admitirán las que se hagan, no siendo manos muertas, Por no haber llegado á noticia de muchos, vecinos de Madrid la subscripción nue se publicó en 38 de Marzo último, par</t>
  </si>
  <si>
    <t>de Valladáres, Pedro</t>
  </si>
  <si>
    <t>Pedro de Valladáres</t>
  </si>
  <si>
    <t>h Navarro Vidal el jueves 13 del corriente á las 11 de su mañana en la escribanía de pro* vincia de D. Pedro de Valladáres. Los subscriptores al Compendio de los libros históricos de la santa Biblia, dedicado á la Reyna Ntra. Sra. por el P. Fernando de Scio, acudirán á recoger las entregas 43 y z&lt;5 de</t>
  </si>
  <si>
    <t>de Valleise, Conde</t>
  </si>
  <si>
    <t>Conde de Valleise</t>
  </si>
  <si>
    <t>ncia de S. M. varias experiencias curiosísimas sobre el galvanismo. Habiendo el Conde de Valleise, Ministro del Rey de Cerdeña en esta corte, presentado á Alexandro 1 las obras del Dr. Eloy de Careno sobre la inoculación de la vaccina en materia médica , S. M. en señal de satisfacción h</t>
  </si>
  <si>
    <t>de Varas Barnóla, Joseph</t>
  </si>
  <si>
    <t>Joseph de Varas Barnóla</t>
  </si>
  <si>
    <t>ntonio Leal de Ibarra, D. Juan de Vivero y Silva, D. Angel Texeyro y Zafra, D. Joseph María Autran, D. Joseph de Varas Barnóla, D. Bartolomé Pose Valledor, D. Juan Orozco y Herrera, D. Alexo Gutiérrez de Rubalcava, D. Martin Olavidey Andrade,D. Fernando Zambrano,D. Joseph Vertizveria, Don Joaquín Nuñez Fa</t>
  </si>
  <si>
    <t>de Vargas Varaez, Joseph</t>
  </si>
  <si>
    <t>Joseph de Vargas Varaez</t>
  </si>
  <si>
    <t>1040 quez Mondragon, D. Juan Joseph Martínez , D. Joseph de Vargas Varaez , D. Estanislao Juez Sarmiento ¿ D. Juan Pablo Podares , D. Francisco Uriarte y Borja,,D. Dionisio Alcalá Galiano, D. Cosme Chumica, Don Cayetano Valdés , D. Felipe Jado Cagigal M</t>
  </si>
  <si>
    <t>de Várgas, Antonio</t>
  </si>
  <si>
    <t>Antonio de Várgas</t>
  </si>
  <si>
    <t>e . ia comunidad de reUg.c»os capuchinos, diao el ap de Mayo de-tüoi ei J)r. U. Antonio de Várgas, Canónigo de la misma catedral. Contiene preciosas noticias y ¿arios suceso, de ia vida exemplar de este insigne varón : un quadecno en a 0 sucesos do de dicho Cabildo. Véndese á 4 rs. en l</t>
  </si>
  <si>
    <t>de Vargas, Joseph</t>
  </si>
  <si>
    <t>Joseph de Vargas</t>
  </si>
  <si>
    <t>inckel, D. Joseph Augusto S e la Porte, D. Juan Chrisóstomo de la Llave, el Condé de Castroterreño* D. Joseph de Vargas, D.JoaquinBlake, D. Carlos Luxan,D._ Vidal Marín, el Conde de Cotdagués, D. Francisco TefradellasyP. Manuel dé Mi randa, D. Rodulfo Gautier, Marques de CaSteldosrius, D. Juan Manu</t>
  </si>
  <si>
    <t>de Velasco, Joseph Joachín</t>
  </si>
  <si>
    <t>Joseph Joachín de Velasco</t>
  </si>
  <si>
    <t>la catedral de Sta. Cruz de la Sierra , vacante por fallecimiento de D. Pedro Joseph de Urtubey, á D. Joseph Joachín de Velasco , Sacrista n mayor de dicha catedral: para la Canongía Doctoral de la de VaUadolid de Mechoacan , vacante por haber entrado en la Congregación del oratorio de S. Felipe Neri de Mé</t>
  </si>
  <si>
    <t>de Velasco, Joseph María</t>
  </si>
  <si>
    <t>Joseph María de Velasco</t>
  </si>
  <si>
    <t>287 distinguido D. Joseph María de Velasco , y á Portaguión al Cadete Don Antonio Valverde. Estampa de Ntra. Sra. con su hijo en los brazos, en medio pliego de marca mayor , pintada por el célebre D. Rafael Mengs, grabada</t>
  </si>
  <si>
    <t>de Velasco, Julián</t>
  </si>
  <si>
    <t>Julián de Velasco</t>
  </si>
  <si>
    <t>er zelosa, comedia nueva en £ actos en prosa , tomada del francés de Mr. Desforges, y traducida por D. Julián de Velasco , representada en el coliseo de la calle de la Cruz. Se hallará en 8.°, á 3 rs. en la librería de Quiroga, calle de las Carretas. En la misma se venden todas las piezas del Teatro</t>
  </si>
  <si>
    <t>de Velasco, Manuel</t>
  </si>
  <si>
    <t>Manuel de Velasco</t>
  </si>
  <si>
    <t>desecar la de Ayora, para cuyo asunto concurriéron dos escritos. El premio de 200 rs* ofrecidos por D, Manuel de Velasco á D. Vicente Ignacio Franco , socio de mérito , y autor de la única memoria presentada sobre el modo de fomentar entre los labradores de este Reyno la cria de ganados lanar, va</t>
  </si>
  <si>
    <t>de Velascó, Manuel</t>
  </si>
  <si>
    <t>Manuel de Velascó</t>
  </si>
  <si>
    <t>elogio del M. R. P. Benito dé las Escuelas Pías, socio que' fué de número y mérito , y el contador D. Manuel de Velascó leyó un escrito sobre el estado de este Reyño con respecto á- las rdeñias provincias de España en su aspecto económico y agricultor durante la guerra,y de las mayores ventajas que</t>
  </si>
  <si>
    <t>s memorias que concurran á este premio deben estar presentadas en fin de Octubre próximo___El socio D. Manuel de Velasco, considerando que á pesar de la general población de este Reyno de Valencia, y de la facilidad de subdividir sus tierras, se encuentran algunos campos incultos, y otros sin el cul</t>
  </si>
  <si>
    <t>ciones baxo sus órdenes y dirección. desde el hiiado hasta su perfección y conclusión---- .El socio D. Manuel de Velasco , considerando que el mayor impulso que puede darse á nuestra industria es el introducir una gloriosa emulación entre los gremios, que los empeñe á exámenes anuales de sus talento</t>
  </si>
  <si>
    <t>ha junta: discurso de abertura, por el Sr. Marques de Valera : otro sobre la educación popular, por D. Manuel de Velasco: extracto de las actas del año de 1800, por D. Francisco Peyrolon : memoria histórica del establecimiento jie convoyes en Valencia, por D. Joseph Inocencio de Llano: informe sobre</t>
  </si>
  <si>
    <t>de Velaunde, Juan</t>
  </si>
  <si>
    <t>Juan de Velaunde</t>
  </si>
  <si>
    <t>otan.rMadrid x.9. de Agosto de 1802. &amp;. JÍntonio Gárcíade RoáC’ al*&gt;rt.i?&lt;;■&gt;.% ^ Por jubilación de D. Juan de Velaunde, médico titular de la ciudad de San* tander, se provee por aquel Ayuntamiento su plaza con 300 ducados .anuales dé sueldo ¿-con la obligación de asistir gratuitamente á los vednos</t>
  </si>
  <si>
    <t>de Ventades, Domingo</t>
  </si>
  <si>
    <t>Domingo de Ventades</t>
  </si>
  <si>
    <t>lorca por muerte de D. Guillermo Simó ,á D. Pedro Canet. El 28 de Setiembre del afio último remitió D. Domingo de Ventades , vecino de esta corte, á D. Tomas de Orue, del comercio de Bilbao , 2 vales de 300 pesos de i.° de Julio, núms. 70,500 y 34,997 , y otros 2 de igo pesos de is de Setiembre, núms.</t>
  </si>
  <si>
    <t>de Vera, Juan</t>
  </si>
  <si>
    <t>Juan de Vera</t>
  </si>
  <si>
    <t>garbe. . Asimismo se ha servido S. M. promover á Capitán del regimiento de caballería del Infante á D. Juan de Vera, que estaba agregado en esta clase al de cazadores de Sagunto; y á Teniente en el dicho del Infante al Alférez D. Joseph Villaroel : á Ayudante en el de caballería de Santiago al</t>
  </si>
  <si>
    <t>de Verac, Gabriel</t>
  </si>
  <si>
    <t>Gabriel de Verac</t>
  </si>
  <si>
    <t>l regimiento de Reales Guardias Walonas se ha servido promover el Rey á segundo Teniente al Alférez D. Gabriel de Verac. S. M. se ha servido promover'en el regimiento de caballería del Infante a primer Teniente al segundo Teniente D. Luís Rey: en el de dragones de Pavía á Teniente al Alférez D. Ant</t>
  </si>
  <si>
    <t>de Verdeja, Juan Manuel</t>
  </si>
  <si>
    <t>Juan Manuel de Verdeja</t>
  </si>
  <si>
    <t>metropolitana de' Charcas,' vacante por fallecimiento de D. Joseph de Suero González de Andrade, á D. Juan Manuel de Verdeja, Maestrescuela de la propia iglesia: para la Maestrescolía al Canónigo de gracia D. Gregorio Chuquiguanca: para esta Canongía al Racionero D. Pedro Joseph Mansilla: para esta Rado</t>
  </si>
  <si>
    <t>de Vergara, Juan</t>
  </si>
  <si>
    <t>Juan de Vergara</t>
  </si>
  <si>
    <t>te al Sargento D. Vicente Albarran ; y en el de Voluntarios de España á Ayudante al primer Teniente D. Juan de Vergara , y á Alférez al Cadete D. Domingo de OrejónAsimismo se ha servido S. M. conceder en el regimiento de caballería de</t>
  </si>
  <si>
    <t>de Vfllér y Be, Pedro</t>
  </si>
  <si>
    <t>Pedro de Vfllér y Be</t>
  </si>
  <si>
    <t>s á que ^'extienden y fedúcenlos deréchos dí lbs hijos naturáíés y sds d&amp;scendientés enEspafia: por Don Pedro de Vfllér y Be^mudez de Cistro, del colegio de Abogados de lá Real audiencia de Galicia. Dos consideraciones hacen á esta obra tan apreciable como necesaria : primera, porque ademas de manifesta</t>
  </si>
  <si>
    <t>de Viar, Diego</t>
  </si>
  <si>
    <t>Diego de Viar</t>
  </si>
  <si>
    <t>aa. 29. Id. Diego de Viar.............. Josef, María Vega............... San Juan de</t>
  </si>
  <si>
    <t>de Vibancó, Lorenzo</t>
  </si>
  <si>
    <t>Lorenzo de Vibancó</t>
  </si>
  <si>
    <t>s los otros dos las habían pasado por la inoculación de las naturales); por aviso que tuvo su primo Don Lorenzo de Vibancó, del valle de Mena, en donde también se practica, le envió un chico invacunado, robusto y bien complexionado, del qual prendió la quarta inoculación en su hijo-, y de este se han</t>
  </si>
  <si>
    <t>de Vidarte, Blas</t>
  </si>
  <si>
    <t>Blas de Vidarte</t>
  </si>
  <si>
    <t>Alférez D. Luis Mexía; yen el de Carabineros *de la Reyna María Luisa á segundo Teniente al Alíéiez D. Blas de Vidarte. También se ha servido S. M. promover en el regimiento de dragones del ley á Ayudante al Teniente D. Ignacio Pafeja; y en el de Villaviciosa 3&gt;axa el mismo empleo al Teniente D. J</t>
  </si>
  <si>
    <t>de Viedma, Andrés</t>
  </si>
  <si>
    <t>Andrés de Viedma</t>
  </si>
  <si>
    <t>sus fuerzas. Tan útü es tab lucimiento, á que está destinada la casa dé labor y piedad qué dirigen D Andrés de Viedma, Coronel de exéjfcito, y D. Juan Joseph de Aranda, Maectrai te, se sostiene á expensas de Den Fernando María de Valenzueia Prado , Director de este cuerpo; D. Joseph Martínez de M</t>
  </si>
  <si>
    <t>de Viegas, Simón</t>
  </si>
  <si>
    <t>Simón de Viegas</t>
  </si>
  <si>
    <t>otro decreto expedido en Zaragoza á 29 del citado mes de Agosto se ha servido S. M. nombrar al Sr. D. Simón de Viegas para la Fiscalía del Consejo Real, que resulta vacante por haber conferido plaza de Ministro del mismo Consejo al Sr. D. Felipe Ignacio de Canga Arguelles. Y siendo su Real volunt</t>
  </si>
  <si>
    <t>de Vienta, Romualdo</t>
  </si>
  <si>
    <t>Romualdo de Vienta</t>
  </si>
  <si>
    <t>nzas de plata. Pintura, á D&gt; francisco Idaser:^ escultura^ á D. Remigio de la Vega: arquitectura, á D. Romualdo de Vienta. Segundos premios. Medallas de tres onzas de plata á D. Antonio Poza y: Muñoz ,. y á D. Evaristo Rubian: escultura, á D. Juan Bautista: arquitectura á D. Miguel Antonio Maríchalar</t>
  </si>
  <si>
    <t>de ViHena, Joaquín Manuel</t>
  </si>
  <si>
    <t>Joaquín Manuel de ViHena</t>
  </si>
  <si>
    <t>Conde de Castrillo y Orgaz, D. Joseph Casamayor , D. Joseph GenaroSa-? lazar, D. Gerónimo la Grúa* D. Joaquín Manuel de ViHena, D. Luis Idia-’ quez, D.' Manuel Továrv -D.!‘Pascual1 de la V egay 0. R aymundo Capece Minutólo, D. Joseph Zarauz , D. Francisco- Salinas Moñino, 0. Pedrd Buch y O-Donell, D. Dieg</t>
  </si>
  <si>
    <t>de ViJlanueva, Juan</t>
  </si>
  <si>
    <t>Juan de ViJlanueva</t>
  </si>
  <si>
    <t>arca mayor , que representa á Jesús niño con la cruz acuestas : copiado de una efigie executada por D, Juan de ViJlanueva } dibuxada por D. Joseph del Castillo j y grabada por B. Joseph Martines de Castro. Se hallará á 3 rs. en las librerías dé Escribano, calle de las. Carretas, y de Cerro, red de S.</t>
  </si>
  <si>
    <t>de Villa y Gutiérrez, Pablo</t>
  </si>
  <si>
    <t>Pablo de Villa y Gutiérrez</t>
  </si>
  <si>
    <t>on Diego Ponce dé León, D. Rufino Torrcntcgui, D. Nicolás Rubín de Barrio, D. Isidro Gago y Abarca, D. Pablo de Villa y Gutiérrez, D. Joaquín Sanchiz Verenguer, D. Rafael de Lobo y Campo, D. Francisco Leceta y la Iglesia, D. Manuel Ocarol y Fuertes, D. Antonio Magadan y Entrenos, D. Norberto de Mella-y Barbe</t>
  </si>
  <si>
    <t>de Villa, Juan</t>
  </si>
  <si>
    <t>Juan de Villa</t>
  </si>
  <si>
    <t>acante por fallecimiento de D. Gaspar de Jove , á D. Joseph Díaz. Asimismo se ha servido conceder á D. Juan de Villa , Administrador del Correo general con honores y voto de Director general de Correos, los del Consejo de Hacienda, sueldo y antigüedad. Atendiendo el Rey al decadente estado de sa</t>
  </si>
  <si>
    <t>de Villafañe, Diego</t>
  </si>
  <si>
    <t>Diego de Villafañe</t>
  </si>
  <si>
    <t>lís y Becerra: para otra de Oidor de la misma Chancillería de Granada, vacante por fallecimiento de Don Diego de Villafañe, á D. Gabriel Suarez de Váleles : para otra de Oidor de la Audiencia de Sevilla, vacante por promoción de D. Joseph María Perez Valiente á Alcalde de casa y corte, á D. Isidoro Sa</t>
  </si>
  <si>
    <t>de Villanueva, Joachín</t>
  </si>
  <si>
    <t>Joachín de Villanueva</t>
  </si>
  <si>
    <t>ismo cotí el texto latino , é igual numero de estampas á 72 rs.: y otros de la traducción hecha por D. Joachin de Villanueva, adornados con 30 de las mismas estampas, á 62 rs. Catecismo pastoral y prontuario moral sagrado de pláticas doctrinales y espirituales sobre todos los puntos de la doctrina chris</t>
  </si>
  <si>
    <t>de Villanueva, Juan</t>
  </si>
  <si>
    <t>Juan de Villanueva</t>
  </si>
  <si>
    <t>de Intendente de provincia A D. Manuel de Abarróla, Comisario Ordenador de los Reales exércitos; á D. Juan de Villanueva, Comisario Ordenador honorario, y Arquitecto mayor de Reales obras y de la villa de Madrid, y á D. Francisco Jau« bert, Comisario Ordenador, que hizo de Ministro principal en el C</t>
  </si>
  <si>
    <t>Joseph María Abate , D. Diego García Conde, D* Francisco Frías,-D. Manuel Pastor, D. Pedro Quevedo, Don Juan de Villanueva, D. Domingo.de Aragón , D. Andrés Ximenez, Doti Tomas de Figueroa, D. Juan Francisco Sánchez, D. Juan Sayers, D. Ignacio Guarda, D. Joseph ParboyD. Pedro Joseph de Benavente, D. A</t>
  </si>
  <si>
    <t>de Villar, Ramón</t>
  </si>
  <si>
    <t>Ramón de Villar</t>
  </si>
  <si>
    <t>ph Antonio HerrezuéloD. Joseph Soto, D. Francisco Leysél, D. Mauricio de Zúñiga, D. Pedro Bermudez, D. Ramón de Villar, D. Francisco Collell, D. Cárlos Villemont, D. Tomas Portel), D. Nicolás Iberri, D. Manuel Benisia, D. Manuel Cevallos, D. Pedro Fabregues, D. Agustín Ramírez, D. Joseph María Aba</t>
  </si>
  <si>
    <t>de Villatoró, Ana María</t>
  </si>
  <si>
    <t>Ana María de Villatoró</t>
  </si>
  <si>
    <t>las Carretas y plazuela del Angel, núm. , manz. 206,7 propia del patronató y^ me^; morías que fundó Doña Ana María de Villatoró en la Iglesia parroquial de San— ta Cruz de esta corte , cou cierta carga de misas que se debe cumplir en el convento de Trinitarios calzados dé ella, tasada en 86,934 rs, 17 mrs. Q</t>
  </si>
  <si>
    <t>de Villena, Fernando Manuel</t>
  </si>
  <si>
    <t>Fernando Manuel de Villena</t>
  </si>
  <si>
    <t>ro Baylin, D. Bartolomé de Castro, D. Santiago Puig, Don Francisco Cortabarria, D. Antonio Maestre, D. Fernando Manuel de Villena, el Vizconde de Zolina, D. Juan Maduit, D. Juan O-Donojú y O-Rian, D. Joseph Valmaseda, D. Manuel Rizo, D. Francisco Pastor, D. Manuel Ignacio San Juan, D. Juan Senen de Contreras</t>
  </si>
  <si>
    <t>de Villeoa, Juan Manuel</t>
  </si>
  <si>
    <t>Juan Manuel de Villeoa</t>
  </si>
  <si>
    <t>gués, D. Francisco TefradellasyP. Manuel dé Mi randa, D. Rodulfo Gautier, Marques de CaSteldosrius, D. Juan Manuel de Villeoa, el Marques de Monsalud, D. Francisco Palafox, D. Joseph Ortiz, D. Carlos Aguado, D. Andrés López, D. Pedro Roca, D. Tomas de Jáuregui, D. Marcelo Hstranio, D. Salvador del Toro,</t>
  </si>
  <si>
    <t>de Vivero y Silva, Juan</t>
  </si>
  <si>
    <t>Juan de Vivero y Silva</t>
  </si>
  <si>
    <t>a Madrid, D. Agustín Wauters y Donesteves, D. Vicente Guillen y Busaran, D. Antonio Leal de Ibarra, D. Juan de Vivero y Silva, D. Angel Texeyro y Zafra, D. Joseph María Autran, D. Joseph de Varas Barnóla, D. Bartolomé Pose Valledor, D. Juan Orozco y Herrera, D. Alexo Gutiérrez de Rubalcava, D. Martin Ola</t>
  </si>
  <si>
    <t>de VÜle-oa, Fernando Manuel</t>
  </si>
  <si>
    <t>Fernando Manuel de VÜle-oa</t>
  </si>
  <si>
    <t>a servido el Rey conferir el empleo de Teniente Coronel del regimiento de caballería de. la Reyna á D. Fernando Manuel de VÜle-oa* Comandante de esquadron- del de caballería, del Rey. En América- El Rey se ha. servido conferir el Gobierno militar y político de la provincia de Móxos al Teniente Coronel D. Fel</t>
  </si>
  <si>
    <t>de VÜlena, Joachín</t>
  </si>
  <si>
    <t>Joachín de VÜlena</t>
  </si>
  <si>
    <t>primer Subteniente D. Juan Gómez : en el de Saboya á segundo Teniente al Subteniente de granaderos. D. Joachín de VÜlena: en el de Mallorca á primer Subteniente al segundo Subteniente D. Silverio Menduiña ; y en el batallón de infantería de Canarias á segundo Ayudante al segundo Teniente D. Miguel M</t>
  </si>
  <si>
    <t>de Woronzoff, Alexandro (conde)</t>
  </si>
  <si>
    <t>Conde Alexandro de Woronzoff</t>
  </si>
  <si>
    <t>Ít22 '• Ministro de Negocios extrangeros ha nombrado el Emperador al Conde Alexandro de Woronzoff, hermano mayor del Embaxadcr ruso en Londres; habia sido ya Ministro del comercio ; pero hace mucho tiempo que vivía en sus haciendas inmediatas á Moskow. Stockolmo jj) de Setiemb</t>
  </si>
  <si>
    <t>de Wurtemberg, Fernando (príncipe)</t>
  </si>
  <si>
    <t>Príncipe Fernando de Wurtemberg</t>
  </si>
  <si>
    <t>há hecho su viage,y particularmente eÓ Lembérg. Dícese que hoy llegará á esta capital: en erecto el Príncipe Fernando de Wurtemberg, comandante de Viena, ha salido á recibirle; y también se han enviado y apostado titos pata servicio de S. A*.-y de su comitiva hasta Stammetsdorf. - Ci- v v '-:«ájr ■ &lt; -r " - Rb</t>
  </si>
  <si>
    <t>de y Ansófeaga, Joseph</t>
  </si>
  <si>
    <t>Joseph de y Ansófeaga</t>
  </si>
  <si>
    <t>de lío^ai ^lÜdlf^ LeónesyAlburquerqueyD.JoséphNaftezyXopez-deHaró, TK^FiíÉñícisco Henrile y Alcédó, D. Joseph de y Ansófeaga ,* D.rJ&amp;anlGfál¿ deando Zaldnendo, D.Joseph'Bürgues de Mfesiez}, D.; Jóseph* Solis -Brazuelo , D. Manuél Lizarray Tarriba, D* Joslj^h' ^fiaty ííavárroj Don Pedro’CUzqueta^y Soroa</t>
  </si>
  <si>
    <t>de Yebra, Francisco</t>
  </si>
  <si>
    <t>Francisco de Yebra</t>
  </si>
  <si>
    <t>actos. Precedió una disertación alusiva al asunto, que dixo él maestro directo^ de la misma escuela D. Francisco de Yebra; y después en las diferentes sesiones que se siguieron, sin interrupción, de mas de dos horas cada una, fuéroa examinados por suerte D. Joseph Blanco, D. Agustín Deifez, D. Martin</t>
  </si>
  <si>
    <t>de Yeste, Francisco</t>
  </si>
  <si>
    <t>Francisco de Yeste</t>
  </si>
  <si>
    <t>Tavira, D. Manuel de la Isla, D, Félix Pérez Vidal, Francisco de Paula Pa^ía, D. Fernando Sandoval, D. Francisco dé Yeste , D. Lorenzo Villavicencio, D. Agustín Rodríguez, D. Juan Bascon , D. Peclro Celés'tino Calvo, D. Henrique Texerizo, D. Benito Tolra Lafita , D. Serafín Alonso, D. Rafael Nestares</t>
  </si>
  <si>
    <t>de Yriarte, Juan</t>
  </si>
  <si>
    <t>Juan de Yriarte</t>
  </si>
  <si>
    <t>latina , escrita con nuevo método y nuevas observaciones en verso castellano con su explicación por D. Juan de Yriarte: quarta edición. Véndase fin la librería de Baylo , calle de las Carretas. ■ ^ SUPLEMENTO</t>
  </si>
  <si>
    <t>de Zamoranó, Antonio</t>
  </si>
  <si>
    <t>Antonio de Zamoranó</t>
  </si>
  <si>
    <t>;Diez dé4,Riv¿rí¿ P; Antonio Galiano, el Matques dé Mos, D¿ António Arce * D. Gerónimo Cifuentes, y D. Antonio de Zamoranó. !í _ . ■ En América. - C D. Juan Bautista VaUlant, D. Pedro Garibay, D. Miguel de Tejada, P. Antonio Narvaez, el Conde Ruiz de Castilla, 0. Joaquín .Cabrera, Do? Rafael María Agu</t>
  </si>
  <si>
    <t>de Zelaya, Juan Joseph</t>
  </si>
  <si>
    <t>Juan Joseph de Zelaya</t>
  </si>
  <si>
    <t>a de Cauquenes en Ig jnismadiocesis j y para otraCanongíadela de Nicaragua, vacante por romocion^de D. Juan Joseph de Zelaya á Maestrescuela de ella, á Don Í 'edro de Castro y, Somo^a * Sacristán mayor de la propia santa iglesia. . S.^M. se h'a dignado nombrar para la Fiscalía del Crimen de la Audienr c</t>
  </si>
  <si>
    <t>de Zuloaga, Ramón</t>
  </si>
  <si>
    <t>Ramón de Zuloaga</t>
  </si>
  <si>
    <t>profesor de humanidades, D. Antonio Gilmán, D. Antonio Tavira, D. Rodrigo Tavira, D. Pedro Tavira, D. Ramón de Zuloaga, D. Manuel Claessens, Don Manuel de la Riva Agüero, D. Antonio de Ugarte, D. Joseph Cia, Don Fernando Adan de Yarza, D. Sebastian de Lasa, D. Joseph María Kindelan, D. Leopoldo Me</t>
  </si>
  <si>
    <t>de Zúñiga, Bernardo</t>
  </si>
  <si>
    <t>Bernardo de Zúñiga</t>
  </si>
  <si>
    <t>32. 20. Presidio. Bernardo de Zúñiga......... Francisco, Ramona López. Avellano....: Navarra........ 3. 29. Id. Andrés Arias............ Medino,</t>
  </si>
  <si>
    <t>de Zúñiga, Joseph</t>
  </si>
  <si>
    <t>Joseph de Zúñiga</t>
  </si>
  <si>
    <t>. Joseph de Chastre, D. Manuel Astor, Don Ramón Mijares, D. Francisco Alegría, D. Francisco Arnedo, D. Joseph de Zúñiga, D. Alberto Maynes, D. Joseph. de Tona, D. Juan Joseph de Fierro, D. Pedros Salcedo, D. Ignacio Muñoz de Cedenilla, D. Pedro de Tagle y D. Atanasio Sotelo. , Agrado de Capitán los</t>
  </si>
  <si>
    <t>de Zuniga, Rafael</t>
  </si>
  <si>
    <t>Rafael de Zuniga</t>
  </si>
  <si>
    <t>. Diego Orbaneja, D. Joseph Medrano, D. Joaquín de la Chica, D. Agustín Cabrera, D. Antonio Franchi,D. Rafael de Zuniga, D. Gerónimo Martin Cortés, D. Ramón Bétes, D. Francisco Portillo, D. Tomas Salcedo, D. Fernando Moyano, D. Juan Alabés, D. Juan Macarti, 0. Dionisio Sánchez, D. Joseph Chardenoux</t>
  </si>
  <si>
    <t>Deada, Domingo</t>
  </si>
  <si>
    <t>Domingo Deada</t>
  </si>
  <si>
    <t>8a. 28. Id. Domingo Deada................ . Simón, Manuela Trigo.... Señorin de... Pastovia..... 147. 11. Id. Cabo i.® Ambrosio Beteta. . Antonio, Vicenta Soria.... Pastrana..•... Pastrana..... 243. 31</t>
  </si>
  <si>
    <t>Debelie, General</t>
  </si>
  <si>
    <t>General Debelie</t>
  </si>
  <si>
    <t>o de Enneri y los Gonaives; y á íin de acorralarlos quanto fuese posible en aquel paráge , envié al General Debelie al Puerto de Paz con una división. Hallábase el General Maurepas con 2© hombres de tropa y 20 cultivadores, atrincherado á dos leguas de aquella ciudad en el desfiladero de ios Tr</t>
  </si>
  <si>
    <t>s enemigos. El 27 viendo el General Maurepas que no le quedaba retirada ninguna, envió diputados al General Debelie ofreciendo someterse á las condiciones propuestas en mi proclama en que prometo conservar sus grados á los oficiales que se rindan; y el General Debelie erndescendió con su instan</t>
  </si>
  <si>
    <t>Debelle, General</t>
  </si>
  <si>
    <t>General Debelle</t>
  </si>
  <si>
    <t>ampaña el 16 ¿ juzgó conveniente enviar 1500 hombres al Puerto de Paz para otra empresa confiada ai General Debelle. El negro Maurepas, que hacia frente á este, noticioso de la marcha victoriosa del G eneral en xefe, y de que se hallaba cerca de sil retaguardia, como también de ia fuga precipit</t>
  </si>
  <si>
    <t>4 66 después volvió á salir con el General Debelle para incorporarse con el Ge-* neral en xefe. La división del Contra-Almirante Linois llegó el dia 28 con algunas tropas á la rada Ael Cabo , no dexando en el Puerto de Paz sino la</t>
  </si>
  <si>
    <t>Debelloy</t>
  </si>
  <si>
    <t>embros de^ dicho consejo. Conforme á esto os propongo él proyecto dé decretó siguiente: Articuló 1. Mr. Debelloy, Arzobispo de P.aris, es ^ nombrado individuo del consejo general administrativo dé socorros y hospitales de esta ciudad. ii.t Se encarga ai Ministro de lo Interior la éxecucion/d</t>
  </si>
  <si>
    <t>Dechaux</t>
  </si>
  <si>
    <t>s y papeles que se han juntado para esta empresa, en la qual toma S. M. el mayor interes. Su lector Mr. Dechaux, que está encargado de la traducción francesa, ha leído aLSoberano varias composiciones de las que han de entrar en la obra, entre ellas el elogio de Torstenson, y una comedia int</t>
  </si>
  <si>
    <t>Dedemm, General</t>
  </si>
  <si>
    <t>General Dedemm</t>
  </si>
  <si>
    <t>hicieron todos los* honores militares. Parnia 2.$ de Febrero. - &gt; E l 18 por la noche vino aquí el General Dedemm, Enviado extraordinario de la República bátava, que va á cumplimentar al Rey de Etruria : le acompañad Coronel Villers , agregado á la plana mayor del exército bátavo. El Consejer</t>
  </si>
  <si>
    <t>Deden</t>
  </si>
  <si>
    <t>s. El 31 de Marzo llegó aquí el General Vignole con su familia, como también el ciud. Deden, Enviado extraordinario y Ministro plenipotenciario cerca del Rey de Etruria. Al dia siguiente fueron presentados á S. S, por el Ministro de Francia Cacault;y</t>
  </si>
  <si>
    <t>Dedern</t>
  </si>
  <si>
    <t>han quedado casi desiertos. ipara 14 de Febrero. H a vuelto á Constantinopla el ciud. Dedern, Ministro de la República ¿áta.va cerca del Gran Señor. Los oficiales de la esquadra del Almirante Dewinter tienen orden de no salir de sus respectivos buques</t>
  </si>
  <si>
    <t>Défermont</t>
  </si>
  <si>
    <t>ares, y un Secretario general. El empleo de Director general se ha conferido al ciud. Défermont, los de Directores particulares á los ciudadanos Agier, Guilieaume, Ruffault, Serretin y Denormandie, y el de Secretario general al ciüd. Crespeaux. El ciud. T</t>
  </si>
  <si>
    <t>Deifez, Agustín</t>
  </si>
  <si>
    <t>Agustín Deifez</t>
  </si>
  <si>
    <t>ron, sin interrupción, de mas de dos horas cada una, fuéroa examinados por suerte D. Joseph Blanco, D. Agustín Deifez, D. Martin Abel enda, D. Andrés Rodríguez, D« Luis Barrera y D. Joseph Fivadulla, en aritmética: D. Pédro Gómez y D. Rafael Cobian, en aritmética y geometría D. Agustín Mellon, Ca</t>
  </si>
  <si>
    <t>Dejean, General</t>
  </si>
  <si>
    <t>General Dejean</t>
  </si>
  <si>
    <t>32? ono para el gobierno, y el otro para el'General Dejean , Ministro extraordinario francés. Este comunico poco después al gobierno en junta extraordinaria una carta de su ministerio que le manda Se traslade á Paris; y con este motivo re</t>
  </si>
  <si>
    <t>del Acebo, Domingo</t>
  </si>
  <si>
    <t>Domingo del Acebo</t>
  </si>
  <si>
    <t>60. 27. Id. Domingo del Acebo............ Eugenio, Benita Prado.... Peña iba......... Peñalba......... 60. 49. Id. Antonio Sánchez................. Bernardo; Maria Ma</t>
  </si>
  <si>
    <t>del Alcázar, Ignacio</t>
  </si>
  <si>
    <t>Ignacio del Alcázar</t>
  </si>
  <si>
    <t>erica. S, M, ha promovido á Capitanes dei regimiento de infantería Real de Orna al Capitán graduado D. Ignacio del Alcázar, Ayudante dei mismo cuerpo, y I D. Antonio Leída!, Teniente de granade-' ros; á Ayudante al Teniente D. Pedro López; á-Teniente de granaderos aj de fusileros D. Fernando Barrantes</t>
  </si>
  <si>
    <t>del Barco, Joaquín</t>
  </si>
  <si>
    <t>Joaquín del Barco</t>
  </si>
  <si>
    <t>ní deiá ide Santa Fe, vacante por promoción de Dbii Manuel Valenzuela á una Ración de la propia , á D. Joaquín del Barco* Cura de ia expresada catedral. .nU/También se ha servido S. M. promoverá Coronel del regimiento dé infantería de la Havana al Brigadier Magues de Casa-Calvo, Teniente'Coronel del</t>
  </si>
  <si>
    <t>del Barrio, Francisco</t>
  </si>
  <si>
    <t>Francisco del Barrio</t>
  </si>
  <si>
    <t>13. 18. Id. Francisco del Barrio........... Blas, Josefa Rey................ Vanuncias.... León.............. 348. 40. Id. Luis Alonso......................... Josef, Ana María Diez......... Salinas.....</t>
  </si>
  <si>
    <t>del Burgo, Manuel</t>
  </si>
  <si>
    <t>Manuel del Burgo</t>
  </si>
  <si>
    <t>fallecimiento de D. Pedro Fermín de Indart: para la de Oficial mayor primero ha nombrado al segundo D. Manuel del Burgo, dando los ascensos correspondientes á los demas. Oficiales que le siguen, y para la resulta que queda vacante á D. Marcelo de Ondarza. Debiendo salir para el dia í.° de Noviembre</t>
  </si>
  <si>
    <t>del Busto, Miguel</t>
  </si>
  <si>
    <t>Miguel del Busto</t>
  </si>
  <si>
    <t>Uria , D. Manuel- de Camba -y Leys, D. Salvador Escandon y Antayo, D. Asiutin Maldonadoy Piméntel,:D. Miguel del Busto, D. Manuel Fu-* ne?&gt;, IX Vicente Burragi, D. Manuel Echevarría, D. Miguel Tacón, Don ~ T' ^ ü*t:—Ívnr/lííín . h/Hípon flp TnrD. Meliton Fere* del tamino, u. Ignacio uc..vi4u^ teo</t>
  </si>
  <si>
    <t>del Calvó, Joseph</t>
  </si>
  <si>
    <t>Joseph del Calvó</t>
  </si>
  <si>
    <t>1047 Antonio Benavides, D. Joseph del Calvó, D. Martin de Tompson, D. Juan de Hevia , D. Diego Guillen, D. Julián Henriquez , D..Pedro Marín Fernandez , D. Vicente García y Navarro, y D. Hipólito Souvirao. • -i Em tercera :</t>
  </si>
  <si>
    <t>del Campo y Umaran, Antonio</t>
  </si>
  <si>
    <t>Antonio del Campo y Umaran</t>
  </si>
  <si>
    <t>x ‘ .En frimero, fetha* .r-n...* -T J 0J Francisco de Castro y XerezyD. Matíaslrigoye-n y Quintana, Don Antonio del Campo y Umaran , D. Pedro de Chaves y Liaño, D. J ¿seph Sroithy Dia*,D; Beato de Micheo éIndacochea, 0. Mknuel López de Castro y Gómez *; 0.Joaquín de Santiago y García det Viso, D. Manuel Am* b</t>
  </si>
  <si>
    <t>del Campo y Valdes, Juan</t>
  </si>
  <si>
    <t>Juan del Campo y Valdes</t>
  </si>
  <si>
    <t>habiéndose dado principio y concluido el acto con dos oraciones que leyéron el referido Beaumont y D. Juan del Campo y Valdes, alusivas al objeto de aquella lucida y numerosa concurrencia. En la gazeta núm. 26 se puso en el capítulo de Madrid para el Arcedianato de Ayllon, Dignidad de la catedral de Sigi</t>
  </si>
  <si>
    <t>del Campo, Joseph</t>
  </si>
  <si>
    <t>Joseph del Campo</t>
  </si>
  <si>
    <t>D. Joseph Villaroel : á Ayudante en el de caballería de Santiago al Teniente, graduado de Capitán, D. Joseph del Campo; y i Alférez en el mismo al'Cadete D. Diego de Aguirre. S. M. se ha servido nombrar.para la Vara de Alcalde mayor Teniente dé, Corregidor mas moderno de Madrid , que resulta vacan</t>
  </si>
  <si>
    <t>del Campo, Manuel</t>
  </si>
  <si>
    <t>Manuel del Campo</t>
  </si>
  <si>
    <t>...... S07. 17* Id. Manuel del Campo............. Vicente, María Pestaña... Viñales.......... León ............. 540. 14/Id. Francisco Veazqua............. Gabriel, Libretas Martinez. Gabarros....... León.....</t>
  </si>
  <si>
    <t>del Campo, Pedro</t>
  </si>
  <si>
    <t>Pedro del Campo</t>
  </si>
  <si>
    <t>á jas que pretendan tener derecho al mayorazgo qué con Real facultad fundé J&gt;. Pedro del Campo , vecino que fue de la ciudad de Segovia, por escritura que otorgó en ella á 17 de Noviembrq jije, 1.531 aqjte Miguel Kufiez , Escribano de su humero , para que. dentro de 30 dias qué. se</t>
  </si>
  <si>
    <t>del Campo, Rafael</t>
  </si>
  <si>
    <t>Rafael del Campo</t>
  </si>
  <si>
    <t>eniente al Subteniente de granaderos D. Francisco Dugi; á Subteniente de granaderos al de fusileros D. Rafael del Campo, y á Subteniente al Sargento primero D. Juan Arteaga. En el Real cuerpo de Artillería ha promovido S. M. á. Teniente Coronel al Sargento mayor del sexto batallón D. Martin García</t>
  </si>
  <si>
    <t>del Caño, Juan Bautista</t>
  </si>
  <si>
    <t>Juan Bautista del Caño</t>
  </si>
  <si>
    <t>de Mata Herrera y Oca, D. Antonio Manrique, D. Antonio Garzón, D. Juan Muñoz, D. Alfonso de Ortega, Don Juan Bautista del Caño , D. Rafael Sánchez de Sandino, Juan de Roxas, Francisco de Yera, Pedro Martin, Francisco de Montes y Juan Cobo; y atendiendo dicho Sr. Corregidor á la pobreza de algunos jóvenes</t>
  </si>
  <si>
    <t>del Caño, Pedro</t>
  </si>
  <si>
    <t>Pedro del Caño</t>
  </si>
  <si>
    <t>ron á dichos certámenes. En la primera clase fuéron premiados D. Pablo Alonso, D. Agapito Martínez, D. Pedro del Caño y D. Joseph Gallarte. En la segunda D. Romualdo Merino» D. Nicolás Casaba!, Dpn Nicolás Ramírez, D. Lucas de Soto, D. Fructuoso Cariñena, D* Patricio Gómez, D. Manuel Martínez-, D. Di</t>
  </si>
  <si>
    <t>del Canto, Rafael</t>
  </si>
  <si>
    <t>Rafael del Canto</t>
  </si>
  <si>
    <t>deí de Mallorca D. Joseph Bermudez de Castro , y á Subteniente de granaderos al primer Subteniente D. Rafael del Canto: en ei de las Ordenes Militares á primer Teniente al segundo de granaderos D. Ignacio Espinosa: en el de Voluntarios de Castilla á Ayudante al primer 1 emente D. Joseph María Zaro</t>
  </si>
  <si>
    <t>del Castiho, Francisco Luis</t>
  </si>
  <si>
    <t>Francisco Luis del Castiho</t>
  </si>
  <si>
    <t>nacio uc..vi4u^ teo Alendólo Vologoini.'D..Antonio Rarzohy Alc.bar, D. N.colas DanreR y l-ándelino, D. Francisco Luis del Castiho , D. Juan v.anz, D.Franciscó Matheus, D. Angel Laborde y Navarro, D. Gabriel Antolinez y Salazar, D. Fernando Govantes y Valdivia,.D..Joaquín de Arce y Fronce-, da , D. Toaquin Me</t>
  </si>
  <si>
    <t>del Castillo y Armenia, Joseph</t>
  </si>
  <si>
    <t>Joseph del Castillo y Armenia</t>
  </si>
  <si>
    <t>dasano y Ros, D. Joseph del Rio Noguerido , ; D¿ Joseph Diaz Melendez, D. Manuel de Cañas Truxillo, D. Joseph del Castillo y Armenia, D. Antonio Palomar y Arias, D. Manuel de Palacios, D. Henrique O-Dogherti, D. Jacinto Romarota y Salamanca^D. Joseph Corones y Alberola, D. Nicolás dé la Vega y San Julián, D. Ma</t>
  </si>
  <si>
    <t>del Castillo y Castro, Diego</t>
  </si>
  <si>
    <t>Diego del Castillo y Castro</t>
  </si>
  <si>
    <t>rónimo Fernandez dé Fuenmaybr, D. Alezo Ponce de León y Molejón , ,D. "Guillermo Auvarede: y Perez, D. Diego del Castillo y Castro, D. Sebastian Rodríguez de: Arias y la; Puente, D. Juan Barrera y Amiot, D. Rafael de Quésada y Axango, P. Francisco Ponce de León y Morejon, D. Juan Navarro y Pinillos, D. Rafael</t>
  </si>
  <si>
    <t>del Castillo y Rada, Rafael</t>
  </si>
  <si>
    <t>Rafael del Castillo y Rada</t>
  </si>
  <si>
    <t>t, D. Rafael de Quésada y Axango, P. Francisco Ponce de León y Morejon, D. Juan Navarro y Pinillos, D. Rafael del Castillo y Rada, D. Juan Muñoz y Abreu, D. Matías Arauco, D.. Antonio de Lema,D. Joseph López, D, Joseph de Piles,D. Martin de Jáuregui, D. Cayetano Muller, D, Juan Romay, D. Felipe del Saso , D.</t>
  </si>
  <si>
    <t>del Castillo, Joseph</t>
  </si>
  <si>
    <t>Joseph del Castillo</t>
  </si>
  <si>
    <t>iño con la cruz acuestas : copiado de una efigie executada por D, Juan de ViJlanueva } dibuxada por D. Joseph del Castillo j y grabada por B. Joseph Martines de Castro. Se hallará á 3 rs. en las librerías dé Escribano, calle de las. Carretas, y de Cerro, red de S. Luis. EN LA IMPRENTA REAL* "</t>
  </si>
  <si>
    <t>Mateos, grado de Milicias. En América, D. Pedro Salcedo, D. Francisco de Torres, D. Cárlos Larras, D. Joseph del Castillo, D. César Baibiam, D. Bartolomé Arguelles, D. Casimiro Montero, D. Antonio Montaña, D. Joseph S?avedra, D. Joseph Sastre, D; Francisco Nuñez, D. Maximiliano Saut Maxent, D. Tadeo</t>
  </si>
  <si>
    <t>del Castillo, Joseph Ignacio</t>
  </si>
  <si>
    <t>Joseph Ignacio del Castillo</t>
  </si>
  <si>
    <t>bla á Don Joseph Cosío: para la de Oficial i.° de la Mesa del Viento y Pulques de la misma Aduana á D. Joseph Ignacio del Castillo: para Ensayador 2.0 de número de la Real Casa de Moneda de México á D. Tomas Butrón: para Ensayador i.° supernumerario de la misma Real Casa á D. Henríque Buenaventura Azorin: par</t>
  </si>
  <si>
    <t>del Castillo, Pedro</t>
  </si>
  <si>
    <t>Pedro del Castillo</t>
  </si>
  <si>
    <t>n en el regimiento de caballería d.el Rey se ha servido promover S. AL á Alférez al Portaestandarte D. Pedro del Castillo; y en el de España á Portaestandarte al Sargento D. Juan Ximenez. En America. El Rey se ha dignado conferir la Comandancia general y el Gobierno militar y político de la plaza y p</t>
  </si>
  <si>
    <t>del Castillo, Salvador</t>
  </si>
  <si>
    <t>Salvador del Castillo</t>
  </si>
  <si>
    <t>quín: dé Castañeda , D. Francisco Riquelme , D. Joseph de la EnoU na, D. Pedro Saenz de la Guardia, D. Salvador del Castillo, D. Joaquín Rodríguez de Ribera, D. Juan Topete, D. Joseph Quevedo y Cheza, D. Lino Truxiilo y Tacón, D. Antonio Miralles, D. Luis María de Salazar, D. Miguel Gastón y Navarrete,</t>
  </si>
  <si>
    <t>del Cid Carrascal, Joachín</t>
  </si>
  <si>
    <t>Joachín del Cid Carrascal</t>
  </si>
  <si>
    <t>n de los ciudadanos dedicados al bien público,; y juntos para darle cuenta de sus tareas. Su censor D. Joachín del Cid Carrascal abrió la sesión con un discurso sobre el verdadero espíritu social. El Dr. D. Joachín de Uñarte y Lauda, secretario del cuerpo, leyó una historia filosófica de su establecimiento</t>
  </si>
  <si>
    <t>del Corral, Ignacio</t>
  </si>
  <si>
    <t>Ignacio del Corral</t>
  </si>
  <si>
    <t>e de granaderos ai de fusileros D. Juan Antonio López; á Tenientes á ios Subtenientes de granaderos D. Ignacio del Corral y D. Miguel de la V ega; á Subtenientes de granaderos á los de fusileros D. Francisco Farias *y D. Miguel Piñeyro, y á Subteniente de bandera al Cadete D. Miguel del Corral: en el de</t>
  </si>
  <si>
    <t>del Corral, Lorenzo</t>
  </si>
  <si>
    <t>Lorenzo del Corral</t>
  </si>
  <si>
    <t>anaderos al de fusileros D. Bernardo Gallegos; á Teniente de fusileros al Subteniente de granaderos D. Lorenzo del Corral; á Subteniente de granaderos al de fusileros D. Ignacio de Ugar</t>
  </si>
  <si>
    <t>del Corral, Miguel</t>
  </si>
  <si>
    <t>Miguel del Corral</t>
  </si>
  <si>
    <t>s á los de fusileros D. Francisco Farias *y D. Miguel Piñeyro, y á Subteniente de bandera al Cadete D. Miguel del Corral: en el de infantería de la Corona de Nueva-España á Subteniente de bandera al Cadete D. Saturnino Samaniego ; y en el de dragones de España á Capitán al Teniente D. Mariano Mirand</t>
  </si>
  <si>
    <t>del Corral, Pedro</t>
  </si>
  <si>
    <t>Pedro del Corral</t>
  </si>
  <si>
    <t>que en ménos de dos meses consiguió desterrar la epidemia, inoculando gratuitamente, acompañado de D. Pedro del Corral, Cirujano titular de la misma villa, á mas de 500 personas desde la edad de un mes hasta la de sesenta años, contándose algunas mugeres en diversos períodos de su embarazo, sin qu</t>
  </si>
  <si>
    <t>del Gallo, Ambrosio</t>
  </si>
  <si>
    <t>Ambrosio del Gallo</t>
  </si>
  <si>
    <t>e infantería dei Príncipe se ha servido promover el Rey á primer Subteniente ai segundo Subteniente D. Ambrosio del Gallo: en el de Saboya á Subteniente de granaderos al de fusileros D. Joseph Mo3*a *, y en el ae Aragón a primer Subteniente al segundo Subteniente Don Martin de Sierra* El Consejo, á c</t>
  </si>
  <si>
    <t>del Gimo, Juan Joseph</t>
  </si>
  <si>
    <t>Juan Joseph del Gimo</t>
  </si>
  <si>
    <t>ivieso ; y para una Media-Ración de la referida metropolitana de Santa Fe, vacante por promoción de D. Juan Joseph del Gimo á Canongia de la catedral de Tudela, á D. Fernando Caycedó. También ha conferido S.-M. Tenencia en el re2imient0.de infantería dd Rey lixo de Manila á D. Antonio Chacón y Conde, G</t>
  </si>
  <si>
    <t>del Hoyo González, Joseph</t>
  </si>
  <si>
    <t>Joseph del Hoyo González</t>
  </si>
  <si>
    <t>is; Tabón v Ro&lt;icme, D. Juan Dameto y,Sureda, D. Santiago Hurtado de Mendoza, Marque5 de Tabalosos, D. Joseph del Hoyo González, D.Manuel Reviray Almunia, D. Manuel Reyna y Alor, D. Joseph Serondo y¡ IMlde, D. Pedro'de la Cueva, D..Antonio de Medina y Miranda,* Don; Joseph Doronzoro Parra, DI Nicolás de Me</t>
  </si>
  <si>
    <t>del Moral, Miguel</t>
  </si>
  <si>
    <t>Miguel del Moral</t>
  </si>
  <si>
    <t>la catedral de Córdoba del Tucuman, vacante por fallecimiento de Don Joseph Lino Esteban de León, á D. Miguel del Moral, Canónigo de gracia de la misma iglesia; y para esta Canongía i D. Francisco Xavier de Mendiolaza, Vicario eclesiástico de la Doctrina de Indios de Sta. Catalina de diclio obispad</t>
  </si>
  <si>
    <t>del Ñero, Francisco</t>
  </si>
  <si>
    <t>Francisco del Ñero</t>
  </si>
  <si>
    <t>Rodríguez, D. Rafael Domínguez Aguayo, D.. Jacinto Valdasano y Ros, D. Joseph Doininicis#y Montan!, D. Francisco del Ñero , D;. Miguel Ortiz Canela, D.-FelicianoMallen y Ramos, D. Francisco Tamariz y Moure, D. Gregorio A'guádo'y Payan * D. Joseph Rovira y Mico rD. Francisco Lazarte y A-valf, Antonio</t>
  </si>
  <si>
    <t>del Olmo, Manuel</t>
  </si>
  <si>
    <t>Manuel del Olmo</t>
  </si>
  <si>
    <t>ISO. 11. Id. Manuel del Olmo.............. Josef, Angela Marcos....... Laviz............. Palencia 314. 33* Licenciado. Manuel Gutiérrez.............. Manuel, Juana Gonz</t>
  </si>
  <si>
    <t>del Pilar Teresa Cayetana de Silva y Silva, María</t>
  </si>
  <si>
    <t>María del Pilar Teresa Cayetana de Silva y Silva</t>
  </si>
  <si>
    <t>io último. El dia 23 de Julio falleció en esta corte á los 40 años cumplidos de edad la Excma. Sra. Doña María del Pilar Teresa Cayetana dé Silva y Silva, Alvarez de Toledo, Beaumont y Navarra, Perez de Guzman el Bueno * Aceredo, Mendez de Haro, Henriqnez de Rivera y de Cabrera ; Duquesa dé Alba y de Huéscar, Condesa Duquesa de Oli</t>
  </si>
  <si>
    <t>del Pino, Agustín</t>
  </si>
  <si>
    <t>Agustín del Pino</t>
  </si>
  <si>
    <t>omingo. 331. *• Id. Agustín del Pino.................. Agustín, Tomasa Sta. Maria. Villaruz......... Búrgos........... 496. 3* Id. Félix Sama niego.................. Andrés, Maria Maestu..... La Guardia.. Vitoria..</t>
  </si>
  <si>
    <t>del Piño, Joaquín</t>
  </si>
  <si>
    <t>Joaquín del Piño</t>
  </si>
  <si>
    <t>te general de la provincia de Guipúzcoa, por haber teñido á bien relevar de él al Mariscal de Camoo D. Joaquín del Piño. ' v-"t.r_ El Rey , á consulta del Consejo y precedente propuesta de .la Comisión; gubernativa de consolidación de vales Reales , se ha dignado resolver , que así á los accionista</t>
  </si>
  <si>
    <t>del Pino, Juan</t>
  </si>
  <si>
    <t>Juan del Pino</t>
  </si>
  <si>
    <t>de fusileros D. Juan López ; á Subtenientes de granaderos á los de fusileros D. Fernando Martínez, D. Juan del Pino y D. Pascual Agustín Martínez, y á Subtenientes de compañía y de bandera á los Cadetes D. Juan Vianqui, D. Miguel Celada, D. Cosme Ramírez de Arellano y D. Isidro Mendez, y á los Sarg</t>
  </si>
  <si>
    <t>del Pollo Sagasú, Joaquín</t>
  </si>
  <si>
    <t>Joaquín del Pollo Sagasú</t>
  </si>
  <si>
    <t>. Antonio Magadan y Entrenos, D. Norberto de Mella-y Barbeyto, I&gt;. Juan de Bustamante y Bustamante, D. Joaquín del Pollo Sagasú, D. Pedro Negrete y Talla , Don Antonio Veguér' y Martiller, D. Joseph Salazar: jr. Ayendelagua, D. Ma-, nuel Abreu y Orta, D. Ignacio del Valle y ¡Máttmon , D. Manuel Primo de Ri</t>
  </si>
  <si>
    <t>del Pozo Robles, Antonio</t>
  </si>
  <si>
    <t>Antonio del Pozo Robles</t>
  </si>
  <si>
    <t>copiada una figura de academia, y grabadas en cobre varias letras con sus pruebas: otros 100 rs. á D. Antonio del Pozo Robles, también dibuxante, por un dibuxo de historia: otro id. á Salvador Duchel por un retrato del Excmo. Sr.*Príncipe de la Paz grabado con oro en cristal: una gratificación á Antonio</t>
  </si>
  <si>
    <t>del Pozo, Francisco</t>
  </si>
  <si>
    <t>Francisco del Pozo</t>
  </si>
  <si>
    <t>er Subteniente D. Bernardo Villa: en el de Córdoba á segundo Teniente de granaderos al de fusileros Don Francisco del Pozo : en el. de Guadalaxara á . primer Teniente al segundode granaderos D. Tomas Nieto: en el de Murcia á Subteniente de granaderos al primer Siíbtenienté D. Mariano Hernández: eft ;e</t>
  </si>
  <si>
    <t>del Pozo, Santiago</t>
  </si>
  <si>
    <t>Santiago del Pozo</t>
  </si>
  <si>
    <t>60. *o. Id. Santiago del Pozo................Julián, Josefa Ximenez.... Carmena..... Madrid........... 80. 5- W.</t>
  </si>
  <si>
    <t>del Rio Noguerido, Joseph</t>
  </si>
  <si>
    <t>Joseph del Rio Noguerido</t>
  </si>
  <si>
    <t>ph Roso y González, D. Joaquín Aróstegni, Don Joaquín Ibañez dé Corbera, D. Joseph Valdasano y Ros, D. Joseph del Rio Noguerido , ; D¿ Joseph Diaz Melendez, D. Manuel de Cañas Truxillo, D. Joseph del Castillo y Armenia, D. Antonio Palomar y Arias, D. Manuel de Palacios, D. Henrique O-Dogherti, D. Jacinto R</t>
  </si>
  <si>
    <t>del Rio, Francisco</t>
  </si>
  <si>
    <t>Francisco del Rio</t>
  </si>
  <si>
    <t>e Santiago, vacante por promoción de D. Joseph Gil de Santi*bañez á otrade la catedral de Cuenca, á D. Francisco del Rio: para otra de la colegial de S. Martin de Helines, diócesis de Burgos, vacante por fallecimiento de D. Isidoro Meliton de Ariza, á D. Francisco de Bustamahíte , Cura Beneficiado d</t>
  </si>
  <si>
    <t>del Rio, Joachín</t>
  </si>
  <si>
    <t>Joachín del Rio</t>
  </si>
  <si>
    <t>284 reecion de su maestro D. Joseph Joachín de Guevara fuéron examinados D. Joachín del Rio, D. Luis Vidarte, D. Toribio Olalde, D. Joseph Mar ría Esquivel, D. Joseph Catalan, D. Blas de Lezo, D. Joseph Martínez, D. Luis Verganza y D. Zeferino Carrillo. En rudimentos.de</t>
  </si>
  <si>
    <t>, al cargo de sus maestros D. Joseph Quintana y D. Joseph Soto, los seminaristas D. Toribio Olalde, D. Joachín del Rio, D. Luis Verganza, D. Joseph de Eíquivel , D. Iñigo Ortés , Don Blas de Lezo, D. Leopoldo Menendez y D. Ignacio de Lardizabal, Ln el ba) le, al cargo de su maestro D. J uan Castro</t>
  </si>
  <si>
    <t>del Rio, Joaquín</t>
  </si>
  <si>
    <t>Joaquín del Rio</t>
  </si>
  <si>
    <t>oseph Antonio de Ojea y el Subteniente D. Antonio Isidoro de Ojea , fueron examinados de aritmética D. Joaquín del Rio, D. Blas Lezo, D. Valentín Martinez y D. Antonio Abaxos: de aritmética y parte de geometría elemental D. Rodrigo Tavira, D. Pedro Tavira, D. Francisco Trespaiacios y D. Leopoldo M</t>
  </si>
  <si>
    <t>del Rio, Joseph Ignacio</t>
  </si>
  <si>
    <t>Joseph Ignacio del Rio</t>
  </si>
  <si>
    <t>ía penitenciaria de la catedral de Chile, vacante ppr fallecimiento de D. Juan de San Christóbal, á D. Joseph Ignacio del Rio, Cura de Cauquenes en Ig jnismadiocesis j y para otraCanongíadela de Nicaragua, vacante por romocion^de D. Juan Joseph de Zelaya á Maestrescuela de ella, á Don Í 'edro de Castro y</t>
  </si>
  <si>
    <t>del Rio, Manuel</t>
  </si>
  <si>
    <t>Manuel del Rio</t>
  </si>
  <si>
    <t>o: y en el batallón de infantería provincial de Guadalaxara á Capitán de granaderos al de fusileros D. Manuel del Rio. El Rey se ha servido conceder Tenencia en el regimiento de infantería de Cuba á D. Fernando de la Rosa, Guardia de la Compañía Americana del Real cuerpo de Guardias de Corps. El</t>
  </si>
  <si>
    <t>182. 16. Id. Manuel del Rio.. .............. Antonio, Ana María Rico.. Villalar,..Toro.................. 260. 28. Id. Manuel Lamela................... Jorge, Ventura Sótelo......... Leyra..</t>
  </si>
  <si>
    <t>del Rosario de Silva, María</t>
  </si>
  <si>
    <t>María del Rosario de Silva</t>
  </si>
  <si>
    <t>osí. El 16 de Diciembre último falleció en esta corte á los 36 años y medio de edad la Exenta. Sra. Doña María del Rosario de Silva, Fernandez de Miranda &amp;c., Duquesa de S. Carlos, de Aremberg y del S. R. I., Condesa de Fuenclara , de Castillejo y del Puerto, Dama de la Reyna Ntra. Sra., y de la Orden de su Re</t>
  </si>
  <si>
    <t>del Saso, Felipe</t>
  </si>
  <si>
    <t>Felipe del Saso</t>
  </si>
  <si>
    <t>Lema,D. Joseph López, D, Joseph de Piles,D. Martin de Jáuregui, D. Cayetano Muller, D, Juan Romay, D. Felipe del Saso , D. Carlos Calvo, D. Joaquín Aldecoa, D. Antonio de Rozo, D. Joseph.de la Gceja , P. Juan de Sesma, D. Santiago Aldaó, D. Juan Piñeyro, D, Narciso Llaudes, D. Pedro Marsilla, D.</t>
  </si>
  <si>
    <t>del Toro, Joseph María</t>
  </si>
  <si>
    <t>Joseph María del Toro</t>
  </si>
  <si>
    <t>; á este empleo al Subteniente D Manuel Cortee y Obel; á Subteniente de granaderos al de fusileros D. Joseph María del Toro; á Subteniente de fusileros á D. Francisco de Lora, y á Subtenientes de bandera á D. Pedro Manuel de Toro y D. Joseph María Verastegúi. T También se ha servido el Rey conferir Com</t>
  </si>
  <si>
    <t>del Toro, Salvador</t>
  </si>
  <si>
    <t>Salvador del Toro</t>
  </si>
  <si>
    <t>Ortiz, D. Carlos Aguado, D. Andrés López, D. Pedro Roca, D. Tomas de Jáuregui, D. Marcelo Hstranio, D. Salvador del Toro, D. Joseph Ampudía, D. Francisco Gelabert, el Marques’de Viliadángos, el Conde Armildez, Marqués del Salar, D. Pedro Miguel Alvarez de Perea, D/Manuel Laguna y Moscoso, él Marques</t>
  </si>
  <si>
    <t>del Toro, Sebastián</t>
  </si>
  <si>
    <t>Sebastián del Toro</t>
  </si>
  <si>
    <t>494 Cos , y á Capitán de fusileros al Teniente D. Sebastian del Toro: en el de infantería de Puebla á Capitán al Teniente de granaderos D. Blas de Castro ;á Teniente de granaderos ai de fusileros D. Juan Antonio López; á Tenientes á ios Subteniente</t>
  </si>
  <si>
    <t>del Valle, Fernando</t>
  </si>
  <si>
    <t>Fernando del Valle</t>
  </si>
  <si>
    <t>Manuel de Neyra; Subtenencias al Sargento segundo de granaderos D. Plácido Rodríguez , y al Cadete D. Fernando del Valle; y Subtenencias de bandera ál Sargento segundo de granaderos D. Miguel Granados, y al Cadete J). Joseph Antonio Gbpzaleztde Rozase Compañfe én el esquadrón montado del regimiento</t>
  </si>
  <si>
    <t>del Valle, Ignacio</t>
  </si>
  <si>
    <t>Ignacio del Valle</t>
  </si>
  <si>
    <t>a , Don Antonio Veguér' y Martiller, D. Joseph Salazar: jr. Ayendelagua, D. Ma-, nuel Abreu y Orta, D. Ignacio del Valle y ¡Máttmon , D. Manuel Primo de Ribera , D. Joseph de Santiago; y.García, D. Manuel de Clemente y&gt; Miro, D. Joaquín Fernandez Chicarrón . Bernardo Metvendano, Don:</t>
  </si>
  <si>
    <t>Delambre</t>
  </si>
  <si>
    <t>y sujetos á las penas que las leyes de la guerra señalan para estos casos.” El ciud. Delambre, individuo del instituto, ha recibido una carta dé Stockolmo , en que le comunican que han llegado sin contratiempo á su destino los instrumentos de matemática</t>
  </si>
  <si>
    <t>Delgado Fernández, Joaquín</t>
  </si>
  <si>
    <t>Joaquín Delgado Fernández</t>
  </si>
  <si>
    <t>rto Calderón,D. Pedro de Toro y Toledo, D. Carlos Engracia Carrasco , D. Felipe Uriarte y Erquizia, D. Joaquín Delgado Fernandez, D.Francisco Xavier Radillo, D» Benito Basabe y UJente, Dón Francisco Toubes y Ordoñez, D. Antonio de Aiscar y Piedrola , D. Anicetó Quixano y Arce, D. Fernando Ordoñez, D. Joseph</t>
  </si>
  <si>
    <t>Delgado y Ayala, Francisco</t>
  </si>
  <si>
    <t>Francisco Delgado y Ayala</t>
  </si>
  <si>
    <t>* territorio la de Alcántara,, de primera clase ó entrada y *se ha «servido M. nombrar para ella: á D. Francisco Delgado y Ayala. ; ! V En Améric*. Ei Rey se lia dignado promover á Comandante de es-* /</t>
  </si>
  <si>
    <t>Delgado y Guerra, Joseph</t>
  </si>
  <si>
    <t>Joseph Delgado y Guerra</t>
  </si>
  <si>
    <t>rcel y Qconri, D. Joseph Primo de Rivera, D. Salvador Ortuño-y Castañon , D. Antonio Villaviqencio, D. Joseph Delgado y Guerra, D. Joaquín Mioño y Quevedo, Don Diego Ponce dé León, D. Rufino Torrcntcgui, D. Nicolás Rubín de Barrio, D. Isidro Gago y Abarca, D. Pablo de Villa y Gutiérrez, D. Joaquín Sanchiz</t>
  </si>
  <si>
    <t>Delgado y Moreno, Mateo</t>
  </si>
  <si>
    <t>Mateo Delgado y Moreno</t>
  </si>
  <si>
    <t>o nombrar para la Canongía de la metropolitana de Toledo, que resultará vacante por la promoción de D. Mateo Delgado y Moreno al Obispado de Badajoz, á D. Diego de la Torre y Arce: para la Ración de la colegial de Alfaro, vacante por renuncia que ha hecho de ella D. Joseph María de Mesa, á D. Tomas María</t>
  </si>
  <si>
    <t>Delgado, Antonio</t>
  </si>
  <si>
    <t>Antonio Delgado</t>
  </si>
  <si>
    <t>r^y dlEjixo ;*&lt;y ios .3 prese atáronplanos de forfificacionps. £n Sjegundadase p, Francisco Mancha, D. Antonio Delgado, í&gt;.; Jóseph Cardona7, JX Francisca Mantener .gro, D. Antonio Quirós, D. Josepn Villavicencio y IX Luis Goqneíin; y en la tercera D. Antonio Letoná y - D. Joseph Ducascar. A los d</t>
  </si>
  <si>
    <t>Delmotte</t>
  </si>
  <si>
    <t>do del Contra-Almirante Latouche-Treville , v con la de Loríente mandada por el ciud. Delmotte, y juntas estas fuerzas hicieron rumbo á Sto. Domingo. A León 14 de Enero. -tientes de ayer comió con el primer Cónsul el Cardenal Bellisomi, Enviado del Papa</t>
  </si>
  <si>
    <t>Delmotte, General</t>
  </si>
  <si>
    <t>General Delmotte</t>
  </si>
  <si>
    <t>mandada por *el Contra-Almirante La Touche , el navio Scipion , donde tiene arbolada su insignia el General Delmotte, el navio San Francisco de Asís, el bergantín Vigilante, y algunas embarcaciones del convoy separadas de la esquadra del Almirante Villaret. Luego que largué mi insignia y bandera</t>
  </si>
  <si>
    <t>Delotz, Juan Esteban</t>
  </si>
  <si>
    <t>Juan Esteban Delotz</t>
  </si>
  <si>
    <t>on fecha de 4 de Setiembre rémitiéron los Sres. viuda dé Ibiry y sobrinos, de Bilbao, y endosaron é D. Juan Esteban Delotz,del comercio de Cádiz, los vales Reales seguientes: uno dé 600 pesos de i.° de Enero, núm. 373,658 • dos da 300 de id., núms. 80,91a y 111,565; quatro de 130 id.,noms. 3^3,450, 30</t>
  </si>
  <si>
    <t>Demiot</t>
  </si>
  <si>
    <t>s para sueldo del Gobernador del Cabo de Buena Esperanza, y 130® por una vez al ciud. Demiot, comisario general y encargado de arreglar y establecer los diferentes ramos de gobierno en el Cabo y en los demas establecimientos de las Indias orientales. C</t>
  </si>
  <si>
    <t>Demist</t>
  </si>
  <si>
    <t>el Canal, se han retirado á sus puertos. Haya j de Abril. E stá comisionado el ciud. Demist para establecer en el Cabo de BuenaEsperanza la nueva planta de gobierno. Se espera que de acuerdo con el ciud. Jaussen, Gobernador general de aquel establecim</t>
  </si>
  <si>
    <t>Denche, Pedro Antonio</t>
  </si>
  <si>
    <t>Pedro Antonio Denche</t>
  </si>
  <si>
    <t>Patencia: para otra de la propia catedral de Cuenca, vacante por muerte de D. Fernando Zaragoza, á D. Pedro Antonio Denche, Cura de Tarancon: para otra de la catedral de Santander, vacante por promoción de D. Jacinto Antonio de</t>
  </si>
  <si>
    <t>Dent</t>
  </si>
  <si>
    <t>el Canciller del Echiquier como parte de las contribuciones públicas de este año, se opuso á ellos Mr. Dent, alegando entre otras razones ciertos rumores que han corrido en el público, y según los quales parece que en varios puertos de Francia no han querido dar entrada á mercancías ing</t>
  </si>
  <si>
    <t>Déodato Bonnefóy FhfeiahVillé</t>
  </si>
  <si>
    <t>f&gt;. Alexandro Beyens y Barnola', 1). Antonio Albizu M Otáelliy D. Joaa quin de Moyuá y Mazarredo , D. Déodato Bonnefóy FhfeiahVillé,, D- Ma~ nuél Borras&gt;y Barcena , D* Anüonio García Campero^ &lt; Manuél- Antuña Aldbar, D.cManue^ Rodrigugz García^^dX^Caíixidróyd¿/la ^</t>
  </si>
  <si>
    <t>Depinay</t>
  </si>
  <si>
    <t>rboles plantado hace 18 años, y que tiene mas de un metro de circunferencia. El ciud. Depinay presentó grabado en una estampa un árbol, al que ha dado el nombre de árbol de Prosperidad rural, en el qual escribe todos los años los ñora-1 bres del mas ave</t>
  </si>
  <si>
    <t>Derby, General</t>
  </si>
  <si>
    <t>General Derby</t>
  </si>
  <si>
    <t>óst9. as últimas cartas recibidas de nuestro ejército apostado á orillas del Tnu ' contienen-que él General Derby, comandante en xefe de las tropas encar* gadás de U ocupación deí obispado de Passau, ha transferido su quartci desde Windorflf á Hald én dicho obispado, y que por orden de esta c</t>
  </si>
  <si>
    <t>Derobert Duchatelet, Luis</t>
  </si>
  <si>
    <t>Luis Derobert Duchatelet</t>
  </si>
  <si>
    <t>a de este al segundo de granaderos D. Pedro Jouen; á segundo Teniente de granaderos al de fusileros D. Luis Derobert Duchatelet; á segundo Teniente al Subteniente de granaderos J)..Santiago Noguer; á esta resulta al primer Subteniente D. Joseph Asaillit; á la de este al segundo D. Henrique Roger de Caux, y</t>
  </si>
  <si>
    <t>Deroy, General</t>
  </si>
  <si>
    <t>General Deroy</t>
  </si>
  <si>
    <t>en Landsberg y Sehongau (ciudades fronterizas de Baviera) 3® hombres de tropas bávaras ai mando del General Deroy. Asimismo, en Friedberg, cerca de Augsburgo, se esperan 2® hombres de las mismas tropas. Otro cuerpo de 4® hombres baxo las órdenes del Príncipe Isemburgo se halla reunido en Neub</t>
  </si>
  <si>
    <t>ará el cuerpo encargado de ocupar algunas ciudades, y países eclesiásticos de Suabia , en lugar del General Deroy, que actualmente manda el cuerpo que estaba baxo las órdenes del General Bar— tels, el qual ha sido depuesto. Francfort 27 de Agosto. S e asegura que la Francia cederá á la Repúbl</t>
  </si>
  <si>
    <t>ho algunas muestras hostiles, y reciben^diariamente refuerzos y artillería, ha re¿brzádo también el General Deroy su exército con parte del regimiento del Príncipe Guillermo. El del Príncipe heredero y el cuerpo de Guardias irán al mismo-destino. Tres días há que el General austríaco Stranch,</t>
  </si>
  <si>
    <t>or brevedad al comandante del cuerpo imperial y real. Dióse luego el mando de las tropas bávaras ál General Deroy, que llegó á S. Nicolás él 14 de</t>
  </si>
  <si>
    <t>Obispo, reatloso de que sé adelantasen lás tropas bávaras. Luego- qué éjT 17 por la mañana supo el, General Deroy esta ocupación súbita y clandestina, hizo que marchasen algunos cuerpos de; tropas dé Hals y Wiisliófeñ por la ribera izquierda del Danubio /y ocupasen elBáyliage dú"Qjbérhátis¡, pe</t>
  </si>
  <si>
    <t>Desaix, General</t>
  </si>
  <si>
    <t>General Desaix</t>
  </si>
  <si>
    <t>ne que en la plaza de París llamada de las Victorias, se ¿rija una estatua colosal á la memoria del General Desaix que murió en la batalla de Marengo. En el pedestal'se pondrán baxos relieves que representen la conquista del Egipto .Superior y la batalla de Heliópolis que ganó dicho General. H</t>
  </si>
  <si>
    <t>Desbureaux, General</t>
  </si>
  <si>
    <t>General Desbureaux</t>
  </si>
  <si>
    <t>74 cañones, mandado por el ciud. Henry: va á Santo Domingo, adonde lleva pasageros, y tropas con el General Desbureaux. El mismo dia ó el siguiente debía zarpar dei propio puerto la fragata española la Perla para Cádiz y Car-tagena. Escriben de Nancí que ha pasado por aquella ciudad un correo de g</t>
  </si>
  <si>
    <t>Desforges</t>
  </si>
  <si>
    <t>, calle de las Carretas. La muger zelosa, comedia nueva en £ actos en prosa , tomada del francés de Mr. Desforges, y traducida por D. Julián de Velasco , representada en el coliseo de la calle de la Cruz. Se hallará en 8.°, á 3 rs. en la librería de Quiroga, calle de las Carretas. En la misma</t>
  </si>
  <si>
    <t>Desforneaux, General</t>
  </si>
  <si>
    <t>General Desforneaux</t>
  </si>
  <si>
    <t>. Los dos dias siguientes adelantaron su marcha las divisiones, y un cuerpo enemigo, atacado por el General Desforneaux, tuvo que retirarse hacia el rio de Ester, dexando mas de 200 muertos en ei campo. La división de Rochambeau entró el 23 en el barranco de la Culebra, que era donde el General San</t>
  </si>
  <si>
    <t>rentes alturas, les importa muchísimo conservar el almacén principal que tienen en dicho puesto. El General Desforneaux queda en Plasencia para proteger el departamento del norte. Empiezan á llegar los víveres despachados de Burdeos para el exército, el qual se halla provisto para 6 meses. Desde la</t>
  </si>
  <si>
    <t>Desfourneaux, General</t>
  </si>
  <si>
    <t>General Desfourneaux</t>
  </si>
  <si>
    <t>eño de la Mermelade y de Ennery, que era el quartel general de los rebeldes, y al qual penetraba el General Desfourneaux por Plasencia. Hallábanse estas tres divisiones el 2 2 á nueve leguas de Gonaives, plaza’54 que ha de ser atacada el 5 ó el 6; y, ganada, quedarán los rebeldes en las alturas ó en</t>
  </si>
  <si>
    <t>ncendiado en parte. El dia 20 se detuvieron las divisiones en sus respectivos puestos. El 21 la del General Desfourneaux se adelantó dos leguas mas allá de Plasencia; y la de Hardy se apoderó de Enneri á bayoneta calada, según su coítumbre. Defendia aquel puesto el General Christóbal con 1© hombres</t>
  </si>
  <si>
    <t>unirse, después de unas jornadas muy trabajosas, con el General Boyer. Durante estas operaciones el General Desfourneaux, que tenia baxo sus órdenes al General negro Maurepas, preservaba del saqueo y del incendio los distritos de Limbé, de Borgne, de Plásencia, de Puerto de Paz, de Juan Rabel y del</t>
  </si>
  <si>
    <t>amento del Norte, quizá esperando apoderarse del Cabo. Presentóse pues en Pias.encia para atacar al General Desfourneaux, y aun</t>
  </si>
  <si>
    <t>Desgouttes</t>
  </si>
  <si>
    <t>ana se embarcarán SS. MM. para Finlandia: hay prontas 8 naves para su viage. El ciud. Desgouttes, Comisario de comercio de Francia, fué presentado ayer á S. M. por el ciud. Bourgoing, Ministro de la misma República. Hamburgo ij¿ de Junio. E 1 dia 5 llegó f</t>
  </si>
  <si>
    <t>Desiderio Cerdonio</t>
  </si>
  <si>
    <t>de Ibarra , calle de la Gorgnera. El Ropavejero d.térario jen las ferias de,Madrid : dado á luz por D. Desiderio Cerdonio: un tomo en 8.° Contiene particularidades dé las ferias, centro, de esta, mueble; instiles, .J^eratura rancia, mpeble; de; niftosy otros puntos. Se hallará %4 rsf ,eq;4a4ibreríaj</t>
  </si>
  <si>
    <t>Desloves, Juan</t>
  </si>
  <si>
    <t>Juan Desloves</t>
  </si>
  <si>
    <t>y Rodríguez, D. Joseph Laguna Calderón,: D. Diego Ochando, D. Ramón De. loves, D. Joseph Sartorio, D. Juan Desloves, D.: Bernardo González, D. Joaquín Guzman, D. AntOnio Guzmaa^y Cárrion j D. Alonso Maiin Navarro, 0. .Diego dé'AléssonyBueno, D* BernarddBosco,D. Felipe de Borja VÍ¿e«^íNuiiitcrol</t>
  </si>
  <si>
    <t>Desnaux, Juan</t>
  </si>
  <si>
    <t>Juan Desnaux</t>
  </si>
  <si>
    <t>ardo Luque, D. Rafael Pezzino, D. Luis Ranea ño, Don Juan Meric, D. Antonio Bocarro, D. Juan Feliu, D. Juan Desnaux, Don Manuel Vigil de Quiñones, D. Joseph Ponce de León, D. Francisco Soler, el Conde de Maceda, D. Joseph Bermudez de Castro, D. Roque Antía, D. Antonio Darcourt, D. Tomas Kindela</t>
  </si>
  <si>
    <t>Desormes</t>
  </si>
  <si>
    <t>. memoria intitulada: Investigaciones sobre ¡apila eléctrica de AiAta, por los ciudadanos Hachette y Desormes , profesores en dicha escuela. Hay en está memoria .dos hechos importantísimos, que pueden dar mucha luz á la teoría de la electricidad. Ei primero .es que una</t>
  </si>
  <si>
    <t>Despar, Coronel</t>
  </si>
  <si>
    <t>Coronel Despar</t>
  </si>
  <si>
    <t>llaba Mr. Foxbcon su ,esposé-1.* ;, t» l n;oPor orden superior se.'prendió, el í 6 por. la noche al Coronel Despar&lt;J, ya irnos *400 hombres' entrecaríenestrales y sobados ,~1q« mas-de ellos, irlahideses. Ayer se les tomó secretamente declaración , y en seguida se envió á Mr. Despard á la cárce</t>
  </si>
  <si>
    <t>Despard</t>
  </si>
  <si>
    <t>~1q« mas-de ellos, irlahideses. Ayer se les tomó secretamente declaración , y en seguida se envió á Mr. Despard á la cárcel de Surry. Se le acusa de que promovía sigilosamentenn proyecto contra el estado». A los demas » que parece estaban ganados por el Coronel v los:han repartido en varias</t>
  </si>
  <si>
    <t>Despard, Coronel</t>
  </si>
  <si>
    <t>Coronel Despard</t>
  </si>
  <si>
    <t>o el Rey en el Parlamento. No se ha podido averiguar hasta ahora si está implicado en la conjura el Coronel Despard. Este ha sido nuevamente examinado en un consejo compuesto délos Lores Chanciller,Hobarty Pelham, el Procurador y él Fiscal general, y otras personas. Presentóse el acosado «argad</t>
  </si>
  <si>
    <t>Despardq, Coronel</t>
  </si>
  <si>
    <t>Coronel Despardq</t>
  </si>
  <si>
    <t>la-gente que pereció^ Haii sido presas estos días varias personas implicada? eoMa conspira*cion del Coronel Despardq‘;y\ parece queaünsefán muchas mas las que-re gwendauKÍd Jfe§hlttó.ndfebkstsb fotal: dcónt^qimientO) &amp;U&amp; instante se ,-descár-oren ñuefos cómplices. * . -bb-O .T-iv.-bq-ohr-b &gt; . S</t>
  </si>
  <si>
    <t>Despiiig, Tomás</t>
  </si>
  <si>
    <t>Tomás Despiiig</t>
  </si>
  <si>
    <t>erario de la Compañía Española del Real cuerpo de Guardias de Corps al Guardia de la misma Compañía D. Tomas Despiiig. ■-•x Por el Sr. D. Manuel Vicente de Torres Cónsul, del Consejo de S. M., Teniente Corregidor de esta villa, se cita y emplaza á los parientes y demas personas que puedan tener d</t>
  </si>
  <si>
    <t>Dessalines, General</t>
  </si>
  <si>
    <t>General Dessalines</t>
  </si>
  <si>
    <t>conocido que la coluna que se adelantaba era francesa, pidió y suplicó se esperasen las órdenes del General Dessalines; pero en el intermedio vinieron los oficiales y la guarnición á juntarse con nuestras tropas, las quales ocuparon el castillo. Siguiendo luego su marcha á Puerto-Republicano, hall</t>
  </si>
  <si>
    <t>47** la Cruz de Ramos, y antes que llegase pegártíri los rebeldes fuego al pueblo. El General Dessalines , que mandaba en aquella parte, aparento retirarse á la montana de los Grandes Bosques; y con una marcha rápida atravesó la montaña Negra, y se dirigió hacia Leogane; pero no lleg</t>
  </si>
  <si>
    <t>el bloqueo y á cañonear aquel reducto. Entre tanto el General Hardy encontró en el morro de Nolo al General Dessalines., que había salido de noche de la Crete-á-Pierrot, para acometerle. por la retaguardia. El General de brigada Desplanques, que mandaba lá vanguardia de Hardy, se arrojó a Dessalih</t>
  </si>
  <si>
    <t>ella la agricultura y el comercio. Luego que sepa el estado en que,están las tropas mandadas por el General Dessalines, diré los puestos que han de ocupar. En seguida de esta carta hallarais el decreto que he dado para anular lo dispuesto por el de 17 de Febrero pque hablaba únicamente con vuestra</t>
  </si>
  <si>
    <t>Dessevael</t>
  </si>
  <si>
    <t>ca en Berlín el ciud. Huttman servirá aquí su empleo de Secretario de Estado el ciud. Dessevael. , Mr. Listón, Ministro británico cerca de este gobierno, que acaba de llegar de Inglaterra, tuvo esta mañana audiencia del Ministro de Relaciones exteriores,</t>
  </si>
  <si>
    <t>Dessolles, General</t>
  </si>
  <si>
    <t>General Dessolles</t>
  </si>
  <si>
    <t>de aquí para León el Ministro de Relaciones exteriores.' Ha sido promovido á Consejero de Estado el General Dessolles. Entre varios Obispos de Francia que recientemente han hecho renuncia de sus mitras en virtud del breve del Papa de 15 de Agosto, se cuentan los Sres¿ Juan Henr-ique Frankemberg ,</t>
  </si>
  <si>
    <t>Destains, General</t>
  </si>
  <si>
    <t>General Destains</t>
  </si>
  <si>
    <t>á á su destino pasando por París. El dia 6 se dio aquí sepultura con todos los honores militares ál General Destains , xefe de la piaña mayor dél exéréito de Egipto , qué fué muerto en un desafío. ;-y:l!i.',!l'■'1 V:‘r ■ S'ébastíhnyen&amp;iiipiikt&amp;iP,• ‘jliHl* ‘ E n vista de los favorables sucesos y</t>
  </si>
  <si>
    <t>Deval, Pedro</t>
  </si>
  <si>
    <t>Pedro Deval</t>
  </si>
  <si>
    <t>-de oro; y ademas le entregó un paquete de chales de Cachemira y otras telas ricas de la India para Mr. Pedro Deval , secretario de la junta de socorros. y -y Petersburgo &lt;5* de Abril. IwJ n correo ingles salió de aquí el dia 2 para Londres con el acto de accesión de la corte de Suecia al conve</t>
  </si>
  <si>
    <t>Devoire</t>
  </si>
  <si>
    <t>-para qtíé fuésemos á laf Manukai, casa dé campo del Bey.’P'ui en efecto come 1 ciud. Devoire, Ios-Capitanes, oficiales y.comerciantes. P cós después‘ llegó- el; primer Ministro, el qual- nos enseñó todos los p imores de aquel palacio ; y: nosotros le'm</t>
  </si>
  <si>
    <t>os para repartir entre las tripulaciones de la división. Dia 6. Por consejo del ciud. Devoire envié un regalo de brocados de las fábricas de León al primer Ministro en nombre del gobierno, y cómo unaprueba particular de agradecimiento por lós bue-t nos oñ</t>
  </si>
  <si>
    <t>Devoize</t>
  </si>
  <si>
    <t>un los que necesiten mención expresa é individual &amp;c.” ,, Extracto de carta del ciud. Devoize , Encargado de Negocios y Comisario general de Relaciones de comercio de la República en la Regencia de Atine z, al Ministro dé Relaciones exteriores: El y de</t>
  </si>
  <si>
    <t>rmiso del Ser supremo hubo entre nosotros alguna tibieza , de cuyas resultas el ciud. Devoize, vuestro Comisario, se vió precisad^ á retirarse de aquí, Pero ya han sucedido dias felices, y aquella tibieza se ha convertido en una amistad verdadera, media</t>
  </si>
  <si>
    <t>Devoize, Santiago</t>
  </si>
  <si>
    <t>Santiago Devoize</t>
  </si>
  <si>
    <t>la Regencia, de Túnez, y añadir otros nuevos, ha comisionado para el electo al ciud. Santiago Devoize, el qual en virtud de las plenipotencias que presentó de parte del primer Cónsul convino con S. E. Hamuda Eaxá, Bey, y con el Divan de Túnez , en los artículos</t>
  </si>
  <si>
    <t>Dewinter, Almirante</t>
  </si>
  <si>
    <t>Almirante Dewinter</t>
  </si>
  <si>
    <t>ud. Dedern, Ministro de la República ¿áta.va cerca del Gran Señor. Los oficiales de la esquadra del Almirante Dewinter tienen orden de no salir de sus respectivos buques por la noche: sin duda porque se harán quanto antes á la vela. Nuestras factorías de la costa de Guinea se hallan en el mejor es</t>
  </si>
  <si>
    <t>ud. Stagendorp; en Viena al ciud. Spaan Vorstonde, y en. Stockolmo al ciud. Mestraene--Theniaat. El Almirante Dewinter llevará á las potencias berberiscas los regalos que el gobierno les envia ordinariamente por la libertad de la navegación bátava en el Mediterráneo. Está señalado su viage para el</t>
  </si>
  <si>
    <t>Déwinter, Almirante</t>
  </si>
  <si>
    <t>Almirante Déwinter</t>
  </si>
  <si>
    <t>15 navios de Jínea para las Indias occidentales. “'^7 * . ; ;.xf \.r.'Hay'a-2Ó^eJSfayo. \ . . ? E I Almirante Déwinter salió del Texel el dia 10 con tres navios de 64 ca* ñones , una fragata de 24 y dos bergantines. Va aí Mediterráneo, en donde ya se hallan otros tres buques de la marinabátayá., ;</t>
  </si>
  <si>
    <t>el qual Influye en casi todo el de Europa , han merecido la aprobación del comercio en general. El Almirante Dewinter escribe desde las costas de Berbería que al cabo de una navegación feliz entr.egó los regalos que llevaba para los Príncipes africanos, quienes por consiguiente le recibiéron con la</t>
  </si>
  <si>
    <t>cierto número, de corsarios berberiscos, se publicó de oficio el aviso siguiente: í,Xa esquadra del Almirante Dewinter ha recor-^ rido pacificamente todas las escalas dé Berbería, y ha!4ó en sus Regencias las disposiciones nías amistosas respecto; á la nación bátava: de- suerte que lavandera de la</t>
  </si>
  <si>
    <t>Díaz Alonso, Fernando Antonio</t>
  </si>
  <si>
    <t>Fernando Antonio Díaz Alonso</t>
  </si>
  <si>
    <t>Arcedianato titular de la catedral de Sigüenza, vacante por muerte de D Pedro de Miguel y Ortega, á D. Fernando Antonio Díaz Alonso, Dignidad de Capellán mayor de aquella catedral* para la Abadía de Santa he-, Dignidad de la metropolitana de Cranada, vacante por fallecimiento de D. Diego de Cárdenas y Vargas,</t>
  </si>
  <si>
    <t>Díaz Bardera, Joseph</t>
  </si>
  <si>
    <t>Joseph Díaz Bardera</t>
  </si>
  <si>
    <t>á D. Joseph Marti: para una Capellanía de la Real capilla de Granada, vacante por fallecimiento de D. Joseph Diaz Bardera, á D. Domingo Valdés; y para otra del Real convento de religiosas de Sta. Clara de la villa de Tordesillas y obispado de Valladolid, vacante por muerte de D. Nicolás Merlo, á D. M</t>
  </si>
  <si>
    <t>Díaz de Perea, Sebastián</t>
  </si>
  <si>
    <t>Sebastián Díaz de Perea</t>
  </si>
  <si>
    <t>dias Españolas se ha servido promover el Rey á Capitán al primer Teniente y Comandante de cazadores D. Sebastian Díaz de Perea. S. M. se ha servido promover á Ingeniero ordinario de sus ejércitos, plazas y fronteras al éxtraordinario D. Ramón Calvet. En América. S. M. se ha servido conceder el empleo de C</t>
  </si>
  <si>
    <t>Díaz Granados, Andrés</t>
  </si>
  <si>
    <t>Andrés Díaz Granados</t>
  </si>
  <si>
    <t>á D. Félix Díaz Granados, y á Subtenientes de bandera al Cadete D. Joseph Ignacio Díaz Granados y á D. Andrés Díaz Granados, vecino de aquella ciudad. En las compañías sueltas de Milicias de Jaén de Bracamoros ha nombrado S. M. Capitanes á D. Joaquín de Árbayza, Sargento mayor que fue de Milicias , y á</t>
  </si>
  <si>
    <t>Díaz Granados, Félix</t>
  </si>
  <si>
    <t>Félix Díaz Granados</t>
  </si>
  <si>
    <t>Henrique Arroyuelo; á Subtenientes de fusileros á los Cadetes D. Francisco Xavier Díaz Granados y á D. Félix Díaz Granados, y á Subtenientes de bandera al Cadete D. Joseph Ignacio Díaz Granados y á D. Andrés Díaz Granados, vecino de aquella ciudad. En las compañías sueltas de Milicias de Jaén de Braca</t>
  </si>
  <si>
    <t>Díaz Granados, Francisco Xavier</t>
  </si>
  <si>
    <t>Francisco Xavier Díaz Granados</t>
  </si>
  <si>
    <t>ente de Artillería al de fusileros D. Henrique Arroyuelo; á Subtenientes de fusileros á los Cadetes D. Francisco Xavier Díaz Granados y á D. Félix Díaz Granados, y á Subtenientes de bandera al Cadete D. Joseph Ignacio Díaz Granados y á D. Andrés Díaz Granados, vecino de aquella ciudad. En las compañías sueltas de</t>
  </si>
  <si>
    <t>Díaz Granados, Joseph Ignacio</t>
  </si>
  <si>
    <t>Joseph Ignacio Díaz Granados</t>
  </si>
  <si>
    <t>D. Francisco Xavier Díaz Granados y á D. Félix Díaz Granados, y á Subtenientes de bandera al Cadete D. Joseph Ignacio Díaz Granados y á D. Andrés Díaz Granados, vecino de aquella ciudad. En las compañías sueltas de Milicias de Jaén de Bracamoros ha nombrado S. M. Capitanes á D. Joaquín de Árbayza, Sargento mayor</t>
  </si>
  <si>
    <t>Díaz Hidalgo, Juan</t>
  </si>
  <si>
    <t>Juan Díaz Hidalgo</t>
  </si>
  <si>
    <t>patronos ( que son el Cura párroco de dicha villa, el R. P. Guardian del convento de Capuchinos, y D. Juan Díaz Hidalgo) antes del 30 de Agosto, y este dia se presentarán personalmente para ser examinados particular y secretamente de gramática y retórica á presencia de los patronos y otros dos conj</t>
  </si>
  <si>
    <t>Díaz Noriega, Antonio</t>
  </si>
  <si>
    <t>Antonio Díaz Noriega</t>
  </si>
  <si>
    <t>ien quisiere hacer postura á ella acuda ante dicho Sr* Alcalde, y por la escribanía de provincia de D. Antonio Díaz Noriega.</t>
  </si>
  <si>
    <t>Rozas para su remate el lúnes ~2. del mismo á las J'2 de su mañana en la escribanía de provincia de D. Antonio Diaz Noriega. La casa si ta en dicho lugar de Fllentan-aI perteneciente á Ja memoria fundada en dicho Real oratorio por Doña María Gllzrnan, tasada en J 3,S9 6 rs. ,que se esrá subastando ante</t>
  </si>
  <si>
    <t>Díaz Noriega, Juan Antonio</t>
  </si>
  <si>
    <t>Juan Antonio Díaz Noriega</t>
  </si>
  <si>
    <t>n á pública subasta por el juzgado del Sr. Alcalde Don Miguel Munarriz y escribanía de provincia de D. Juan Antonio Diaz Noriega, se remataron en la cantidad de 12,400 rs. en vales Reales, cuyo remate se ha aprobado por el Sr. Intendente de esta provincia en 2 de este mes,y señaló 30 dias de término para la</t>
  </si>
  <si>
    <t>Quien quisiere hacer postura á ella acuda ante dicho Sr. Alcalde por la escribanía de provincia de D, Juan Antonio Díaz Noriega. Se ha señalado el dia 3 de Febrero en la audiencia del Sr. D. Juan Antonio Santa María , Teniente Corregidor de esta villa, á la hora de medio dia, para el remate de 3 casas sita</t>
  </si>
  <si>
    <t>Díaz Noriéga, Juan Antonio</t>
  </si>
  <si>
    <t>Juan Antonio Díaz Noriéga</t>
  </si>
  <si>
    <t>rs. Quien quisiere hacer postura á ella acuda ante dicho Sr. Alcalde, y escribanía de provincia de D. Juan Antonio Díaz Noriéga. rrzPor el juzgado del mismo Sr. Alcalde y escribanía Se ha mandado sacar á pública subasta varias tierras, sitas en término del lugar de Fuencarral , pertenecientes á la memoria</t>
  </si>
  <si>
    <t>Quien quisiere hacer postura á ella acuda ante dicho Sr. Alcalde por la escribanía de provincia de D. Juan Antonio Díaz Noriega. En virtud de las órdenes de S. M. se ha pedido en el juzgado del Sr. D. Juan Antonio Santa María, y escribanía del numero de D. Joseph Mateo y Aguado, la venta en subasta publica</t>
  </si>
  <si>
    <t>. Quien quisiere hacer postura á él aci&gt;da ante dicho Sr. Alcalde por la escribanía de provincia de D. Juan Antonio Díaz Noriega. Se cita y emplaza á los acreedores de D. Joseph María Domínguez , vecino que fué de esta corte, para que en el- término de 30 dias, contados desde el si de este mes , que por tre</t>
  </si>
  <si>
    <t>re hacer postura á dichas fincas acuda ante el citado Sr. Alcalde por ;a escribanía de provincia de D. Juan Antonio Díaz Noriega. A las tierras sitas en término del lugar de Fuencarral, pertenecientes á las memorias que fundó D. Melchor Porcel y Bustamante en el Real oratorio de S. Felipe Neri, r¿ue se anun</t>
  </si>
  <si>
    <t>e Cárlos del Consejo de S. M. XII, J Alc(:lde de su Rea1 casa y corte, y escribanía de provincia de D. Juan Antonio Diaz Noriega, está olandado sacar á pública subasta las "tierras pertenecientes á la memoria que en el lugar de Ballécas fundó Doña Juliana García, y son las siguientes: Una tierra al sitio qu</t>
  </si>
  <si>
    <t>a cantidad de i69rs. Quien quisiere hacer postura á él acuda ante dicho Sr. Alcalde y escribanía de D. Juan Antonio Diaz Noriega. El Sr. D. Juan Antonio Santa María, primer Teniente Corregidor de esta villa, ha señalado el dia 5 de Abril á ias 12 de su mañana, á Jas puertas de la audiencia de S. S. para el</t>
  </si>
  <si>
    <t>bado el remate executado ante el Sr. Alcalde D. Manuel Perez de Rozas, y escribanía de provincia de D. Juan Antonio Diaz Noriega, de una casa que comprebende 3354 pies de sitio, y está tasada en 13,$96 rs., sita en el lugar deFuenc.arral y calle que llaman de S. Roque, de ia,xco rs. en mqneda metálica , señ</t>
  </si>
  <si>
    <t>r postura á dicha casa y tierras acuda ante el citado Sr. Alcalde por la escribanía de provincia de D. Juan Antonio Díaz Noriega. En la villa de Torra Iba de Calatrava , partido de Almagro , provincia de la Mancha, se halla vacante la cátedra de latinidad, que vale lof rs. diarios, pagados por tercios, con</t>
  </si>
  <si>
    <t>corte. Quien quisiere hacer postura acuda ante dicho Sr. Alcalde por la escribanía de provincia de D. Juan Antonio Díaz Noriega. Por providencia de D. Ramón Patricio Moreno y Alonso, como Alcalde mayor y Teniente de Corregidor por S. M. de la ciudad de Valencia , y escribanía de número de Salvador Labayla,</t>
  </si>
  <si>
    <t>s. *3 mrs., el viernes 11 del presente mes á las ix de su xnafiana en la escribanía de provincia de D. Juan Antonio Díaz Noriega, á las que está hechá postura en las dos terceras partes de su tasación, y 30 rs. mas, en moneda metálica.i=:En la misma forma y para él mismo dia, hora y sitio, el citado Sr. Alc</t>
  </si>
  <si>
    <t>Díaz Noríega, Juan Antonio</t>
  </si>
  <si>
    <t>Juan Antonio Díaz Noríega</t>
  </si>
  <si>
    <t>ado para su remate el hiñes ai del corriente á las 11 de su mañana en la escribanía de provincia de D. Juan Antonio Díaz Noríega. Por el juzgado del mismo Sr. D. Manuel Perez de Rozas se están subastando 3 pedazos de tierra, sitos en término del dicho lugar de Ballécas, de caber aa fanegas y 3 celemines, ta</t>
  </si>
  <si>
    <t>Diáz Noriega, Juan Antonio</t>
  </si>
  <si>
    <t>Juan Antonio Diáz Noriega</t>
  </si>
  <si>
    <t>t j* r$/Quien quisiere hacer póstura acuda ante dichó $r. Alcalde por la escribanía de provincia de D. Juan Antonio Diáz Noriega. Tara el remate de los sotos de Galapagar y Gordó, con pastos,' arbolado, casaycaballeriza , corrales, tinglados, parte de cerca , derecho de pesca y de nombrar Alcalde mayor y gu</t>
  </si>
  <si>
    <t>Díaz Ramírez de Arellano, Joseph</t>
  </si>
  <si>
    <t>Joseph Díaz Ramírez de Arellano</t>
  </si>
  <si>
    <t>de granaderos al de fusileros Don Joseph. Cardona; en el de Mllaga á segundo Subteniente ai Cadete D. Joseph Díaz Ramírez de Arellano: en el de Voluntarios de Castilla á primer Subteniente al segundo D. Joaquín María Lozano : en el de cazadores Voluntarios de la Corona á Subteniente de gastadores al de cazadores</t>
  </si>
  <si>
    <t>Díaz, Agustín</t>
  </si>
  <si>
    <t>Agustín Díaz</t>
  </si>
  <si>
    <t>l mismo cuerpo: Compañías en el batallón de la propia clase de las Quatro Villas á los Subtenientes D. Agustín Diaz, de granaderos, y D. Marcos González de Roxas; Subtenencia de granaderos al de fusileros D. Joseph Manuel de Neyra; Subtenencias al Sargento segundo de granaderos D. Plácido Rodrí</t>
  </si>
  <si>
    <t>Díaz, Francisco</t>
  </si>
  <si>
    <t>Francisco Díaz</t>
  </si>
  <si>
    <t>umbres y en la felicidad de la nación; y concluido se presentaron los niños asistidos de su maestro D. Francisco Diaz , y fuéron examinados por varias personas durante una hora en doctrina christiana por los catecismos de Ripalda y Fleuri, respondiendo con tal acierto y prontitud , que admiraron</t>
  </si>
  <si>
    <t>... .. 424. 15. Id. Francisco Díaz.............. / Francisco, Ramona Jorge Briviesca..... Búrgos....... .. 9. 1. Id. Cárlos Fernandez.......... Josef, Catalina Carmona.</t>
  </si>
  <si>
    <t>Díaz, Gregorio</t>
  </si>
  <si>
    <t>Gregorio Díaz</t>
  </si>
  <si>
    <t>e en el Real monasterio de la Visitación de Madrid, por fallecimiento de D. Sebastian de Salazar, á D. Gregorio Díaz; y para la que este obtiene en el mismo monasterio , con carga de misa de hora fixa, ¿ D. Isidoro Villar. El Rey se ha servido conferir el empleo de Teniente Coronel del regimient</t>
  </si>
  <si>
    <t>Díaz, Joseph</t>
  </si>
  <si>
    <t>Joseph Díaz</t>
  </si>
  <si>
    <t>r para una Caticongía de la catedral de Oviedo , vacante por fallecimiento de D. Gaspar de Jove , á D. Joseph Díaz. Asimismo se ha servido conceder á D. Juan de Villa , Administrador del Correo general con honores y voto de Director general de Correos, los del Consejo de Hacienda, sueldo y ant</t>
  </si>
  <si>
    <t>Díaz, Joseph Francisco</t>
  </si>
  <si>
    <t>Joseph Francisco Díaz</t>
  </si>
  <si>
    <t>102 J D. Lorenzo Molina, D. Tomas López, DI Joseph González, D. Manuel Asensio, D. Joseph Francisco Díaz, D. Juan Afán de Rivera, D. Ramón María de Utrilla, D. Juan Antonio Cosío , D. Joseph Vaca, D. Francisco Man glano, D. Miguel García Sacristán , D. Bartolomé Sandoval, D. Rafael T</t>
  </si>
  <si>
    <t>Díaz, Luis</t>
  </si>
  <si>
    <t>Luis Díaz</t>
  </si>
  <si>
    <t>d... 62. 5. Muerto. Luis Díaz............... .........Pedro, Antonia Lora.... .. Constantina.. Constantina . 3- 21. Id. Antonio Miguez........ ......... Gregorio, Josefa Taboas.. .. Reboreda......</t>
  </si>
  <si>
    <t>Díaz, Ramón</t>
  </si>
  <si>
    <t>Ramón Díaz</t>
  </si>
  <si>
    <t>nt: para la Canongía de la catedral de Tuy, vacante por fallecimiento de D. Ramón de Rivadeneyra, á D. Ramón Diaz de ia Peña: para la Canongía de la colegial de Lorca, en la diócesis de Cartagena,.vacante por promoción de D. Joachín Escunmo á Canongía de la catedral de Zamora, á D. Manuel de Ayu</t>
  </si>
  <si>
    <t>Didelot</t>
  </si>
  <si>
    <t>ia, que por estar enfermo va á Montpeller , se halla de paso en esta ciudad. El ciud. Didelot, Prefecto de palacio, fué ayer mañana á visitarle en nombre del primer Cónsul. El Príncipe se manifestó agradecido á esta atención, y dixo que sentía que su en</t>
  </si>
  <si>
    <t>eurnonville para Embaxador de la República francesa cerca deS. M. Católica : al ciud. Didelot, Prefecto de palacio , para Ministro plenipotenciario en Stuttgard: al ciud. Cayaignac para Residente y Comisario de Relaciones mercantiles en Máscate: al ciud</t>
  </si>
  <si>
    <t>Die</t>
  </si>
  <si>
    <t>ey á Capitán al Teniente de granaderos Don Vicente Andino: á Teniente de granaderos al de fusileros D. Die^o Antonio de Urrutia: á Tenientes á los Subtenientes de granaderos D. Francisco Romero y D. Vicente Vinegra ; y á esta resulta á los Subtenientes de fulleros D. Rafael García y D.</t>
  </si>
  <si>
    <t>sejos ; y para la Fiscalía de lo Civil y criminal de la Audiencia de Caracas, vacante por muerte de D. Die</t>
  </si>
  <si>
    <t>Diebetz</t>
  </si>
  <si>
    <t>nza al ciud. Muller para la parte civil, ai Capitán Benay para la militar, y al ciud. Diebetz para quanto tiene relación con los hospitales. Estos 3 comisionados se embarcarán á fines de esta semana para su destino en el bergantín el Aventurero, .Berna</t>
  </si>
  <si>
    <t>Dieg</t>
  </si>
  <si>
    <t>Usada cada fanega á 500 rs. Qufen quiera hacer postura ó mejora acuda a la escribanía del numero de D. Dieg0 En'u'viUa d?Oenpo*nelos se halla vacante la cátedra de gramática: su consignación es de ».«o rs. anuales y casa, y ademas pagan los d.scipulos lo que es costumbre, los pretendien</t>
  </si>
  <si>
    <t>Díegb de Godojr</t>
  </si>
  <si>
    <t>Pedro Ccvallos ; D. Joseph António Caballero.p'D. DotnirigOyGrahdállaria; D. Miguel Cayetano Soler; D. Díegb de Godojr; D. JoisépKCEüstía^óip ?M0renü;¿Mar^ués dé Gerralbo; Marques de San Simón; Conde déTrastainara; Marqués de Quintana ; Conde de Fernannuñez ; D. Rafael Muzquiz, Arzobispo de Santia</t>
  </si>
  <si>
    <t>Diego Alonso</t>
  </si>
  <si>
    <t>....... 244. 7. Id. Diego Alonso.............*......... DÍegc, Josefa Prado....... Melgar........ Palencia......... no. 18. Id. Angel Gil.............................. Josef, Manuela Márcos.... Villasendin</t>
  </si>
  <si>
    <t>Diegucz, Lorenzo</t>
  </si>
  <si>
    <t>Lorenzo Diegucz</t>
  </si>
  <si>
    <t>rial preconocidos par encargo de la academia por el Exctfio Sr. Condece Campotaánes ,&gt; y por el $r. D. Lorenzo Diegucz en el afio de 1761.=: Cotejos hechos en la misma librería por los dos ya áichos Sres» Académi-* eos para rectificar la cronología de España.- Tomo 3.0 Elogio-de--Antonio--de Nebrija</t>
  </si>
  <si>
    <t>Diesbach</t>
  </si>
  <si>
    <t>ecave* mayores males, hübiera sido general la inundación. Betna j de Enero. E 1 ciud. Diesbach, que acompañó á París al Lándammann Reding con esperanza dé quedarse éri Francia como Enviado de la República helvética» volverá á este país : pués le dixo el</t>
  </si>
  <si>
    <t>cipe Gorsiní para residir en esta corte en calidad de Embaxador, , : ■ • ; ' El ciud. Diesbach ,. Ministro, de Suiza , ha hecho su primera visita de ceremonia á los demas Ministros extranjeros. : - r ■ &lt; : Aunque no es costumbre qiie la Dieta de HuJUgria</t>
  </si>
  <si>
    <t>laza el Consejero Mr. Hoppe , primer oficial de la secretaría de negocios extranjeros en Viena. -4- Mr. Diesbach, nuestro Ministro cerca del .Emperador, se retira también dé aquella corte. El Consejo pequeño, que actualmente se compone de 6 vocales, ha decidido que por ahora no reemplazará á</t>
  </si>
  <si>
    <t>i antiguo cantón de Appenzell. ** Aunque él Consejo pequeño ha enviado orden al ciud. Diesbach, Ministro de Suiza enViena, para que se restituya á Berna y dé cuenta de su conducta 4 se sabe que no ha salido todavía de aquella capital, en la que sigue</t>
  </si>
  <si>
    <t>seguraros miestimacion personal/* Con fecha de 9 del corriente respondió así el ciud. Diesbach: „No tengo que dar cuenta ninguna á un gobierno que jamas he reconocido, y de que no he recibido poderes. Quando el ciud, Reding, primer Landammann establecido</t>
  </si>
  <si>
    <t>Diésbach</t>
  </si>
  <si>
    <t>Ha tomado este gobierno una resolución definitiva en orden á la corres* pondencia que Mr. Diésbach siguió con .el Secretario dé íÉ tádo dé la República. Por decreto de i.° del corriente se martda qiie aquel -Ministró' y su secretario Lentulus comparezcan ante el tribynal del ca</t>
  </si>
  <si>
    <t>Díesbach</t>
  </si>
  <si>
    <t>er en calidad de Encargado de Negocios de la República de Helvecia cerca -del Emperador. Añaden que Mr. Díesbach solicitó que le reconociesen nuevamente^ como Representante de la confederación helvética formada contra el gobierno legítimo; pero se des* ■.preció semejante solicitud, y aun se</t>
  </si>
  <si>
    <t>Diez Nieto, Luis</t>
  </si>
  <si>
    <t>Luis Diez Nieto</t>
  </si>
  <si>
    <t>ar de ella, á principios de Julio último éú un niño y tres niñas del Teniente Coronel de infantería D. Luis Diez Nieto; y viendo su feliz éxito, siguióla operación ~no solo en niños, sino también en adultos; é inoculó ¿ Doña Petra dé Aceves y. Mora, muger de dicho Teniente Coronel, y ¿Isabel Gutié</t>
  </si>
  <si>
    <t>Diez, Alonso</t>
  </si>
  <si>
    <t>Alonso Diez</t>
  </si>
  <si>
    <t>cosOgueta. Manuel, Micaela Angela... Anastro...... Búrgos............ 230. 14. Licenciado. Cabo i.° D. Alonso Diez.;* 'Don Lorenzo, Dona.María Antonia.. ............... PiñeldeAbaxo.Palencia....... 610. 3. Id. Xavier Minguez........... ManueK, María Mazo.,....... Quel......... Calahorra.... 18</t>
  </si>
  <si>
    <t>Diez, Juan</t>
  </si>
  <si>
    <t>Juan Diez</t>
  </si>
  <si>
    <t>Juan Diez........................... . Eugenio, María Solano... Ausejo....... Calahorra.... S7.5.IS. Muerto. Marcas Otero...................... . Padre incógnito, Josefa Otero.....................</t>
  </si>
  <si>
    <t>Diírango, Francisco</t>
  </si>
  <si>
    <t>Francisco Diírango</t>
  </si>
  <si>
    <t>743 En Valladoltd...... D. Francisco Diírango é hijo mayor. Zamora......... . D. Vicente Perez de Tejada. En Zaragoza........ D. Tomas de la Madrid. \ ^ En Zeuta.............. D. Pedro Huguet , comisionado snbalterno del de C</t>
  </si>
  <si>
    <t>Dííz, Joséph</t>
  </si>
  <si>
    <t>Joséph Dííz</t>
  </si>
  <si>
    <t>para Una Media- Rácioh de la catedral dé Salamanca, vacante por fatlecimíénto 'Bé D. Manuel Sanz, á D. Joséph Dííz , Cura párrocq dél lugar de Má^tin AmbVi'obispado de Salamanca: para una Media-Ración de la Catedral dé; Onhueia j-vacante por muerte dé IX Antonio Áznar*, á D. Frahci^eo Má^ y Pé</t>
  </si>
  <si>
    <t>Dillon, Coronel</t>
  </si>
  <si>
    <t>Coronel Dillon</t>
  </si>
  <si>
    <t>Spencer Sroith,. que era últimamente Ministro plenipotenciario de Inglaterra cerca de la Puerta, el Coronel Dillon, Mr. Palmer, y otros; y por el Marques de Luche sini, Ministro de Prusia, el Príncipe de Licknowsky,, que ha pasado á ser vasallo de Prusia con la. nueva repartición de Polonia, E</t>
  </si>
  <si>
    <t>diputado Freuler</t>
  </si>
  <si>
    <t>nte Rapp dándole gracias por haber querido escuchar las representaciones de sus diputados Pfyffer y Freuler. El primera le presentó una nota que entre otras cosas contiene lo que sigue: ,, Me ha encargado la Dieta suiza de Schwitz decir al Sr. Ayudante general Rajvp</t>
  </si>
  <si>
    <t>diputado Hamburgo</t>
  </si>
  <si>
    <t>ecto que es una obra llena de erudición y de investigaciones nuevas, v . f , Un diputado Hamburgo 1$ de Noviembre. de la ciudad de Lubeck ha llegado á Berlín con representaciones contra el decreto de la diputación del Imperio que obliga á las citidales impe</t>
  </si>
  <si>
    <t>diputado Mr</t>
  </si>
  <si>
    <t>ii4i Berna17 de Octubre, S e despacháron dé aquí á Schwitz por diputados Mr. Fischer 9 Presidente de la junta de los Diez, y Mr. Frieschicg, para concertarse con la dieta de aquella ciudad sobre el partido que debía tomarse en las actu</t>
  </si>
  <si>
    <t>diputado Pfyffer</t>
  </si>
  <si>
    <t>director Conde del Aguila</t>
  </si>
  <si>
    <t>servancia de su estatuto tuvo el 23 de Noviembre junta general presidida por su director Conde del Aguila, con asistencia de todas las clases del pueblo. Una música militar celebraba la unión de los ciudadanos dedicados al bien público,; y juntos para darle cuenta</t>
  </si>
  <si>
    <t>Director Ministro</t>
  </si>
  <si>
    <t>e juntará tres veces por década; y cada Consejero despachará diariamente con el Director Ministro. Se adoptarán providencias para que coii motivo de esta creación no se aumenten empleados-ni sueldos en la Ser cretaría de Guerra. .</t>
  </si>
  <si>
    <t>DLesbacch</t>
  </si>
  <si>
    <t>umpiper como Ministro plenipotenciario del Emperador; y que nuestro Ministro el ciud. DLesbacch fué muy bien recibido en Viena. El ciud. Champagni, Embaxador de la República francesa, lo presentó aí Conde de Cobentzel, y este al Emperador. El General fran</t>
  </si>
  <si>
    <t>Dmñiirqo Mótiteverdéi</t>
  </si>
  <si>
    <t>ph Kenrique Forvin, D. Joaquiir dé Villalba, D. Candido de Lasala ¿ D. Gerónimo Caballero y Obando, Don Dmñiirqo Mótiteverdéi¡ Dí Joireph' dé li Muela‘;Gutierrez , D Pedro Marfand ^Gallego i D. Rafael Ximenez de Montalho, D. Pedro Baeza y Alcalde ,D. Modesto Ibañéz de Corbera, L&gt;: Pedro de Lamas y la Tor</t>
  </si>
  <si>
    <t>Dnx---- Lanzóla</t>
  </si>
  <si>
    <t>asy al patriotismo de todos los ciudadanos de la Liguria.’* Firmado*. Durazzo , Dnx---- Lanzóla, Secretario general. Milán $ de Octubre. H, a. publicado el gobierno cómo ley de la República un decreto del Cuerpo. legislativo que, contiene el arreglo de lá ¿guardia nadona!. Servirán en e</t>
  </si>
  <si>
    <t>Dofgorousky, Príncipe</t>
  </si>
  <si>
    <t>Príncipe Dofgorousky</t>
  </si>
  <si>
    <t>de silla que se han enviado á Memel servirán para nuestro Soberano y para el Emperador de Rusia. El Príncipe Dofgorousky, Ayudante de S. M. Imperial, ha salido de aquí con la respuesta de nuestro Soberano á la carta qué le escribid el Emperador para fixar el día de su conferencia en Memel. v Se aseg</t>
  </si>
  <si>
    <t>Doider</t>
  </si>
  <si>
    <t>aetermináron varios vecinos armados con sables, pnñiiesy pistolas ir á casa del ciud. Doider: hiciéronió así , y amenazaron asesinarle si no firmaba inmediatamente un acto de renunciare todos los empleos qué tenia, ó que pudiesen confiarle en adelante.</t>
  </si>
  <si>
    <t>Doininicis, Joseph</t>
  </si>
  <si>
    <t>Joseph Doininicis</t>
  </si>
  <si>
    <t>eñas y Vega, D. Joseph Tobías y Rodríguez, D. Rafael Domínguez Aguayo, D.. Jacinto Valdasano y Ros, D. Joseph Doininicis#y Montan!, D. Francisco del Ñero , D;. Miguel Ortiz Canela, D.-FelicianoMallen y Ramos, D. Francisco Tamariz y Moure, D. Gregorio A'guádo'y Payan * D. Joseph Rovira y Mico rD. Fra</t>
  </si>
  <si>
    <t>Dolder</t>
  </si>
  <si>
    <t>dispuesta para la Suiza. Luego pidió y consiguió el derecho de vecindad para el ciud. Dolder, Ministro de rentas en Berna , el quai ha ofrecido que la ciudad de Laufenburgo será la capital de dicho cantón. Desde el dia 6 hasta el 2Ó tuviéron los princi</t>
  </si>
  <si>
    <t>or, el ciud. S.chmit el de guerra, el ciud. Kuhn el de policía y justicia, y el ciud. Dolder el de rentas. Habiendo declarado el Secretario general que reconocía la legitimidad y autoridad del Consejo pequeño, ha sido reintegrado en su empleo, Rotna 14 d</t>
  </si>
  <si>
    <t>Dólder</t>
  </si>
  <si>
    <t>; pero si efectivamente no se presentad, se seqiiestrarán sus bienes. \ j . Los ciudadanos Dólder» Landammann, Ruttiman y Eussíy* primero y segundo Statthaltérs, forman el Consejo, executivo , y apaban de comunicar val Senado uña lista de sugetos, paraquee</t>
  </si>
  <si>
    <t>e oñcio los dos avisos siguientes. „ Habiendo hecho dimisión de sus empleos ios ciudadanos Dolder, Landammann, Ruttiman y Fussly, Statthalters, eligió el Senado en su lugar á los ciudadanos Wattville, Monod y Eglise: y no habiendo podido estos admitir su no</t>
  </si>
  <si>
    <t>Dolgorucky, Príncipe</t>
  </si>
  <si>
    <t>Príncipe Dolgorucky</t>
  </si>
  <si>
    <t>saldrá de aquí para el palacio de Orangen&amp;tein la Princesa heredera de Orange , hermana dél Rey. Ef Príncipe Dolgorucky, Ayudante general del Emperador de Rusia, llegó ayer á esta ciudad, y confirma el viage de su Soberano á Memel. El mismo día vino de París el Sargento mayor Krusemark , Ayudante d</t>
  </si>
  <si>
    <t>Dombay</t>
  </si>
  <si>
    <t>e aquí para Constantinopla el Barón de Sturmer, nombrado Internuncio imperial cerca del Gran Señor. Mr. Dombay ha sido promovido á Consejero de corte para los asuntos de Turquía en ia chancillería de corte y estado. Aunque la Dieta de Hungría no hará su abertura hasta el 2 de MayOj empezar</t>
  </si>
  <si>
    <t>Domenech, Ignacio Antonio</t>
  </si>
  <si>
    <t>Ignacio Antonio Domenech</t>
  </si>
  <si>
    <t>s. Asimismo se ha servido nombrar para otra Canongía de la referida catedral, vacante por muerte de D. Ignacio Antonio Domenech , á D. Juan Ignacio Vega y Caballero, Racionero de la propia iglesia: para esta Ración al Medio-Racionero D. Juan Manuel de España: para esta Media-Ración á D. Ignacio Sánchez Iba</t>
  </si>
  <si>
    <t>Domeneo, Joseph</t>
  </si>
  <si>
    <t>Joseph Domeneo</t>
  </si>
  <si>
    <t>D, Rafael Seáis, D. Joseph Sotolongo, D. Juan Cirera, D. Joseph de la Cuesta, D. Francisco Quesada, D. Joseph Domeneo ,;D. Joaquín de Rayas?, P. Nicolás Guascoñi, D. Mariano Vives, Don Juan de la Garma j D. Miguel Plowes, D. Marcos Funguion, D. Bernardo■ Tacón, D. Joseph Tacón, D. Francisco Boneo</t>
  </si>
  <si>
    <t>Domenichini, Joseph</t>
  </si>
  <si>
    <t>Joseph Domenichini</t>
  </si>
  <si>
    <t>taire , y una descripción dé Férney: traducido del francés al italiano, y de esté al castellano por D. Joseph Domenichini. Véndese en las librerías de Escribano , y de Barco , carrera de S. Gerónimo. Colección general de los trages que actualmente se usan en Espáfía: quádér— no 6.°, que contiene los</t>
  </si>
  <si>
    <t>Domingo- Antonio de Mirahda</t>
  </si>
  <si>
    <t>general estimación, y harán recomendable su memoria. ; &lt;: Por providencia del Sr. Alcalde de corte D. Domingo- Antonio de Mirahda, se ha mandado sacar á pública subasta por término de 30 dias, una casa grande en la villa de la Alameda en su calle Real, .distante de esta corte una legua; la qual tiene quarto</t>
  </si>
  <si>
    <t>Domingode Miranda</t>
  </si>
  <si>
    <t>HclrrayjDWJosóph ^aifcja Campero, Don Manuel de la Llave y Coca, B;Í^Francisco deila Llave y Coca , D. Domingode Miranda, D. Manuel de. Vill¿n» y 'HorHer^ I3DIgnacio Yusti vjS Urrutia, D. Juan Barrí y Ximénei , Di Mariano Mezcolta yBarbacftanóyDdh Alonso de Riva Valdés Coalla, B. .Pedro Montuebftodr</t>
  </si>
  <si>
    <t>Domínguez Aguayo, Rafael</t>
  </si>
  <si>
    <t>Rafael Domínguez Aguayo</t>
  </si>
  <si>
    <t>stales y Pareja, D. Lorenzo Ortiz Canela, D. Marcelino Dueñas y Vega, D. Joseph Tobías y Rodríguez, D. Rafael Domínguez Aguayo, D.. Jacinto Valdasano y Ros, D. Joseph Doininicis#y Montan!, D. Francisco del Ñero , D;. Miguel Ortiz Canela, D.-FelicianoMallen y Ramos, D. Francisco Tamariz y Moure, D. Gregori</t>
  </si>
  <si>
    <t>Domínguez de Tejada, Francisco</t>
  </si>
  <si>
    <t>Francisco Domínguez de Tejada</t>
  </si>
  <si>
    <t>a la Canongía de la colegial de Antequera, en el obispado de Málaga , que vacó por fallecimiento de D. Francisco Domínguez de Tejada, á D. Esteban Rodríguez ; y para el Beneficio simple servidero de las villas de Castro y Espejo , en la diócesis de Córdoba, vacante por muerte de D. Félix Gil de Olaun y Briones,</t>
  </si>
  <si>
    <t>Domínguez, Agustín</t>
  </si>
  <si>
    <t>Agustín Domínguez</t>
  </si>
  <si>
    <t>...... 375. 3a. Id. Agustín Domínguez............Pascual, María Magaña... Sta.Christina. León................ 678. 11. Id. Cabo 2.“ Pedro Gómez....... Pedro, María López............. Alsacar.......... Granada</t>
  </si>
  <si>
    <t>Domínguez, Carlos</t>
  </si>
  <si>
    <t>Carlos Domínguez</t>
  </si>
  <si>
    <t>87. 17. Id. Cárlos Domínguez.............. Padre incógnito , Catalina Domínguez....*................ Tornóles....... Salvatierra... 171* 33» Id.</t>
  </si>
  <si>
    <t>Domínguez, Estéban</t>
  </si>
  <si>
    <t>Estéban Domínguez</t>
  </si>
  <si>
    <t>• Estéban Domínguez........... Franciy&lt;&gt;9 Angela Paulo.. S. Miguel.... León.............. 33. 39. Id. Henrique Rentero.............. Juan , jpolonia Rubio.....</t>
  </si>
  <si>
    <t>Domínguez, Francisco</t>
  </si>
  <si>
    <t>Francisco Domínguez</t>
  </si>
  <si>
    <t>...... 183. 10. Id. Francisco Domínguez....... Antonio, Catalina Basal... Casteligo..... Orense........... 139. 29. Id. Andrés Escariz..................... Andrés. Ana María Parada. Sta.María Segril........</t>
  </si>
  <si>
    <t>Domínguez, Joseph</t>
  </si>
  <si>
    <t>Joseph Domínguez</t>
  </si>
  <si>
    <t>para conseguir el. virus de la vacuna, y habiéndolo tenido, practicó el primer ensayo en la hija de D. Joseph Domínguez, de la misma vecindad; y como no surtiese él efecto, repitió, sin detenerle las preocupaciones del Vulgo, ía operación con nuevo virus, y á los 11 dias se conoció haber prendido e</t>
  </si>
  <si>
    <t>Domínguez, Joseph María</t>
  </si>
  <si>
    <t>Joseph María Domínguez</t>
  </si>
  <si>
    <t>r la escribanía de provincia de D. Juan Antonio Díaz Noriega. Se cita y emplaza á los acreedores de D. Joseph María Domínguez , vecino que fué de esta corte, para que en el- término de 30 dias, contados desde el si de este mes , que por tres términos y el último perentorio se les seííala, comparezcan ant</t>
  </si>
  <si>
    <t>Domínguez, Juan</t>
  </si>
  <si>
    <t>Juan Domínguez</t>
  </si>
  <si>
    <t>15. 27. Licenciado, Juan Domínguez................ Sebastian, María Menera.. Xerezdélos.. Caballeros... ior. 10. Id. Cenon Alvarez................. Estéban, Manuela Bordon. Villaviciosa.. Oviedo.......</t>
  </si>
  <si>
    <t>Domínguez, Lorenzo</t>
  </si>
  <si>
    <t>Lorenzo Domínguez</t>
  </si>
  <si>
    <t>70. 33. Id. Lorenzo Domínguez......... . Gaspar , María Martínez... Castrocalvo.. León........... 94. *4-, Id. Lorenzo Saez...........'.......... . Lúeas, Ines del</t>
  </si>
  <si>
    <t>Domínguez, Martín</t>
  </si>
  <si>
    <t>Martín Domínguez</t>
  </si>
  <si>
    <t>lid.... 90. 16. Id. Martin Domínguez...........Dionisio, Gertrúdis Pozo... Pozon..'............ León.............. 41. 10. Id. Fausto González............... . Gabriel, Antonia Sánchez.. Sta. María de</t>
  </si>
  <si>
    <t>Domínguez, Ramón</t>
  </si>
  <si>
    <t>Ramón Domínguez</t>
  </si>
  <si>
    <t>10. 16. Id. Cabo 2. 0 Ramón Domínguez.................................. Lorenzo, Juana Fernandez. Tordoles..... Salvatierra... 420. Muerto. Francisco Estébez............... Josef, Angela Vicenta......... Membibre..</t>
  </si>
  <si>
    <t>Don' Gabriel-Qüixaiió</t>
  </si>
  <si>
    <t>í:&gt; xr Epístolas&lt;dé^5»7Pablo-Apóstol parafraseadas, traducidas del toscanó;por Don' Gabriel-Qüixaiió, presbítero : quárta edición , hecha con esmero y adoraadacon una estátapa detApÓstolyel qual sfnofendérei mérito, ni menoscabar él’honor? de. los autores*ayostóliéó*, es como el maestro de t</t>
  </si>
  <si>
    <t>Don, Coronel</t>
  </si>
  <si>
    <t>Coronel Don</t>
  </si>
  <si>
    <t>do de granaderos D. Cipriano Benitez: en el de Granada á Comandante del tercer batallón al Teniente Coronel Don -Martin González de Menchaca, Sargento mayor del de León: en el de Toledo á primer Teniente al segundo de granaderos D. Diego Antonio Carta; y en el de Voluntarios de Castilla á C</t>
  </si>
  <si>
    <t>DoñaMaría Antonia</t>
  </si>
  <si>
    <t>s el Príncipe de Asturias Ntro. Sr. con la Serenísima Sra. Princesa de Náp fies DoñaMaría Antonia, hija de los Reyes;de las Dos-Siciiias. y la Sra. Infanta Doña María Isabel con el Serenísimo Sr. Príncipe D. Francisco Genaro,, herederode las DosSicilias: habiendo sido padrinos de am</t>
  </si>
  <si>
    <t>Donato Espinoso</t>
  </si>
  <si>
    <t>52. 2. Muerto. Donato Espinoso.......... Juan, Francisca Roca...... Villagudo.. ..Ciudad-Real. 71. 36. Id. Andrés Eeuei.tez............ Juan .Joaquina Soa</t>
  </si>
  <si>
    <t>Donato García</t>
  </si>
  <si>
    <t>resentaron como pretendientes el P. Fr. Andrés Pontide, Trinitario-calzado, y profesor de medicina, D. Donato García, D. Andrés Alcoa y D. Bernabé de Salcedo, discípulos déi Real establecimiento. Empezáron los exercicios en 25 de Octubre, y continuáron hasta el 29. Hizo cada uno una memoria sobr</t>
  </si>
  <si>
    <t>Donayrej de Pablo Carbonell, Gregorio</t>
  </si>
  <si>
    <t>Gregorio Donayrej de Pablo Carbonell</t>
  </si>
  <si>
    <t>D. Diego Cortés, D. Juan O-Donovan, D. Joaquín 0-ReiUy\D. Joseph de la Piedra, D. Santiago Moreda , Don Gregorio Donayrej Dé Pablo Carbonell, D. Juan Antonio Martínez, Don Joaquín Goyeneche j D. Vicente de Campos, D. Vicente Pallas, D. Manuel Herrero, D. Jóaquin Egaña, D. Alexandro Antonio Ojéá, D. Gaspar Barón de Rocr</t>
  </si>
  <si>
    <t>Doniingo Calaon</t>
  </si>
  <si>
    <t>én, con fecha i.u de Julio de este afio. Quien supiere de su paradero le remitiré ó avisará á dicho D. Doniingo Calaon , en Andúxar, ó á D. Manuel Ortis de Muga, én Madrid, calle de Leganitos, núm. xa. Don Manuel Codina y compañía, de Barcelona, remitiéron el it de Agosto é D. Manuel Buch y Buch ,</t>
  </si>
  <si>
    <t>Donoso, Antonio</t>
  </si>
  <si>
    <t>Antonio Donoso</t>
  </si>
  <si>
    <t>io batallón D. Bernardo de Muro. Asimismo S. M. se ha dignado conceder al Teniente Coronel graduado D. Antonio Donoso , Ayudante veterano del esquadron de Milicias de car ballería de Pardos de Lima, el empleo de Sargento mayor del batallón de Españoles de milicias de la misma ciudad. El Sr. D. Se</t>
  </si>
  <si>
    <t>Doorman</t>
  </si>
  <si>
    <t>plenipotepciarjo. de la República cerca del círculo de la Baxa-,Saxonia , eL qual se despedia ; ry Mr. Doorman , Síndico de Hambprgo. . . . : &gt; Ha llegado á París el General Menou, y ha. sido presentado al primer Cónsul;, que le recibió cón mucha distinción. Díxole Menou: ,,Cónsul, al pres</t>
  </si>
  <si>
    <t>Dorado, Domingo</t>
  </si>
  <si>
    <t>Domingo Dorado</t>
  </si>
  <si>
    <t>158. 31. Muerto. Domingo Dorado....... . Ramón , Isabel Lima.......... Mosqueyro... Orense.., 61. 33. Id. Domingo Torres................. Andrés, Josefa V</t>
  </si>
  <si>
    <t>Dorado, Francisco</t>
  </si>
  <si>
    <t>Francisco Dorado</t>
  </si>
  <si>
    <t>..... 531. _ 4. Id. Francisco Dorado............... Juan, María Ruiz............... Madrid.......... Madrid.......... &lt;06. 33. Id. Francisco Ximenez............ Francisco, Lorenza Sánchez........................</t>
  </si>
  <si>
    <t>Doral, Juan</t>
  </si>
  <si>
    <t>Juan Doral</t>
  </si>
  <si>
    <t>..... Zamora....... Juan Doral............................ Francisco , María López... CotoValboa.. León............... I. 28. Id.</t>
  </si>
  <si>
    <t>Dorberg, Capitán</t>
  </si>
  <si>
    <t>Capitán Dorberg</t>
  </si>
  <si>
    <t>elidad, valor y amor á la patria. Ha salido para Guinea el Capitán Meinertz* y para la Guadalupe el Capitán Dorberg. Asimismo, Mr. Nicolaysen se ha hecho á la vela con tropas para la isla de Sta. Cruz. Hamburgo 12 de Diciembre. D e todo el Norte se reciben de continuo noticias de desastres caus</t>
  </si>
  <si>
    <t>Doria-Paintili, Cardenal</t>
  </si>
  <si>
    <t>Cardenal Doria-Paintili</t>
  </si>
  <si>
    <t>perdido , tiene para ser todavía metrópoli de las bellas artes. En conseqíiencia,; lia dirigido al Cardenal Doria-Paintili, Camarlengo de la Santa Iglesia, un rescripto, que dice en substancia : ,,Uno de los puntos que siempre miraron nuestros mayores como mas dignos de su atención fué la conservación</t>
  </si>
  <si>
    <t>Doronzoro, Joseph</t>
  </si>
  <si>
    <t>Joseph Doronzoro</t>
  </si>
  <si>
    <t>D. Martin Iriarte, D. Vicente de Flores VülamiJ,^. Francisco .Füente^Bircancgra, D. Juan Coronado, D. Joseph Doronzoro, D« Joseph R.eynoso Roldan , 0. Angel Crespo Martínez, D. JosephTde^éspj^§, Í&gt;; Antonio Van-halen y Morfi, Don Joseph Bernia , &lt;D.j6sephBrandaTÍs ,D. igna.cio Meftdizafcaí, D. Fer</t>
  </si>
  <si>
    <t>Dos Sicilias</t>
  </si>
  <si>
    <t>Doña María Isabel con el Serenísimo Sr. Principe D. Francisco, heredero de,las Dos Sicilias, hijo 'de SS. MM. Sicilianas, se ajusfaron y firmaron en Aranjuez por los respectivos Plenipotenciarios ambos tratados matrimoniales, y precedida la dispensa ue S. S. f que hacia necesa</t>
  </si>
  <si>
    <t>Doña María Isabel con el Serenísimo Sr. Príncipe D. Francisco , heredero de las Dos Sicilias, hijo de los mencionados Reyes: y bendiciendo el Todopoderoso las buenas intenciones deSS. MM. 9 di rígidas á que no falte la^sutésipn legítima en su monarquía, á estrechar con nuevos v</t>
  </si>
  <si>
    <t>DotnirigOyGrahdállaria</t>
  </si>
  <si>
    <t>. ; Las ha concedido S. M.’ á los Exchió's/S'reM: D. Pedro Ccvallos ; D. Joseph António Caballero.p'D. DotnirigOyGrahdállaria; D. Miguel Cayetano Soler; D. Díegb de Godojr; D. JoisépKCEüstía^óip ?M0renü;¿Mar^ués dé Gerralbo; Marques de San Simón; Conde déTrastainara; Marqués de Quintana ; Conde de Fernan</t>
  </si>
  <si>
    <t>DoUer</t>
  </si>
  <si>
    <t>costas. Basilea 5 de Julio. «I nuevo Senado acaba de nombrar por Landammann al ciud. DoUer, y por primer Stathalter al ciud. Kutiman, y por segundo al ciud. Fusly.</t>
  </si>
  <si>
    <t>Doyle, Henrique</t>
  </si>
  <si>
    <t>Henrique Doyle</t>
  </si>
  <si>
    <t>a, y en Cádiz en la de Comes y Cerezo. Tratado sobre la cria y propagación de pastos y ganados, por D. Henrique Doyle: dos tomos en rústica 16 rs. Se hallarán en ia librería de Castillo, frente á San Felipe el Real. Empresas, victorias, derrotas y desgracias del Príncipe Carlos Eduardo Stuard, pr</t>
  </si>
  <si>
    <t>Dreyer</t>
  </si>
  <si>
    <t>ario de Rusia; Mr. Tackson, Ministro de Inglaterra; Mr. de Luchesini, Plenipotenciario de Prusia, y Mr. Dreyer, Enviado extraordinario de Dinamarca. Asimismo, Mr. de Reitzenstein entregó al primer Cónsul una carta de S. A, S. el Margrave de Badén, en que ie comunica La muerte de su hijo el</t>
  </si>
  <si>
    <t>Ehrensw.ard, Enviado extraordinario de Suecia; por Mr. Jackson, Mini tro piempotenoar.o ingles; oor Mr Dreyer, Ministro de Dinamarca; por el Marques Oe Lucfiestni, Ministro de Bmsia; por el Conde de Marcoff Ministro de Rmiat y por el ciud Smits . Encargado interino de Negocios de la Repúb</t>
  </si>
  <si>
    <t>Drummond</t>
  </si>
  <si>
    <t>tán se hallaba ya de vuelta en el Bengala. Roma 14 de Noviembre. H; . a salido de aquí para Ñapóles Mr. Drummond, que residirá en calidad de Ministro del Rey de Inglaterracerca del Rey de las Dos Sicilias. El ciud. Brunet, Ayudante, del General francés Murat, llegó á esta ca^ pital el 10 por</t>
  </si>
  <si>
    <t>Dtwinrer, Almirante</t>
  </si>
  <si>
    <t>Almirante Dtwinrer</t>
  </si>
  <si>
    <t>Liorna que habiá habido un combate naval en el Mediterráneo entre la esquadra bátava mandada por el Almirante Dtwinrer y cierto número, de corsarios berberiscos, se publicó de oficio el aviso siguiente: í,Xa esquadra del Almirante Dewinter ha recor-^ rido pacificamente todas las escalas dé Berbería,</t>
  </si>
  <si>
    <t>Dübelloy</t>
  </si>
  <si>
    <t>— ■mer Cónsul le juzga digno de la recompensa dé colocarle | éntre vósótrósí El ciud. Dübelloy ha sido durante 5 o años de pontificado- el modelo de íá Iglesia galicana'; y colocado ahoía en Iá primera silla de Francia, está dando el exemplo de todas las</t>
  </si>
  <si>
    <t>Dubelloy, Juan Bautista</t>
  </si>
  <si>
    <t>Juan Bautista Dubelloy</t>
  </si>
  <si>
    <t>11 de Abril. A caba de nombrar el primer Cónsul para el arzobispado de París al ciud. Juan Bautista Dubelloy, que fue Obispo de Marsella, é hizo dimisión de aquella mitra. Aunque de edad de 90,años, conserva toda la fuerza y vigor de alma y cuerpo, y no es ménos vener</t>
  </si>
  <si>
    <t>Dubois</t>
  </si>
  <si>
    <t>a llegado á Francia este cisalpino en el bergantín el Hurón con los pliegos del ciud. Dubois. Por la secretaría de Marina se ha encargado á los Prefectos marítimos publiquen en sus respectivos distritos que en fuerza de los nuevos convenios estipulados</t>
  </si>
  <si>
    <t>Dubois Thainville</t>
  </si>
  <si>
    <t>que un xefe de bandidos. Tocas las costas y todos ios puertos son nuestros.” El ciud. Dubois Thainville, Encargado de Negocios , Comisario general de comercio de la República francesa en Argel, escribe con fecha del 5, que el tratado entre la República francesa y</t>
  </si>
  <si>
    <t>Dubois Thautville</t>
  </si>
  <si>
    <t>iiioii naval. Por orden suya comuniqué instvúcdorfes al Encargado def Ñegbcios: ciud. Dubois Thautville, que obró con tanta energía'y dignidad cí»ino prudencia. El 5 de Agosto se presentó en Argel dicnádivi ion mandada por el Contra-Almirante Lei&amp;ségues: en ella</t>
  </si>
  <si>
    <t>Dubois--fhainville, Carlos Francisco</t>
  </si>
  <si>
    <t>Carlos Francisco Dubois--fhainville</t>
  </si>
  <si>
    <t>s relaciones. En conseqiiencia Mustafá Baxá Dey, en nombre de la Regencia, y el ciud. Cárlos Francisco Dubois--fhainville, Encargado de Negocios, y Comisario'general de relaciones mercantiles de la República francesa, con plenos poderes para tratar la paz con -la Regencia, convini</t>
  </si>
  <si>
    <t>Dubois-Thainville</t>
  </si>
  <si>
    <t>á hacer que se paguen todas las sumas que sus vasallos,deban á franceses: y el ciud. Dubois-Thainville se obliga también en nombre de su gobierno á hacer que se satisfagan todas las que pidan legítimamente los vasallos argelinos. Art. 14. Los bienes de todos los</t>
  </si>
  <si>
    <t>Dubuc</t>
  </si>
  <si>
    <t>curso los mártes, juéves y sábados de cada semana. Hallándose el año de 1800 el ciud. Dubuc, oficial de marina, en la Isla de Francia, cargó en un buque dinamarqués, que hacia rumbo para la. India , una suma de 24® francos para socorrer á su familia ,</t>
  </si>
  <si>
    <t>:y jrestóáble inglés la núséría á qué hf’^uenra líibia reducido la' familia d^l ciud. Dubuc y ‘solicitó éí; consentimiento efe sii t^pulábiQtí./paril'r^itulf'á'a^uéÚá familia la cantidad apresada, y lo cóhsigiiio efectivamente; Escribió1 en conseqüéñcia</t>
  </si>
  <si>
    <t>Ducascar, Joseph</t>
  </si>
  <si>
    <t>Joseph Ducascar</t>
  </si>
  <si>
    <t>. Antonio Quirós, D. Josepn Villavicencio y IX Luis Goqneíin; y en la tercera D. Antonio Letoná y - D. Joseph Ducascar. A los det estas ^^^P^^^^O ^P^ ^ ^ci^fentp^é.se esnéStífca^e su ap^ar cion,y del esmero de su maestro. i ¡yú-.-'J'■ :v * Íj^fSQÍI ■ P f edí-í:,.;- S dúvJ^09t0¿. '} i, r;:v.-.:::.-</t>
  </si>
  <si>
    <t>Ducknvorth, Almirante</t>
  </si>
  <si>
    <t>Almirante Ducknvorth</t>
  </si>
  <si>
    <t>uy legítimo , que hay multitud de retratos del primer Cónsul en la esquadra inglesa.” Respuesta del Almirante Ducknvorth, Comandante en Jamayca , al Almirante Villaret-Joyeuse, fecha el 79 de Febrero en Puerto-Real de la Jamayca. „He recibido la carta que V. E. me ha escrito comunicándome la llegada</t>
  </si>
  <si>
    <t>Duckworth, Almirante</t>
  </si>
  <si>
    <t>Almirante Duckworth</t>
  </si>
  <si>
    <t>rra., y 1.318,000 para la Irlanda. Se aprobaron todas sus proposiciones casi sin debates. El Contra-Almirante Duckworth, que mandaba el apostadero de. la Martinica, ha ido de allí á Jamayca en el navio Leviathan, y ha tomado eí mando de la esquadra inglesa que hay en aquella colonia. . Un gran núme</t>
  </si>
  <si>
    <t>iento de la tranquilidad pública en Santo Domingo, despachará quanto ántes este ministerio orden al Almirante Duckworth, comandante del apostadero de Jamayca, para que envíe á Inglaterra todos los buques de guerra que hay en aquella isla , excepto los pocos que suelen, quedar en tiempo de paz para</t>
  </si>
  <si>
    <t>Duckworth, Juan</t>
  </si>
  <si>
    <t>Juan Duckworth</t>
  </si>
  <si>
    <t>ponia á dar la vela, entró en la rada la fragata Cornelia de vuelta de Jamayca. El Almirante ingles Mr. Juan Duckworth recibió con mil atenciones al Capitán Villemandrin, y al Alférez de navio Clouet , agregado á mi estado mayor, los quales le entregaron mis pliegos. Se a'egró mucho de tener ocasi</t>
  </si>
  <si>
    <t>Dufay</t>
  </si>
  <si>
    <t>lmirante Hartsinzk con el navio francés el Zeloso de 74 cañones, mandado por el ciud. Dufay. En esta división destinada para Sto. Domingo van de 2 á 3® hombres de tropas. lia llegado á Bruselas el limo. Osmond , Obispo que fue de Comminges, y estaba e</t>
  </si>
  <si>
    <t>Dufourny</t>
  </si>
  <si>
    <t>Dugi, Francisco</t>
  </si>
  <si>
    <t>Francisco Dugi</t>
  </si>
  <si>
    <t>á segundo Teniente al Subteniente de granaderos D. Gaspar Fernaiidez; á esta resulta al Subteniente D. Francisco Dugi, y á Subteniente, al Cadete D. Domingo de Tolosa. En cumplimiento de lo mandado por S. M. en Real Pragmática Sanción de 30 de Agosto de 1800, desde i.° de Abril próximo hasta 31 d</t>
  </si>
  <si>
    <t>esta resulta al segundo Teniente D. Juan -Granados; á segundo Teniente al Subteniente de granaderos D. Francisco Dugi; á Subteniente de granaderos al de fusileros D. Rafael del Campo, y á Subteniente al Sargento primero D. Juan Arteaga. En el Real cuerpo de Artillería ha promovido S. M. á. Tenien</t>
  </si>
  <si>
    <t>Dugua, General</t>
  </si>
  <si>
    <t>General Dugua</t>
  </si>
  <si>
    <t>enemigos por todas partes, y se puso el bloqueo; pero por una fatalidad-particular de este dia, el General Dugua fué también herido con dos balazos al formar ei bloqueo por otra parte.; Expedí órdenes para que se trakese quanto antes de Puerto-Príncipe la artillería. Había llegado el General</t>
  </si>
  <si>
    <t>ito; porque la conseqiiencia de una guerra colonial debe ser el triunfo del comercio. He enviado ai General Dugua á la parte del Sur , y al General Rochambeau á la de S. Marcos.” , . A estas noticias añade una carta particular las circunstancias siguientes: „La noticia de la paz ha traído á l</t>
  </si>
  <si>
    <t>Duguet</t>
  </si>
  <si>
    <t>ano y Dávila , calle de las Carretas. Reglas para la inteligencia de la sagrada Escritura : obra de Mr. Duguet, traducida del francés por J. D. R. Y. C. : dos tomos en 12.0 : comprehenden preciosos documentos para penetrar el verdadero sentido de los libros sagrados del antiguo y nuevo Tes</t>
  </si>
  <si>
    <t>Dundas</t>
  </si>
  <si>
    <t>ada ei Edimburgo por el Lord Preboste, por los Magistrados y el Consejo, se acordó erigir estatua á Mr. Dundas, y colocarla en una de las plazas de aquella ciudad, y para ello se abrió inmediatamente una subscripción. ^ Las gazetas de los Estados-Unidos refieren con fecha de 6 de Junio que</t>
  </si>
  <si>
    <t>Dupré</t>
  </si>
  <si>
    <t>6 de Enero se presentó á la Cámara de Representantes de los Estados-Unidos una petición á favor de Mr. Dupré, que ha descubierto el movimiento perpetuo. La fecha de la representación era del dia 50 del movimiento perfecto.” Haya 12 de Febrero. E n la sesión del dia 9 sancionó el Cuerpo l</t>
  </si>
  <si>
    <t>Dupré, Esteban</t>
  </si>
  <si>
    <t>Esteban Dupré</t>
  </si>
  <si>
    <t>mover á Subtenientes i los Sargentos primeros D. Pedro López, D. Remigio Romero, D. Antonio Romero, D. Esteban Dupré, dé granaderos, y D. Antonio dé Torres; y á los Cadetes D. Fernando Gandía y D. Ramón Quiñones : éri el cíe Milicias dé caballería de la misma plaza ha promovido S. M. á Capitan d</t>
  </si>
  <si>
    <t>Dupré, Joseph</t>
  </si>
  <si>
    <t>Joseph Dupré</t>
  </si>
  <si>
    <t>1026 Toledo, D. Antonio Moreno, D. Juan Aldrete, D. Joseph Dupré, D. Simón Fuentes, D. Manuel de Madrigal, D. Narciso Bernales; D. Fernando Orive, D. Francisco de Castro,.D. Francisco Mexia, D. Juan Joseph Indafmtu, D. .Juan Fatqués, ,t I&gt;. Man</t>
  </si>
  <si>
    <t>Dupui</t>
  </si>
  <si>
    <t>3 de Febrero de 1802),” Fia promovido el primer Cónsul á Consejero de Estado al ciud. Dupui, Secretario de legación en las negociaciones del congreso de Amiens. Al Almirante Viüaret le ha nombrado Capitán General de la isla-de la Martinica y sus depen</t>
  </si>
  <si>
    <t>Duque de Yorck, Cardenal</t>
  </si>
  <si>
    <t>Cardenal Duque de Yorck</t>
  </si>
  <si>
    <t>nos yrde}a¡ posteridad; — " ' v jn Roma &lt;tg de Octubre, o l f : í JL/eseando S. S. dar á S. A.R. el Cardenal Duque de Yorck una señal del afecto que le profesa , fué á visitarle el dia .14 áFrascati , qce es en donde reside S. Erna. Noticioso de ello el Cardenal Duque, salidá recibir al Sto. Padre al c</t>
  </si>
  <si>
    <t>Duque, Cardenal</t>
  </si>
  <si>
    <t>Cardenal Duque</t>
  </si>
  <si>
    <t>ofesa , fué á visitarle el dia .14 áFrascati , qce es en donde reside S. Erna. Noticioso de ello el Cardenal Duque, salidá recibir al Sto. Padre al camino de Roma coh uiia numerosa cbmitiva. EnPrascati visito S* B. todos losl establecímientós públicos ^ ycorí especialidad;ia hermosísiniarbibli</t>
  </si>
  <si>
    <t>Duquesa de Oliváres, Condesa</t>
  </si>
  <si>
    <t>Condesa Duquesa de Oliváres</t>
  </si>
  <si>
    <t>l Bueno * Aceredo, Mendez de Haro, Henriqnez de Rivera y de Cabrera ; Duquesa dé Alba y de Huéscar, Condesa Duquesa de Oliváres, Condesa dé Leríni, de Óropesa, de Monterey y de Módica, Marquesa del Carpió &amp;c. Las muchas y recomendables prendas que adornaban ¿ esta Excma. Sra., sobre todo la dulzura y amabi</t>
  </si>
  <si>
    <t>Duquesa, Condesa</t>
  </si>
  <si>
    <t>Condesa Duquesa</t>
  </si>
  <si>
    <t>a Manuela de Munarriz, Marqueses que fueron de Murillo , contra la casa y estados de la Excma. Sra* Condesa Duquesa *</t>
  </si>
  <si>
    <t>Duran y Cazó, Antonio</t>
  </si>
  <si>
    <t>Antonio Duran y Cazó</t>
  </si>
  <si>
    <t>FrhnmseóTde^Luñon'y^lU^lot^ D. Francisco Crespo de León y Luquey D.ríBrunO cRscaTndorn ;y Antayd, ’ D. Antonio Duran y Cazó , iD.( Mateo * Togoí’és* y Zangla'da , D.. Joseph nuel Cabálléro y Obanda ,&lt; IL Dbegp Rodf^uez de Tdxo yD¿Tonías rdéGa— na y. Ansbleagá&gt; D-* Josejíh González Rddafny DaGelestinó.</t>
  </si>
  <si>
    <t>Duran, Agustín</t>
  </si>
  <si>
    <t>Agustín Duran</t>
  </si>
  <si>
    <t>'Rufino Espada, D. Francisco Necochea, D. Pedro Goosens, D. Fermín Cia, D. Joseph Gaytan de Avala, D. Agustín Duran y D. Alonso Alvarado. En humanidades y retórica, baxo la dirección de D. Pedro Fuertes, D. Iñigo Ortes de Velasco, D. Joseph Alaría Ortes de Velasco, D. Antonio Giiman, Don Juan Bauti</t>
  </si>
  <si>
    <t>Duran, Diego</t>
  </si>
  <si>
    <t>Diego Duran</t>
  </si>
  <si>
    <t>ph fieaumon , D. Juan de Ayala y D. Félix de Roxas: en el de Húsares Esmáltales á Alférez al Cadete D. Diego Duran: en el de Voluntarios de Escaria á segundo Teniente al Alférez D. Luis Mexía; yen el de Carabineros *de la Reyna María Luisa á segundo Teniente al Alíéiez D. Blas de Vidarte. Tamb</t>
  </si>
  <si>
    <t>Duran, Miguel</t>
  </si>
  <si>
    <t>Miguel Duran</t>
  </si>
  <si>
    <t>Ignacio Luzon¿ D. Mariano Merchante, D. Christóbal Manzano, D. FranciscoFaxardo, D. Andrés Orozco, D. Miguel Duran, D. Cárlos Chinchilla, D&gt;. Antonio Texád a, D. Juan Ximenez, D. Ma^ nuél Díaz, D. Martilel Fprcarda, I&gt;. Manuel Teran, D. Joaquín Ribera^ D;; Pedro Muñoz, D, Juán Davadié , D. Agu</t>
  </si>
  <si>
    <t>Durand</t>
  </si>
  <si>
    <t>ibido con. la mayor distinción. De Amiens escriben que el dia 2 despachó el Marques de Cornwallis á Mr. Durand, uno de sus secretarios , con pliegos para Londres : llegó á Bolonia el 3, y al instante se embarcó con otros dos empleados de la Embaxada en el paquebot francés el Suceso, que sa</t>
  </si>
  <si>
    <t>Durandsesmndo</t>
  </si>
  <si>
    <t>Ef primero,que ^ reduela á una casa de retiro para 24 particulares, le gano el ciud. Durandsesmndo, que consistía en una fábrica de tabaco , no se ha ad,u^tercero . oue era una fuente dedicada a Céres , que se habia de poner*éa medio de .ana plaza , le ha co</t>
  </si>
  <si>
    <t>Durango, Francisco</t>
  </si>
  <si>
    <t>Francisco Durango</t>
  </si>
  <si>
    <t>...... D. Joseph Ligero. En Valencia......... D. Francisco Peyrolon y compañía. En Valladolid...... D. Francisco Durango é hijo mayor. En Zamora........... D. Vicente Perez de Tejada. En Zaragoza........ D. Tomas de la Madrid. En Zeuta.............. D. Pedro Huguet, comisionado subalterno del de Cád</t>
  </si>
  <si>
    <t>.....D. Joseph Ligero. En Valencia........... D. Francisco Peyrolon y compañía. En Valíadalid,..**. D. Francisco Durango é hijo mayor. En Zamora............. D. Vicente Perez de Tejada. En Zaragoza........ D. Tomas de la Madrid. En Zeuta............ . D. Pedro Huguet, comisionado subalterno del de C</t>
  </si>
  <si>
    <t>.........D. Joseph Ligero. En Valencia......... D. Francisco Peyrolon y compañía. En Valladolid.___ D. Francisco Durango e hijo mayor. En Zamora............ D. Vicente Perez de Tejada. En Zaragoza...... . D. Tomas de la Madrid. En Zeuta..... . . D. Pedro Hugúet, comisionado subalterno del de . Cádiz.</t>
  </si>
  <si>
    <t>...... D. Jos/eph Ligero. , En Valencia.... . D. Francisco reyrolon y compañía. En Valladolid...... D. Francisco Durango é hijo mayor. .■ En Zamora........... D. Vicente Perez de Tejada. En Zaragoza........ D.- Tomas de la Madrid. ?■ En TLeuta....... D. Pedro Huguet, comisionado subalterno del de -í</t>
  </si>
  <si>
    <t>...... D. Joseph Ligero. En Valencia..........D. Francisco Peyrolon y compañía. En Valladolid...... D. Francisco Durango é hijo mayor. En Zamora............ D. Vicente Perez de Tejada. En Zaragoza........ D. Tomas de la Madrid. EnZeuta................D. Pedro Huguet, comisionado subalterno del de Cá</t>
  </si>
  <si>
    <t>......... . D. Joseph Ligero. . . En Valencia D. Francisco Peyrolon y compañía. En Valladolid.......D. Francisco Durango é hijo mayor. En Zamora...... I&gt;. V icente Perez de Tejada* En Zaragoza....:.. D. Tomas de la Madrid. &gt; En Zeitta....... D. Pedro Hugüet , comisionado subalterno del de ■ : Cádiz.</t>
  </si>
  <si>
    <t>Durazzo, Gerónimo</t>
  </si>
  <si>
    <t>Gerónimo Durazzo</t>
  </si>
  <si>
    <t>ova 6~ de. Marzo. P or ausencia del ciud. francés Dejean queda interinamente eí ciud. Gerónimo Durazzo por Presidente de la Consulta de Estado. Al Encargado de Negocios de esta República en Roma le ha avisado de oficio aquel gobierno que Monseñor Spina, genoves,</t>
  </si>
  <si>
    <t>Duro y Solano, Juan Diego</t>
  </si>
  <si>
    <t>Juan Diego Duro y Solano</t>
  </si>
  <si>
    <t>D. Fernando García dé lá Práda, Sumiller de Cortina. Cerca dé los sitiales de SS. MM. estaba efSr. D. Juan Diego Duro y Solano, también Sumiller de Cortina, y levantó el tafetán con que estaban cubiertos. Después que SS. MM. y A A. hicieron oración, entonó' él Emmo. Sr. Patriarca él Te £&gt;eum, y le si</t>
  </si>
  <si>
    <t>Duro y Solanop, Juan Diego</t>
  </si>
  <si>
    <t>Juan Diego Duro y Solanop</t>
  </si>
  <si>
    <t>lla de la Fuente de Pedro Narro, en la diócesis de‘Cuenca, vacante por renuncia que lia hecho de él D. Juan Diego Duro y Solanop á Fr. Juan de Almaraz: para el Beneficio segundo de la V-írgen de los Angeles de la villa de San Celoni, diócesis de Barcelona, vacante por muerte de D. Gerónimo Bes, á D. Manuel</t>
  </si>
  <si>
    <t>Duro, Joseph Ventura</t>
  </si>
  <si>
    <t>Joseph Ventura Duro</t>
  </si>
  <si>
    <t>nongfa de la catedral de Calahorra, vacante por fallecimiento de D. Migóel Pascual de Bustamante, á D. Joseph Ventura Duro.; Él Rey se ha dignado nombrar Cadete supernumerario de la Compañía Española del Real cuerpo de Guardias de Corps al Guardia de la misma Compañía D. Tomas Despiiig. ■-•x Por el Sr</t>
  </si>
  <si>
    <t>Duroc, General</t>
  </si>
  <si>
    <t>General Duroc</t>
  </si>
  <si>
    <t>leba enviado ahora, por mano del Embaxador de Francia, una caxa de oro primorosamente trabajada. El General Duroc le escríbió al mismo tiempo en nombre del primer Cónsul una carta muy expresiva y honorífica.</t>
  </si>
  <si>
    <t>Duroy, General</t>
  </si>
  <si>
    <t>General Duroy</t>
  </si>
  <si>
    <t>94j Munich 4 * de Agosto* E 1 General Duroy, comandante del cuerpo de las tropas báraras que se bailan en la márgen derecha dei Inn , ha protestado contra la ocupación de Passau hecha por los austríacos, y ha notificado su</t>
  </si>
  <si>
    <t>enen oraen de ocupar inmediata* mente los estados cedidos á la Baviera por el convenio de París. El General Duroy, cuyo exército se refuerza diariamente , ocupa la línea de Retchenhall á S. Nicolás y Hald» con un cuerpo de reserva en VilshofFen. * Londres 23 de Agosto, ^egun las últimas notic</t>
  </si>
  <si>
    <t>Dusmet, Nicolás</t>
  </si>
  <si>
    <t>Nicolás Dusmet</t>
  </si>
  <si>
    <t>iento de Reales Guardias Walonas se ha servido promover el Rey á segundos Tenientes á los Alféreces D. Nicolás Dusmet y D, Mariano de Bette, el primero de granaderos. En América. S. M. se ha dignado nombrar para la Canongía de merced de la santa iglesia de Nicaragua, vacante por promoción de D. Pcdto</t>
  </si>
  <si>
    <t>Dux</t>
  </si>
  <si>
    <t>igustica se ha fixado gloriosamente sobre los mas firmes fundamentos. Os ruego, ciudadano Dux y ciudadanos Senadores, que siempre me consideréis, no solo como pastor de esta mi muy amada grey, sino también como ciudadano de esta República; y debéis estar</t>
  </si>
  <si>
    <t>D’horst, Barón</t>
  </si>
  <si>
    <t>Barón D’horst</t>
  </si>
  <si>
    <t>el de.Urbina. En el de Reales Guardias Walonas á Capitán al primer Teniente de granaderos p. Carlos Barón D’horst; y á segundos Tenientes á los Alféreces D. Joacliín de Estreniera, D. Ramón Sauz y- D. Bernardino Conde de Haro, el primero y segundo de granaderos. El Rey se ha servido conceder</t>
  </si>
  <si>
    <t>E I Barón de Posch</t>
  </si>
  <si>
    <t>vigorosas para reprimir, tai es desórdenes. , &gt; . V.. Petersburgo 3 de Marzo, . E I Barón de Posch , Ministro de Baviera, ha tenido su primer audiencia del Emperador y de toda la familia Imperial; y de resultas de sus conferencias con estos Ministros ha expedido un correo á su corte. Se h</t>
  </si>
  <si>
    <t>E I Marques de Sonsa</t>
  </si>
  <si>
    <t>. Calais• 2^ deDicieiríhre. .1 E I Marques de Sonsa, Ministro plenipotenciario de Portugal,: desembarco aquí viniendo de Londres, y continuó inmediatamente su viage á Amiens* Brest 2$ de Diciembre. ' E 1 General Córdoba ha tomado el mando de</t>
  </si>
  <si>
    <t>E T EL É MACO</t>
  </si>
  <si>
    <t>AVENTURAS :lf;' D E T EL É MACO, HIJO DE ÜLYS ES; NUEVA TRADUCCION rOR DON FERNANDO NIC Ó I, AS DE RE BOLLEDA, Se abre subscripción i qualquiera de lasdos edjcionesquese están imprimiendo detesta obra; una en qu</t>
  </si>
  <si>
    <t>Ebeneser-Cobb</t>
  </si>
  <si>
    <t>ecio entre el comprador y el vendedor. En las gazetas anglo-americanas se ha publicado la muerte de Mr. Ebeneser-Cobb, de Kinston, á los 107 años, 8 meses y medio. Haya 27 de Febrero. M uchos comerciantes de Inglaterra y de las ciudades anseáticas han puesto fondos en el empréstito de 30 millones</t>
  </si>
  <si>
    <t>Echarri, Juan</t>
  </si>
  <si>
    <t>Juan Echarri</t>
  </si>
  <si>
    <t>59. 17. Id. Juan Echarri................... Juan , Manuela Erazcun... Igarreta.; ... . Pamplona.... 4. Id. Esteban Perez............... .. . Manuel, Josefa Lóp</t>
  </si>
  <si>
    <t>Echáuz, Francisco</t>
  </si>
  <si>
    <t>Francisco Echáuz</t>
  </si>
  <si>
    <t>a, llama y emplaza á Joseph Perez de Jél Rio y Paula López, ó sus herederos, criados que fiiéron de D. Francisco Echáuz, presbítero que. fué de esta vecindad, acreedores á su testamentaría y graduados en primer lugar en la sentencia de graduación dada en ellos , y cuyo paradero se ignora, para que</t>
  </si>
  <si>
    <t>Echauz, Francisco</t>
  </si>
  <si>
    <t>Francisco Echauz</t>
  </si>
  <si>
    <t>ado convocar por edictos é Joseph Perca de Jél Rio y Paula Lopes, criados que fuéron del présbítéto Don Francisco Echauz, acreedores graduados en primer lugar ‘ é su' testamentaria , para que en el. término de 15 días, que por segundó sé les ha oonéedidO, contados desde el 17 de éste mesyeom parezca</t>
  </si>
  <si>
    <t>Echavarría y Chacón, Francisco</t>
  </si>
  <si>
    <t>Francisco Echavarría y Chacón</t>
  </si>
  <si>
    <t>Ip4¿ D. Domingo de Federici, D. Manuel Salamanca y Morillo , D. Francisco Echavarría y Chacón, D. Tomas Blanco Cabrera, D: Felipe Bausá,:0on Favio Aliponzoni, .D. Jacobo Morfi, D. Madano Isazbinbil, D. Joseph Dionisio: de Rivera, D. Andrés Otero , D.Franci co Dáviji y :Guz</t>
  </si>
  <si>
    <t>Echegaraya, Francisco</t>
  </si>
  <si>
    <t>Francisco Echegaraya</t>
  </si>
  <si>
    <t>ubteniente de granaderos D. Manuel Vileta: en el de Jaén primera Subtenencia al segundo Subteniente Don Francisco Echegaraya; y en el de Nápoles primera Tenencia de granaderos ai primer Teniente D. Félix Poyan. íEn América. El Rey se ha servido nombrar para la Dignidad de Chantre de la metropolitana de</t>
  </si>
  <si>
    <t>Echevar, Ambrosio</t>
  </si>
  <si>
    <t>Ambrosio Echevar</t>
  </si>
  <si>
    <t>mover á Capitán al Teniente de granaderos D. Manuel Saenz; á Teniente de granaderos al de fusileros D. Ambrosio Echevar. ía ; á esta Tenencia al Subteniente de granaderos D. Francisco Arana y Bustamante; á Subteniente de granaderos al de fusileros Don Joseph Moral, y á la Subtenencia de bandera que</t>
  </si>
  <si>
    <t>Echevarría, Manuel</t>
  </si>
  <si>
    <t>Manuel Echevarría</t>
  </si>
  <si>
    <t>tayo, D. Asiutin Maldonadoy Piméntel,:D. Miguel del Busto, D. Manuel Fu-* ne?&gt;, IX Vicente Burragi, D. Manuel Echevarría, D. Miguel Tacón, Don ~ T' ^ ü*t:—Ívnr/lííín . h/Hípon flp TnrD. Meliton Fere* del tamino, u. Ignacio uc..vi4u^ teo Alendólo Vologoini.'D..Antonio Rarzohy Alc.bar, D. N.colas Danr</t>
  </si>
  <si>
    <t>EdiKftdo</t>
  </si>
  <si>
    <t>' ^fiaty ííavárroj Don Pedro’CUzqueta^y Soroa vD; -bk^o Martínez Margula y D-Miínuel González Veggv D. EdiKftdo l^sqiWfay Ariasv^I^ BewtQ Éíii!deláT !E¿calerá¿ D. FerminiRuiz Usd&amp;lerap^D. Airiénto Gale¿i yrTAótagilai, &lt;3¡&gt;y- Pedro FernandexNavarretr, IX^Jaféph'de^Mátiénzo AJg£rté*\l&gt;^F¿íaÉn</t>
  </si>
  <si>
    <t>Edrnandez de la Reguera, Joseph</t>
  </si>
  <si>
    <t>Joseph Edrnandez de la Reguera</t>
  </si>
  <si>
    <t>ente de granaderos D. Juan Azabaí: en el del Príncipe segunda Tenencia al Subteniente de granaderos D. Joseph Edrnandez de la Reguera: en el de Sevilla primera Tenencia de granaderos al primer Teniente D. Juan Ximenez: en el de Granada primera Tenencia al segundo Teniente de granaderos D. Rafael Espinosa: en el</t>
  </si>
  <si>
    <t>Edroso, Juan Antonio</t>
  </si>
  <si>
    <t>Juan Antonio Edroso</t>
  </si>
  <si>
    <t>70. a*. Id. Juan Antonio Edroso....... . Juan, Teresa Martínez........Sebón............... Vianabollo... 104. 17. id. Juan García.................. . Bartolomé, María López.. S. Juan Abuimo.........</t>
  </si>
  <si>
    <t>Eduardo Bravo</t>
  </si>
  <si>
    <t>moros ha nombrado S. M. Capitanes á D. Joaquín de Árbayza, Sargento mayor que fue de Milicias , y á D. Eduardo Bravo, Subteniente de las mismas compañías; Tenientes al Subteniente D. Domingo Barrantes y á D. A gustin Córdoba, y Subtenientes á D, Blas Ruiz y D. Gregorio Celis de Saldaña. Por el j</t>
  </si>
  <si>
    <t>Eduardo de Santiago de Rotalde, Luis</t>
  </si>
  <si>
    <t>Luis Eduardo de Santiago de Rotalde</t>
  </si>
  <si>
    <t>a propia metropolitana, vacante por ascenso á Ración entera de ella de D. Pedro INolasco de Toro, á D. Luis Eduardo de Santiago de Rotalde. Asimismo se ha servido S. M. nombrar para el Corregimiento de Ota</t>
  </si>
  <si>
    <t>Eduardo Jenner</t>
  </si>
  <si>
    <t>e al coliseo: su precio 5 quartos , puede ir en carta...... Retrato del célebre Eduardo Jenner, médico ingles, á quien se debe el descubrimiento de le vacuna como único preservativo de las viruelas. Es copia de una estampa inglesa, y se ha reducidlo á tamaño cómodo para que pueda c</t>
  </si>
  <si>
    <t>Eduardo Stuard, Carlos (príncipe)</t>
  </si>
  <si>
    <t>Príncipe Carlos Eduardo Stuard</t>
  </si>
  <si>
    <t>a librería de Castillo, frente á San Felipe el Real. Empresas, victorias, derrotas y desgracias del Príncipe Carlos Eduardo Stuard, pretendiente de Inglaterra : obra escrita por uno de los que acompafíáron á dicho Príncipe en sus prosperidades y en sus infortunios, y traducida del francés por Don Víctor Amade</t>
  </si>
  <si>
    <t>Eduardo, Diego Nicolás</t>
  </si>
  <si>
    <t>Diego Nicolás Eduardo</t>
  </si>
  <si>
    <t>icente-Yanez: para la Dignidad d[e Tesorero de la catedral de Canaria, vacante por fallecimiento de Don Diego Nicolás Eduardo, á JX Mateo Ponce de Vargas, Cura de la parroquia del lugar de Terror, en aquel obispado; para una Canong'a de la misma catedral, vacante por muerte;de D. Domingo Verdugo,:á D. Sa</t>
  </si>
  <si>
    <t>Eduardo, Tomás</t>
  </si>
  <si>
    <t>Tomás Eduardo</t>
  </si>
  <si>
    <t>nciales de Canarias ha promovido el Rey á Coronel del de Telde al Teniente Coronel del mismo cuerpo D. Tomas Eduardo\ á Coronel del de Guia al Capitán D. Joseph Verdugo, primer Teniente del batallón de infantería de las propias islas; á Teniente Coronel del mismo cuerpo de Guia á D. Miguel Muxic</t>
  </si>
  <si>
    <t>Eel</t>
  </si>
  <si>
    <t>ificio para und.wq^de emSUcK&gt;n,.se han reparttSo &lt;lós premios , el »no al mismo ciud. Eel^s, y #tro al ciud. Gaste. v V Moren 7 de Mayo. Don Francisco Rodríguez García « catedrático por S. M. de los Reaíe* «íudics de esta villa, conocido por su zUo</t>
  </si>
  <si>
    <t>Egalité, Príncipe</t>
  </si>
  <si>
    <t>Príncipe Egalité</t>
  </si>
  <si>
    <t>úé convidado el ciud. Otto, y al que asistía el heredero de4a monarquía inglesa, estaba el hijo del Príncipe Egalité (Orlenos), qué tenia las insignias y las cruces del antiguo gobierno. Una conducta tan opuesta á los artículos deí tratado de par, á las declaraciones diarias de los Ministros, y</t>
  </si>
  <si>
    <t>Egaña, Jóaquin</t>
  </si>
  <si>
    <t>Jóaquin Egaña</t>
  </si>
  <si>
    <t>tonio Martínez, Don Joaquín Goyeneche j D. Vicente de Campos, D. Vicente Pallas, D. Manuel Herrero, D. Jóaquin Egaña, D. Alexandro Antonio Ojéá, D. Gaspar Barón de Rocreusse, D. Joseph María Lambí, D. Joseph Villaiba, Don Julián de Sequera, D. Joseph Graulle, D. Gerónimo Valladares, D. Rafael Cr</t>
  </si>
  <si>
    <t>Egllse</t>
  </si>
  <si>
    <t>o executivo. Nombró por Landammann al ciud. Wattenwyl, y por Statthalters á los ciudadanos Monnod y Egllse; pero Usté último y el primero no admitiéron su nombramiento. Él Ministró francés Verninac ha manifestado su enojo por la violencia hecha al ciad. Doider; el q</t>
  </si>
  <si>
    <t>Eguia, Félix</t>
  </si>
  <si>
    <t>Félix Eguia</t>
  </si>
  <si>
    <t>linquientes de pena capital desde ántes de intimarles la sentencia hasta el suplicio: compuesto por D. Félix Eguia , presbítero : segunda impresión, aumentada de varias preguntas y tratados 5 uno de estos sobre la obligación y modo de hacer la operación cesárea: un tomo en 8.° de buen papel y</t>
  </si>
  <si>
    <t>Éguilez, Felipe</t>
  </si>
  <si>
    <t>Felipe Éguilez</t>
  </si>
  <si>
    <t>23. 15. Id. Felipe Éguilez................... Juan, María de Auda........ Umes ......... .. Vitoria......... 49. 25. Id. Cayetano Ortiz................ Miguel, Ursula Liorza,.... Rjoteguíi....;</t>
  </si>
  <si>
    <t>Eguillo, Matías</t>
  </si>
  <si>
    <t>Matías Eguillo</t>
  </si>
  <si>
    <t>...... 133. 28. Id. Matías Eguillo................. . Celestino, Concepción Ortega.../....... ..................... Moscador.. .. Búrgos........... so. *. Id. Domingo Requefio......... . Alonso,</t>
  </si>
  <si>
    <t>Ei Conde de Castellalfer</t>
  </si>
  <si>
    <t>ardiéron muchas casas, y 6 niños pereciéron en las llamas. Berlín 31 de Julio. Ei Conde de Castellalfer, Ministro extraordinario 'de S. M. el Rey de</t>
  </si>
  <si>
    <t>Eigin, Lord</t>
  </si>
  <si>
    <t>Lord Eigin</t>
  </si>
  <si>
    <t>mburgo llegó un correo ingles procedente de Petersburgo, y otro despachado de Constantinopla por el Lord Eigin. De resultas se ha divulgado que la Suecia no ha accedido al convenio ajustado el año último en Petersburgo etftre la Rusia y la Gran Bretaña; y que la Puerta otomana no ha aproba</t>
  </si>
  <si>
    <t>Eigot-Pre</t>
  </si>
  <si>
    <t>ves de los Pirineos y de los Alpes. Han sido nombrados Consejeros de Estado los ciudadanos Eigot-Pre» ameneu, Forfait, Dessolles y Bruix. F1 Prefecto del departamento del Somme ha escrito aí Ministro deí Interior con fecha de íj de Diciembre una carta en que l</t>
  </si>
  <si>
    <t>Eizaurdi, Manuel Antonio</t>
  </si>
  <si>
    <t>Manuel Antonio Eizaurdi</t>
  </si>
  <si>
    <t>l... D. Ramón Antonio Pico. En Córdoba........... Sres. Barcia padre é hijo. En la Cortina......... D. Manuel Antonio Eizaurdi. \ En Cuenca..............D. Manuel Escolar y Noriega. En Granada......... D. Francisco Unzaga. En Guadalaxara. D. Isidoro García Plaza. En Jaén............... D. Pedro y Juan Esp</t>
  </si>
  <si>
    <t>El Barón de Felá</t>
  </si>
  <si>
    <t>n y la de Ütrecht las que mas se aventajan en estas; empresas* caritativas. t ' El Barón de Felá, Ministro de S, M. el Emperador de Alemania:* &gt; príesentó esta, mañana sus. credenciales al. gobierno, de estado. ;i&lt; i! Ha ido de aquí á París el ciud. Mey para servirla secretaría de ^aqu</t>
  </si>
  <si>
    <t>El Barón de Hugel</t>
  </si>
  <si>
    <t>en dicho exámen sin perder tiempo fio de quemo se.padezca atraso por su voto.” El Barón de Hugel, Ministro plenipotenciario imperial, comunicó..el día 9 á la diputación una nota en que intenta satisfacer entre otras cos^s á las quejas que dio el Subdelegado de Brandemburgo sobre alguna</t>
  </si>
  <si>
    <t>El Barón de Oxenstiem</t>
  </si>
  <si>
    <t>anos ^pidiéndoles -nó^ hagan fiesta alguna con motivo áé su venida, n - i- \ ;; El Barón de Oxenstiem, Ministro de Suecia en esta corte , se ha 'ttansferido á Scania , en donde se halla actualmente su Soberano. ■ -¡- 4 --• -i - Ha habido el día 19 en estas costas una tormenta que ha causado</t>
  </si>
  <si>
    <t>El Barón de Schladen</t>
  </si>
  <si>
    <t>tal Ministro por el Barón de Krudner, Enviado de Rusia cerca de S.M. Prusiana. El Barón de Schladen, Ministro prusiano en Lisboa, que hace algún tiempo está aquí, reemplazará á Mr. de Goltz en Baviera----- De Viena se retira el Conde de Keller; pero hasta ahora no se sabe á quien se confe</t>
  </si>
  <si>
    <t>El Conde de Goertz</t>
  </si>
  <si>
    <t>jor decir parece que pide que la Francia le indemnice en Ja izquierda del Rhia. El Conde de Goertz, Ministro de Brandemburgo, apoya esta pretensión con los referidos Ministros de Rusia y Francia. Francfort 1$ de Octubre. U n cuerpo de tropas de Nassau-Usingeh tomó el dia 11 posesión de .</t>
  </si>
  <si>
    <t>El Conde de Lusi</t>
  </si>
  <si>
    <t>liego á esta capital él Chambelán Rosencrantz, Embarcador del Rey de Dinamarca. El Conde de Lusi, Ministro de Prusia, ha tenido su audiencia de despedida de S. M. I. Stockolmo 22 de Agosto. S e han restituido los Reyes á esta capital de su viage á F Se están armando en Carlscrona vario</t>
  </si>
  <si>
    <t>El Conde de Marcotf</t>
  </si>
  <si>
    <t>r , Teniente General de sus exércitos y Comendador de la orden de María Teresa. El Conde dé Marcotf, Ministro de Rusia, presentó ademas de otras personas á Mr. de Tscherneswitsch, Consejero de colegio y empleado en la Embaxada de Rusia en España. Mr. Merry, Ministro de S. M. Británica, pr</t>
  </si>
  <si>
    <t>El Conde de Murawiew-Apostbl</t>
  </si>
  <si>
    <t>lmacenes de mercancías introducidas, y^ se cxécute ebri ellas lá ley? : •T ’/ ! El Conde de Murawiew-Apostbl, Ministro píénipofenciafió de ía-Cór-f te de Petersburgo én la de Madrid, ha llegado ya á Strásburgó j dé donde seguirá á su destino pasando por París. El dia 6 se dio aquí sepultura con to</t>
  </si>
  <si>
    <t>El Conde de Panin</t>
  </si>
  <si>
    <t>o de neutralidad ajustado por las potencias del Norte durante la óltima guerra. El Conde de Panin, Ministro que fué de Estado, se propuso correr parte de Europa, empezando sus viages por Suecia. En efecto, llegó á Finlandia^ en donde le visitó al instante, el General sueco Conde de Klin</t>
  </si>
  <si>
    <t>El Consejero de Estado Moreau de Saint Merí</t>
  </si>
  <si>
    <t>: le acompañad Coronel Villers , agregado á la plana mayor del exército bátavo. El Consejero de Estado Moreau de Saint Merí, Ministro de la República francesa, los presentó á SS. AA. RR. los Sres. Duques ; y el dia 21 siguieron su viage á Florencia.r Crénova 2&gt;fr de Febrero. H a dado el ministerio de Londres ord</t>
  </si>
  <si>
    <t>El General Beurnonville</t>
  </si>
  <si>
    <t>rido S. AI. á Mr. de Hainske, Coronel del regimiento dé caballería de Herzberg. El General Beurnonville, Ministro de Francia, tiene licencia para ir á Paris. Durante su ausencia , que se cree no será muy larga, queda por En• cargado interino de Negocios- el ciud. Bignon, primer Secretario de</t>
  </si>
  <si>
    <t>El General O-Farril</t>
  </si>
  <si>
    <t>á esta eiudad el Sr. Ríos , empleado en la Secretaría de la embaxaaa de España. El General O-Farril, Ministro de S. M. Católica, saldrá de aquí después de la revista; y. según dicen se restituye á España. Es grandísima la cantidad de granos que se extraen de Dantzick desde que se ha permi</t>
  </si>
  <si>
    <t>El Lord Brome</t>
  </si>
  <si>
    <t>s de línea de la esquadra del Almirante Saumarez, y otros 5 de la de la Mancha. El Lord Brome , hijo del Marques de Cornwallis, ha llegado de Amiens á Douvres con dos correos ingleses y dos franceses. Estos traian pliegos para el ciud. Otto. Está pronto á dar la vela para Egipto</t>
  </si>
  <si>
    <t>El Lord Elgiji</t>
  </si>
  <si>
    <t>ito queda también allí hasta que se restablezca y consolide la quietud general. El Lord Elgiji, Ministro ingles, desaprueba publicamente el ajuste de paz entre Francia é Inglaterra, y censura mucho á los Ministros británicos que la han hecho.——Parece que no emprenderá su proyectado v</t>
  </si>
  <si>
    <t>El Lord Jayme Fitzgerald</t>
  </si>
  <si>
    <t>á visitar el Electorado de Hannover y los demas estados que tiene en Alemania. El Lord Jayme Fitzgerald, Ministro de S. M. Británica en Copenhague, nombrado para servir igual encargo en la corte de Lisboa , tendrá por sucesor en Dinamarca'á Mr. Vansittart. Parece que el gabinete prusiano trat</t>
  </si>
  <si>
    <t>Elector de Tréveris, Arzobispo</t>
  </si>
  <si>
    <t>Arzobispo Elector de Tréveris</t>
  </si>
  <si>
    <t>de Rohan-Guemené, Arzobispo de Cambray; y Clemente Wenceslao de Saxonia, Príncipe Real de Polonia , Arzobispo Elector de Tréveris, Obispo y Príncipe de Augsburgo, Los magistrados que componen el tribunal de apelación de Turin han escrito al primer Cónsul en estos términos: ,,Tenemos la honra de remitiros el</t>
  </si>
  <si>
    <t>Elector, Príncipe</t>
  </si>
  <si>
    <t>Príncipe Elector</t>
  </si>
  <si>
    <t>con la Francia en quanto tiene relación con los resarcimientos. - ’ Manheim &lt;T de Diciembre. E ste Príncipe Elector, en virtud de una bula del Papa , suprimirá en sus dominios 18 prelacias y 22 conventos: número muy considerable atendida la extensión de Baviera. Asimismo se lian suprimido mucho</t>
  </si>
  <si>
    <t>este mes se hjciéron en Aschatfemburgo solemnes exequias al difunto Elector de Maguncia. El actual Príncipe Elector pasó á la colegial tn un coche enlutado tirado'por 6 caballos , y con una escolta de guardias de caballería. Lá iglesia estaba colgada de negro, y en su centro había un magnífico</t>
  </si>
  <si>
    <t>Eledouvilie, General</t>
  </si>
  <si>
    <t>General Eledouvilie</t>
  </si>
  <si>
    <t>blar el comercio con sus dominios. Aquel Soberano se habia mostrado satisfecho del nombramiento dei General Eledouvilie para residir cerca de su persona----- El Cardenal Caprara ha recibido de parte de S. S. el aviso de que iban á despacharse sus bulas para el Arzobispado de Milán; y se las enviará</t>
  </si>
  <si>
    <t>Elgia, Lord</t>
  </si>
  <si>
    <t>Lord Elgia</t>
  </si>
  <si>
    <t>nstantinopía 1$ de Noviembre de 180 r. M r. Straton, que ha venido á esta ciudad para reemplazar al Lord Elgia en calidad de Encargado de Negocios interino de Inglaterra, corrió riesgo de perecer en la travesía desde Varna hasta aquí, durante la quat le asaltó una recia tempestad. A la entra</t>
  </si>
  <si>
    <t>Elgiji, Lord</t>
  </si>
  <si>
    <t>Lord Elgiji</t>
  </si>
  <si>
    <t>parte de su exército queda también allí hasta que se restablezca y consolide la quietud general. El Lord Elgiji, Ministro ingles, desaprueba publicamente el ajuste de paz entre Francia é Inglaterra, y censura mucho á los Ministros británicos que la han hecho.——Parece que no emprenderá su pr</t>
  </si>
  <si>
    <t>Elgin</t>
  </si>
  <si>
    <t>dores de Francia que habitaba se ha devuelto á los empleados de aquella legación, ocupará por ahora Mr. Elgin dos casas, que la Puerta ha comprado para hacer de ellas una que sirva de alojamiento á los Embaxadores británicos. Stockolmo zj&gt; de Enero. E n este Real lazareto se hizo el 7 de este</t>
  </si>
  <si>
    <t>Elgin, Lord</t>
  </si>
  <si>
    <t>Lord Elgin</t>
  </si>
  <si>
    <t>donde ios; recibióron y ampararon. Quejosa de todo .esto la Sublime Puerta pidió satis* facción al Lord Elgin , quien desaprobó enteramente la conducta de Mr.; Hutchinson: y esta es la causa de su viage á Egipto. El día 24 tuvo su última conferencia.con el Ministro turco, y solo espera vi</t>
  </si>
  <si>
    <t>de brigada Sebastian! y el ciud. Ruffin dieron al instante quejas de ello á la Sublime Puerta; y el Lord Elgin, Ministro ingles, y Mr. de Tamara, Embaxador ruso, hicieron también representaciones por su parte, alegando que ajustada ya la paz entre las dos potencias, aquel procedimiento era</t>
  </si>
  <si>
    <t>echa del Rhin. Londres 29 de Enero. A yer despacho la corte dos extraordinarios con pliegos p^ra el Lord Elgin en Constantinopla, y para el Marques de Corñwallis en Amiens. Procedente de Malta ha entrado en Portsmouth una fragata en que vienen algunos habitantes de aquella isla como diputado</t>
  </si>
  <si>
    <t>raído á su gobierno un plan de paz definitiva ajustada en Constantinopla. También se asegura que el Lord Elgin ha hecho con el Gran Señor un tratado, por el quai adquiere la Gran Bretaña ciertas ventajas para su comercio de levante : quizá se reducen ai paso del mar Roxo para ir á las Indi</t>
  </si>
  <si>
    <t>el pie mas favorable para la República. Dicho Enviado extraordinario comió aquí varias veces con el Lord Elgin, Einbaxador británico. Petersburgo 2 de Febrero. U na diputación del urden eqiíestre de Livonia y Stonia ha venido á dar gracias' á S. M. Imperial por haber suprimido la contribuc</t>
  </si>
  <si>
    <t>los ingleses han embargado muchas embarcaciones para emplearlas en el transporte de sus tropas. El Lord Elgin, Embaxador de Inglaterra, hizo estos días una visita de ceremonia al Capitán Baxá, quien le dio varios regalos de precio. Ya ocupa el ciud. Ruffin la casa de los Embajadores de Fr</t>
  </si>
  <si>
    <t>a han llegado aquí 4, caballos padres , una yegua y otro caballo árabe, que el Gran Señor regaló al Lord Elgin, y los llevan á Inglaterra por:Francia. Son todos muy hermosos, especialmente uno blanco que está valuado en 18$ florines. En los contornos de Sofía ha sido robado el último corre</t>
  </si>
  <si>
    <t>tánica; de lo qual acaba el Capitán Baxá de presentar una nueva prueba concediendo, á solicitud del Lord Elgin, la libertad á 150 cautivos malteses. Asimismo el dia del cumpleaños de la Reyna de Inglaterra, que fue el 25 de Enero, envió el Gran Almirante uno de sus principales oficiales pa</t>
  </si>
  <si>
    <t>es de su nación. Aun no ha hecho el ciud. Ruffin su visita de ceremonia como Ministro de Francia ai Lord Elgin, Enviado ingles ; pero parece que no hay para esta dilación ningún motivo político. Con un mes de atraso ha llegado el correo de Viena de 19 de Enero: viene en el estado mas lasti</t>
  </si>
  <si>
    <t>á qualquier costa alcance á los Beyes , y consolide el sosiego entre los habitantes. Ha comprado el Lord Elgin un barco para enviar á Malta 140 cautivos de aquella isla, á quienes, el ministerio otomano ha dado libertad á solicitud suya. Uno de estos dias, llamó el Reis-Eífendi á Mr. Paul,</t>
  </si>
  <si>
    <t>A DE MADRID DEL VIERNES ¿ DE JUNIO DE 1802. Constantinopla 29 de Marzo. jites de ayer se embarco el Lord Elgin con su esposa para la isla de Chío en una nave ragusea; y se dice que de allí emprenderá su viage á Inglaterra. Mr. Stratton queda aquí en calidad de Encargado de Negocios de la G</t>
  </si>
  <si>
    <t>la semana próxima saldrá de aquí para Constantinopla Mr.de Sturmer, huevo Internuncio imperial. _E1 Lord Elgin, en lugar de ir ai Archipiélago como se dixo, va á la ciudad de Ahlen, en donde espera recobrar su salad á favor de ia benignidad de aquel clima. El Conde de Cobentzel, Vice-Canci</t>
  </si>
  <si>
    <t>inos que murió 24 horas después. Se ha manifestado peste en Smirna y en varios pueblos de Siria. EL Lord Elgin ha enviado de aquí á Inglaterra muchas estatuas, quadros y otros objetos curiosos, de que había formado* una preciosa colección. 'Viena j.° de Junio, L 2. respuesta que la dieta d</t>
  </si>
  <si>
    <t>nuncio cerca delSultan r .llje-. go aquí el,.39.:del;mes último. -r.‘? . t. V:- - bj. 0 Prosigue el Lord Elgin ,. Ministro ,de Inglaterra , $us conferencias con el Reis-Effendi. Parece que solicita nuevas prerogativas para los ingleses en la navegación del mar Negro.vv,Vi / &lt; ti v Vna * v</t>
  </si>
  <si>
    <t>dante ingles á pedir también la cesión del fuerte ; pero no ha consentido en ello el Baxá turco._El Lord Elgin no ha dado ningún paso con motivo dé estas desavenencias; pero continua teniendo freqiientes conferencias con el Reís-Efifendi para procurar á su nación la libre navegación del ma</t>
  </si>
  <si>
    <t>Elgiq, Lord</t>
  </si>
  <si>
    <t>Lord Elgiq</t>
  </si>
  <si>
    <t>rdará mas de lo qpe¡se jiabia-^reidq- en restituirse á este puerto. Aun no ha salido para Egipto el Lord Elgiq; pero está ya pronta.la fragata, en que.ha d^;;hacpr&gt;su.yiage, y.por disposición del Sultán se ha alhajado ricamente la cámara que ha de ocupar en dicho buque el mencionado Embaxa</t>
  </si>
  <si>
    <t>Elgueta y Hernández, Joaquín</t>
  </si>
  <si>
    <t>Joaquín Elgueta y Hernández</t>
  </si>
  <si>
    <t>isco Xavier Saravia, D. Ramón Torre y Pellicer, D. Manuel Bernal y Petriz, D. Antonio Nuñez Fálcon, D. Joaquín Elgueta y Hernández , D.Francisco Sarrachaga y Zavala, Don Joseph García Joye, D. Miguel Vaidásano y Ros, D. Joseph de Leyva y. Lerin , D. Rafael Rodríguez Guerra, D. Ramón Ortiz Canela y Esteller, D</t>
  </si>
  <si>
    <t>Elias Ayllon</t>
  </si>
  <si>
    <t>e de granaderos al de fusileros D. Márcos Arnaiz, y á segundo Teniente al Subteniente de granaderos D. Elias Ayllon: en el de España a segundo Subteniente al Cadete D. Pablo Hermenegildo Casaus : en el de León á segundos Subtenientes al Cadete D. Mariano Villanueva, y al Soldado distinguido del</t>
  </si>
  <si>
    <t>Elias de Courten, Joseph</t>
  </si>
  <si>
    <t>Joseph Elias de Courten</t>
  </si>
  <si>
    <t>al de fusileros D. Jacobo Durguy; y en el de Courten á Coronel aí Teniente Coronel del mismo cuerpo D. Joseph Elias de Courten. S. M. ha promovido á Ingenieros en segundos de sus exércitos, plazas y fronteras á los ordinarios D. Tomas Costa, D. Melchor Gerona, D. Bernardino de Losa y D. Juan Iñiguez. En e</t>
  </si>
  <si>
    <t>Elias Ranz</t>
  </si>
  <si>
    <t>ina, plazuela de la Cebada: viuda de D. Julián dé Usátegui, plazuela de Sto; Domingo: librea ría de D. Elias Ranz, calle de la Cruz: D. Francisco María López MoreÍle, lonja.de especería, plazuela de Antón Martin : D. Fernando Varga, plazuela de S. Ildefonso, cerería: Sres. Escvza , hermanos y</t>
  </si>
  <si>
    <t>Eligió, Joseph</t>
  </si>
  <si>
    <t>Joseph Eligió</t>
  </si>
  <si>
    <t>de la Puente y D. Pedro Santacilia; á Tenientes los Subtenientes de granaderos D. Christobal Anisa, D. Joseph Eligió y D. Miguel Valera; á Subtenientes de granaderos los de fusileros D. Manuel María Perez, D. Jorge Vi«* llers y D. Joseph Recio ; á Subtenientes de compañía los de bandera Don Ramón Ca</t>
  </si>
  <si>
    <t>Eligió, Manuel</t>
  </si>
  <si>
    <t>Manuel Eligió</t>
  </si>
  <si>
    <t>D. Joseph Bonicelii, D. Joseph de León, D. Patricio Kindélan, D. Ignacio Husey, D. Ignacio Maraver, D. Manuel Eligió, D. Antonio Mayone, D. Ramón Gómez, D. Diego Cortés, D. Juan O-Donovan, D. Joaquín 0-ReiUy\D. Joseph de la Piedra, D. Santiago Moreda , Don Gregorio Donayrej Dé Pablo Carbonell, D</t>
  </si>
  <si>
    <t>Eliotv</t>
  </si>
  <si>
    <t>aambicíondecada uno dedos miembros, y que al fin no satisfizo á ninguno. ,,Volvamos do*, ojos, dixo Mr. Eliotv *v los sucesos ocurridos en el espacio de algunos *&lt;ibW ses desde - la última sesión del Parlamento*: Hemos visto - qné .ano» estado* hán sido derribados, que han desaparecido. Re</t>
  </si>
  <si>
    <t>Elíseo Pérez Tello</t>
  </si>
  <si>
    <t>ismo se ha servido promover el Rey en el regimiento de Saboya á primer Teniente al segundo Teniente D. Elíseo Perez Tello: en el de Jaén á segundo Teniente al Subteniente de granaderos D. Rafael Miranda: en el de cazadores Voluntarios de la Corona á Subteniente al segundo Subteniente D. Manuel Ximene</t>
  </si>
  <si>
    <t>Elizalde y Uztariz, Juan</t>
  </si>
  <si>
    <t>Juan Elizalde y Uztariz</t>
  </si>
  <si>
    <t>Joseph Espinosa Tello. A Capitanes de Navio los de Fragata ■i D. Juan Carranza, D. Bruno Palacio*, D. Juan Elizalde y Uztariz, D. Tomas Herrera y Cruzat, D. Juan Ignacio Bustillos, D. Felipe Tcurneil, D. Pedro Esquível, D. Pedro de Mesa, D. Ignacio Olaeta, D. Joaquín Gómez Barreda, D. Benito Santacilia,</t>
  </si>
  <si>
    <t>Elliot</t>
  </si>
  <si>
    <t>ay algunas que no se pueden comunicar formalmente, y cuyo examen, produciría inconvenientes graves. Mr. Elliot, el Dr. Lawrence y Mr. Jones repitiéron sus quejas sobre esta reserva del Ministro, como también sobre la salida de la esquadra de Brest , manifestando temores de que unas fuerzas</t>
  </si>
  <si>
    <t>a; pero los sucesos de León prueban que Bonaparte no se paró sino para tomar nuevo aliento.” Siguió Mr. Elliot hablando de la conducta del gobierno francés relativamente á Porto-Ferrayo y la Luisiana. Dixo que en su concepto los Ministros ingleses fuéron completamente • engañados en estos</t>
  </si>
  <si>
    <t>llos de S. M.; y llegará -tiempo en que podrán responder de un modo victorioso á lo que ha'expuesto Mr. Elliot. Én quanto á lo que personalmente ha di?cho de mí, respondo que he tenido, parte en el tratada de Ips preliminares, l sean qnales'fuesen las resultas , jamas me arrepentiré-de-ell</t>
  </si>
  <si>
    <t>arque y de la torre, y con iluminación general, para la qual se están haciendo muchos preparativos. Mr. Elliot preguntó antes de ayer á los Ministros en la Cámara baxá quando presentarían el tratado definitivo al Parlamento, y quando habria de examinarse. Respondióle el Canciller del Echiq</t>
  </si>
  <si>
    <t>s debates ocasionados en parte por la expresión de partidos facciosos y se aprobó la proposición de Mr. Elliot, en orden á que se comunicase el tratado de Badajoz; pero en quanto á los concluidos entre Francia.y España, como no los ha;recibido de oficio el gobierno, no puede presentarlos á</t>
  </si>
  <si>
    <t>bulencias^ ;Se exceptúa de éste reglamentó la gente de mar miéntfas permanezca. ábóidoAm i v: -y y -Mr. Elliot presentó el dia 17 á la Cámara de los Comunes formada eií? junta de subsidios el estado.de las suniasr qué se necesitan para ios gastó»1 ordinarios y extraordinarios de marina, pa</t>
  </si>
  <si>
    <t>Eloy de Careno</t>
  </si>
  <si>
    <t>onde de Valleise, Ministro del Rey de Cerdeña en esta corte, presentado á Alexandro 1 las obras del Dr. Eloy de Careno sobre la inoculación de la vaccina en materia médica , S. M. en señal de satisfacción ha enviado de regalo á dicho facultativo una sortija de gran precio con una carta muy honoríf</t>
  </si>
  <si>
    <t>Elzaurd, Manuel Antonio</t>
  </si>
  <si>
    <t>Manuel Antonio Elzaurd</t>
  </si>
  <si>
    <t>Real... D. RamónAntonio Pico. En Córdoba........... Sres. Barcia padre é hijo. En la Corima........ D. Manuel Antonio Elzaurd?. En Cuenca..... ........D. Manuel Escolar y Noriega. En Granada....... D. Francisco Unzaga. En Guadalaxara. D. Isidoro García Plaza. En Jaén........... D. Pedro y Juan Esponera.</t>
  </si>
  <si>
    <t>-Real.*. D. Ramón Antonio Pico. - En Córdoba...... Sres. Barcia padre é hijo. En la Cortina........ D. Manuel Antonio Elzaurd?. • En Cuenca............D. Manuel Escolar y Noriega. ■i , En Granada........ D. Francisco Unzaga. En Guadalaxara.D. Isidoro García Plaza. En Jaén*...á......... D. Pedro y Juan Es</t>
  </si>
  <si>
    <t>Elzaurdi, Manuel Antonio</t>
  </si>
  <si>
    <t>Manuel Antonio Elzaurdi</t>
  </si>
  <si>
    <t>Real... D. Ramón Antonio Pico. En Córdoba.......... Sres. Barcia padre é hijo. En la Cortina........D. Manuel Antonio Elzaurdi. En Cuenca............. D. Manuel Escolar y Noriega. En Granada........ D. Francisco Unzaga. En Guadalaxara. D. Isidoro García Plaza. En Jaén................D. Pedro y Juan Espone</t>
  </si>
  <si>
    <t>.. D. Ramón Antonio Pico. En Córdoba............ Sres. Barcia padre é hijo. En la Cortina.......... D. Manuel Antonio Elzaurdi. En Cuenca................ D. Manuel Escolar y Noriega. En G-ranada.......... D. Francisco Unzaga. En Guadalaxara. D. Isidoro García Plaza. En Jaén...............D. Pedro v Juan E</t>
  </si>
  <si>
    <t>eal... D. Ramón Antonio Pico. En Córdoba...........Sres. Barcia padre é hijo. En la Cortina........ D. Manuel Antonio Elzaurdi. En Cuenca............. D. Manuel Escolar y Noriega. En Granada........ D. Francisco Unzaga. En Guadalaxara. D. Isidoro García Plaza. En Jaén................ D. Pedro y Juan Espon</t>
  </si>
  <si>
    <t>Embajador Mr</t>
  </si>
  <si>
    <t>adoras de mucho interes entre aquel Ministro de Relaciones exteriores y muestro Embajador Mr. de Luchesini; y desde entonces son muchísimos los correos</t>
  </si>
  <si>
    <t>Emeterio Serra</t>
  </si>
  <si>
    <t>a otra.de la colegial de Cardona, diócesis dé Sofsana, vacantepor renuncia:de D.'Emétecio^Martí , á D. Emeterio Serra; y para una Capellanía del número de la catedral de .Guadix »j vacante , por muerte de D. Nicolás Bonillay á D. Torquáto Ignacio de Ortega, Beneficiado de Aparroquia de Santa A»a</t>
  </si>
  <si>
    <t>Emparan, Agustín Ignacio</t>
  </si>
  <si>
    <t>Agustín Ignacio Emparan</t>
  </si>
  <si>
    <t>te se ha servido S. M. nombrar para la Regencia de la Audiencia de Filipinas, vacante por muerte de D. Agustín Ignacio Emparan, á D. Joseph de Gorvea y Vadillo, Fiscal de lo civil de la de Lima. El 2Cf de Enero último falleció en esta corte la Encina. Sra. Doña María Petronila Alcántara Pimentel, Cernecio</t>
  </si>
  <si>
    <t>Emparan, Ignacio</t>
  </si>
  <si>
    <t>Ignacio Emparan</t>
  </si>
  <si>
    <t>ales Guardias Walonas. De geometría elemental, trigonometría plana y parte de la geometría práctica D. Ignacio Emparan y D. Sebastian Lasa. Del tratado de esfera D. Rodrigo Tavira , D. Pedro Tavira, D. Francisco Trespaiacios, D. Leopoldo Menend.ez, D. Joaquin del Rio, el Marques de Iranda , Don Blas d</t>
  </si>
  <si>
    <t>Emparan, Miguel</t>
  </si>
  <si>
    <t>Miguel Emparan</t>
  </si>
  <si>
    <t>cisco Rodríguez , D. Tolhas Rocamora, D. Agustín Pinedo, D. Antonio Cordero,. D. Pedro Villaescusa, D. Miguel Emparan , D. Francesco Alburquerque, D. Blas González, D. Juan María de Soto, D. Francisco Caballero, D. Ignacio Merlos, Don Lorenzo Burgos^, D. .Joseph Arata,p. Ildefonso Larrauri ,D. To</t>
  </si>
  <si>
    <t>Empatan, Ignacio</t>
  </si>
  <si>
    <t>Ignacio Empatan</t>
  </si>
  <si>
    <t>. Ignacio de Lardizabal, Ln el ba) le, al cargo de su maestro D. J uan Castro, D. Joseph Kindelan , Don Ignacio Empatan, D. Pedro Tavira, D. Rodrigo Tavira, D. Antonio Gil-, mán, D. Fernando Adan de Yarza, D. Manuel de la Riva Agüero, D. Joseph Cia, D. Leopoldo Menendez, D. Joseph de Torres, D. Jos</t>
  </si>
  <si>
    <t>en xefe Andermat, General</t>
  </si>
  <si>
    <t>General en xefe Andermat</t>
  </si>
  <si>
    <t>s, y evitaremos tantos males._— Hecho en Lausana &amp;c.’* Desde el quartel general de Morat escribe el General en xefe Andermat al Ministro de Guerra con fecha del 27 diciéndole: ,;Así que logré reunir en Páyeme los 3 batallones del país de Vaud, salí de aquel pueblo para este. Al acercarme se retiráron lo</t>
  </si>
  <si>
    <t>en xefe Bachman, General</t>
  </si>
  <si>
    <t>General en xefe Bachman</t>
  </si>
  <si>
    <t>a á favor de los insurgentes. ~ El General Aufder-Maur se ha trasladado de aquí L Schwitz,; pero el General en xefe Bachman permanece en esta ciudad con su estado mayor y su qUartel general. Acaba la junta de los Diez de dirigir una proclama á los habitantes del cantón de Berna dándoles gracias por los</t>
  </si>
  <si>
    <t>en xefe Bonapartei, General</t>
  </si>
  <si>
    <t>General en xefe Bonapartei</t>
  </si>
  <si>
    <t>e Agosto. D« espues de la conquista de esta plaza había recibido el General de dimisión Miollis del General en xefe Bonapartei.200© francos enbienes rai-r ces para resarcir á aquellos cuyas tierras hubiesen ¿padecido por las nuevas obras de fortificación. Desempeñado este objeto,-ha impuesto dicho General</t>
  </si>
  <si>
    <t>en xefe Capitán General, General</t>
  </si>
  <si>
    <t>General en xefe Capitán General</t>
  </si>
  <si>
    <t>y tranquilidad pública. Una de ellas dice substancialmente así:,,En nombre del gobierno francés. El General en xefe Capitán General decreta: Artículo i.° La religión católica apostólica romana es la única cuyo exercicio público queda autorizado en Sto. Domingo. 2.0 Dos eclesiásticos nombrados por el General en xe</t>
  </si>
  <si>
    <t>en xefe Leclerc, General</t>
  </si>
  <si>
    <t>General en xefe Leclerc</t>
  </si>
  <si>
    <t>nevitables. Yo he tenido la satisfacción de que en la mañana del 6 viniese á bordo de este buque el General en xefe Leclerc acompañado de dos de sus Ayudantes á darme las gracias por lo bien que se habían conducido nuestros oficiales, y por la inteligencia y prontitud con qu^ executáron el desembarco:</t>
  </si>
  <si>
    <t>. Afor-* lunadamente la marcha de las tropas del General Rochambeau, que conforme á las órdenes del General en xefe Leclerc , se habia aproximado al Cabo , han puesto á cubierto los ingenios que estaban á la parte dél E. de la ciudad. Los blancos han escapado del horroroso y bárbaro decreto de muerte ,</t>
  </si>
  <si>
    <t>ta de Nántes se han publicado las dos cartas siguientes: „Quartel general del Cabo, r.° de Mayo. El General en xefe Leclerc al General Santos Louverture , en nombre del gobierno francés. Veo con gusto, ciud. General, el partido que tomáis de someteros á las armas de la República. Los que han tirado, á</t>
  </si>
  <si>
    <t>en xefe Leclercuna, General</t>
  </si>
  <si>
    <t>General en xefe Leclercuna</t>
  </si>
  <si>
    <t>de Febrero estábamos á ía vista de él , y en la mañana del 2 despacharon el Almirante Villaret y el General en xefe Leclercuna balandra con un oficial parlamentario para informar al General de división Christophe, Gobernador que era del Cabo , de las intenciones pacíficas dei primer Cónsul, de sus deseos</t>
  </si>
  <si>
    <t>en xefe May, General</t>
  </si>
  <si>
    <t>General en xefe May</t>
  </si>
  <si>
    <t>ncia. .1 Estaba señalado el dia 15 de este mes para la entrada de las tropas francesas en Suiza. El General en xefe May habia hecho todas sus disposiciones para marchar por Basilea á Lausana y Berna; pero habiendo recibido la noticia de que la Dieta de Schwitz habia cedido á las exhortaciones del p</t>
  </si>
  <si>
    <t>en xefe Murat, General</t>
  </si>
  <si>
    <t>General en xefe Murat</t>
  </si>
  <si>
    <t>un testimonio de gratitud por los servicios hechos á la patria, un sable con esta inscripción : al General en xefe Murat, el pueblo cisalpino agradecido. Respondió el General manifestando su agradecimiento por esta oferta ; pero añadió que el estado de las rentas dé la República no le permitía conse</t>
  </si>
  <si>
    <t>Bonaparte para Presidente , y la del ciud. Melzi para vice-Presidente. Antes de ayer tarde llegó el General en xefe Murat; el mismo día se cantó un solemne Te Deitm en la iglesia de Sta. Fidel: y por la noche se iluminó la ciudad, y hubo bayle público en los dos teatros. Dícese que á mediados de este</t>
  </si>
  <si>
    <t>slativo, la antigua Consulta legislativa, y la Junta del gobierno interino. De allí á poco llegó el General en xefe Murat con el estado mayor y muchos Generales italianos. Revistó las tropas, y después de las evoluciones pasó también á palacio y se incorporó con los ciudadanos Somtneriva y Ruga, y co</t>
  </si>
  <si>
    <t>aos. Milán 2$ de Febrero. El dia de la instalación del gobierno de la República cisalpina regalo eí General en xefe Murat al VÍce-Presidente Melzi un precioso sable y dos. pares de pistolas igualmente ricas, dé la fábrica de Versálles. _ r El nuevo Consejo legislativo se ha dividido en un número de j</t>
  </si>
  <si>
    <t>¿Bertrand ? Comandante de Rímini, que van á Ñapóles. .. . ■ /V;d - &gt;";• d Milán de. Marzoú ,jf J-l General en xefe Murat ha salido de aquí para Francia. A todos los italianos qué hay en París se les ha avisado que la Prusia ha reco»ocido;formalmenté.este gobierno,, y que las demas potencias están di</t>
  </si>
  <si>
    <t>udar todos los empleados públicos. .Milán i.° de Abril. E n virtud de orden del primer Cónsul y del General en xefe Murat saldrán de aquí los Generales y los empleados en el ramo administrativo y económico del exército. La plana mayor del exército del Mediodía se trasladará á Brescia: el Comisario or</t>
  </si>
  <si>
    <t>en xefe Ney, General</t>
  </si>
  <si>
    <t>General en xefe Ney</t>
  </si>
  <si>
    <t>and. El 29 de Octubre ocupáron los franceses la'ciudad de Zurich, en donde se hallan actualmente el General en xefe Ney y el General Serras. De resultas se disolvió el gobierno de los insurgentes* y los aldeanos han*recobrado la libertad de que ios habían privado los contrarevolucionarios. Al cabo de t</t>
  </si>
  <si>
    <t>5. Se subdividen estos distritos en partidos» quarteles &amp;c. Bastlea 11 de Noviembre, P or órden del General en xefe Ney se desarmará á los habitantes de todos los cantones ocupados por tropas francesas. En conseqüencia de dicha Órden, y de las instrucciones particulares del gobierno helvético, mand</t>
  </si>
  <si>
    <t>Enamorado, Manuel</t>
  </si>
  <si>
    <t>Manuel Enamorado</t>
  </si>
  <si>
    <t>tendente de Toledo, los bienes y efectos pertenecientes al patronato que eh ja villa dé Recas fundó D. Manuel Enamorado, presbítero ,; que! sé compone Re únas'casas principales en aquel pueblo, de 987^ fanegas de tierra labran tía y de 1 cercas y una era de emparvar , de aranzadas ció viña , de ia'</t>
  </si>
  <si>
    <t>Eneas Elecher</t>
  </si>
  <si>
    <t>rez al Portaestandarte D. Joseph Casado: en el de Voluntarios de España segunda Tenencia al Alférez D. Eneas Elecher; y en el de dragones de Pavía Compañía al Ayudante, graduado de Capitán , D. Simón Maluenda. En el Real cuerpo de Ingenieros del exército ha promovido S. M. á en xefes á los en se</t>
  </si>
  <si>
    <t>Engracia Carrasco, Carlos</t>
  </si>
  <si>
    <t>Carlos Engracia Carrasco</t>
  </si>
  <si>
    <t>y Campo, D. Carlos Sellery, D. Lorenzo de la Puente, D, Ruperto Calderón,D. Pedro de Toro y Toledo, D. Carlos Engracia Carrasco , D. Felipe Uriarte y Erquizia, D. Joaquín Delgado Fernandez, D.Francisco Xavier Radillo, D» Benito Basabe y UJente, Dón Francisco Toubes y Ordoñez, D. Antonio de Aiscar y Piedrol</t>
  </si>
  <si>
    <t>Enlate y Tovias, Ramón</t>
  </si>
  <si>
    <t>Ramón Enlate y Tovias</t>
  </si>
  <si>
    <t>seph Obando y Adorno , D. Joseph Romero y Uriraiz , D. Alvaro de la Sema, D. Garlos Rato y Ramírez, D. Ramón Enlate y Tovias, D. Martin Manuel Mathéo, D. Femando Dominicis , y D. Juan de Cárdenas y Cárdenas. A Alféreces de Navio los de Fragata D. Diego Venegas y Aguilar, D. Manuel Murga, *p. Ventura Gut</t>
  </si>
  <si>
    <t>Enrile y Desportes, Nicolás</t>
  </si>
  <si>
    <t>Nicolás Enrile y Desportes</t>
  </si>
  <si>
    <t>y» Pedrosa, D. Rá-' mon Martínez del Corro y los Ríos ,D. Felipe Villavicencioy Rodríguez de Aria , D. Nicolás Enrile y Desportes, D. Diego Gadéa y Fernandez de Arbina, D. Rafael de la Iglesia y Darrac ,D. Manuel Villavicencio y Garcés, D. Francisco de Hoyos y Laraviedra, D. Mariano Martínez y Vega, D. Gerón</t>
  </si>
  <si>
    <t>Ensebio Navarro</t>
  </si>
  <si>
    <t>y á D. Bernardo de la Peña , que lo era de granaderos; á Subteniente de granaderos al de fusileros D. Ensebio Navarro; á Subteniente de Artillería al de fusileros D. Henrique Arroyuelo; á Subtenientes de fusileros á los Cadetes D. Francisco Xavier Díaz Granados y á D. Félix Díaz Granados, y á Sub</t>
  </si>
  <si>
    <t>Ensebio Sánchez Mendoza</t>
  </si>
  <si>
    <t>Alventos ; á primer Teniente al segundo Teniente D. Joachín Marín, y á segundo Teniente al Alférez D. Ensebio Sánchez Mendoza. En América. $. M. se ha dignado promover en el regimiento de infantería de Nueva España á Teniente al Subteniente de granaderos D. Francisco González; á Subteniente de granaderos</t>
  </si>
  <si>
    <t>Eortich, Antonio</t>
  </si>
  <si>
    <t>Antonio Eortich</t>
  </si>
  <si>
    <t>licías de Guayaquil: Subténencia ¿embandera' en elóreg^^n^^^iijfan^ciíii ñxo de Cartagena al Cadete D. Antonio Eortich: da Sargentía mayor Veterana del cuerpo*’de cazadores dePortobelo al Capitán D,, Eraneisco *Mexías," Comandante del batallón de Pardos libres de Panamá ; y la del esquadroñ, de dr</t>
  </si>
  <si>
    <t>Erlach</t>
  </si>
  <si>
    <t>iembre. H an empeorado y llegado casi al-extremo, los asuntos del gobierno. .El ciud. Erlach se ha pue -to al frente de un exército de emigrados que .han servido en lo? regimientos suidos de Inglaterra, de desertores de las tropas helvéticas, de milita</t>
  </si>
  <si>
    <t>Ernán de Watteviile</t>
  </si>
  <si>
    <t>e , y librar de todo daño á la ciudad y al vecindario , él comandante militar helvético de Berna, y Mr. Ernán de Watteviile , en nombre del consejo de guerra de las tropas que atacan á Berna , han convenido en lo^ siguientes artículos: i.° Armisticio entre unas y otras tropas. a ° Se.entre-' gará la pl</t>
  </si>
  <si>
    <t>Ernouf, General</t>
  </si>
  <si>
    <t>General Ernouf</t>
  </si>
  <si>
    <t>Savigliano el General Canclaux , Inspector general de caballería ; y en breve saldrá igualmente el General Ernouf, Inspector general de infantería. Uno y otro van á revistar las tropas que están baxo su inspección: las del último se extienden hasta Ñapóles. Desde el Monte-Cenis hasta la orill</t>
  </si>
  <si>
    <t>Erquível, Joseph</t>
  </si>
  <si>
    <t>Joseph Erquível</t>
  </si>
  <si>
    <t>a, Cadete de R.eales Guardias Walonas, D. Joseph Torres, el Marques de "Iranda, D. .Joseph Catalan, Don Joseph Erquível, D. Toribio Olalde, D. Manuel Carnara y D. Ceferino Carrillo. En sintaxis , baxo la dirección de su maestro D. 'Rufino Espada, D. Francisco Necochea, D. Pedro Goosens, D. Fermín C</t>
  </si>
  <si>
    <t>Erraez, Francisco</t>
  </si>
  <si>
    <t>Francisco Erraez</t>
  </si>
  <si>
    <t>40. 24. Id* Francisco Erraez.............. Juan, María García......... Cillan............. Avila....... ... 60. 20. Id. Manuel Andrés.................... Estéban, Ursula.........</t>
  </si>
  <si>
    <t>Erskine</t>
  </si>
  <si>
    <t>uques de Cumberland, de Cíarence y de Kent, el Príncipe Guillermo de Glocester, el Conde de Moira y Mr. Erskine, su canciller. Entre los platos que se sirviéron á la mesa había un pedazo de vaca de .170 libras, en el qual tremolaba el estandarte Real. Encima de.la puerta de la sala estaba e</t>
  </si>
  <si>
    <t>Erskine, Cardenal</t>
  </si>
  <si>
    <t>Cardenal Erskine</t>
  </si>
  <si>
    <t>n ido tres compañías de carabineros á León, en donde *e esperan otras tropas. Ha llegado á París el Cardenal Erskine, que estaba en Londres. Acaba el Ministro de lo Interior de disponer se coloque en una de las salas del instituto el busto de mármol del celebre Lamoignon-Malesherbes hecho por el</t>
  </si>
  <si>
    <t>Escamilla, Gregorio</t>
  </si>
  <si>
    <t>Gregorio Escamilla</t>
  </si>
  <si>
    <t>Juan Sayers, D. Ignacio Guarda, D. Joseph ParboyD. Pedro Joseph de Benavente, D. Antonio Salcedo-, D. Gregorio Escamilla, D. Joaquín Velazqyez, D. Manuel</t>
  </si>
  <si>
    <t>Escandon y Antayo, Salvador</t>
  </si>
  <si>
    <t>Salvador Escandon y Antayo</t>
  </si>
  <si>
    <t>amuño y Pardo, IX Martin Sarratea y Mayora, D. Martín Lazaga ys Uria , D. Manuel- de Camba -y Leys, D. Salvador Escandon y Antayo, D. Asiutin Maldonadoy Piméntel,:D. Miguel del Busto, D. Manuel Fu-* ne?&gt;, IX Vicente Burragi, D. Manuel Echevarría, D. Miguel Tacón, Don ~ T' ^ ü*t:—Ívnr/lííín . h/Hípon flp TnrD</t>
  </si>
  <si>
    <t>Escario, Joseph</t>
  </si>
  <si>
    <t>Joseph Escario</t>
  </si>
  <si>
    <t>. Antonio Fernandez, D. Martin de Asis, D. Gabriel Gutiérrez, ¿0* Manuel&lt; Herrera, D. Ramón García, D. Joseph Escario, 0. Joseph'de Sotó, D. Tomas Chacón,D. Carlos Abaxo, O..Julián de Altana* 0. Antonio de Parga^ 0. Pascual Martínez* Don</t>
  </si>
  <si>
    <t>Escariz, Andrés</t>
  </si>
  <si>
    <t>Andrés Escariz</t>
  </si>
  <si>
    <t>...... 139. 29. Id. Andrés Escariz..................... Andrés. Ana María Parada. Sta.María Segril............ Santiago........ 101. Id. Pedro Baliña....... .................Juan, Rosalía Tovar....... Sta. Mar</t>
  </si>
  <si>
    <t>Escolar y Noriega, Manuel</t>
  </si>
  <si>
    <t>Manuel Escolar y Noriega</t>
  </si>
  <si>
    <t>Sres. Barcia padre é hijo. En la Cortina........D. Manuel Antonio Elzaurdi. En Cuenca............. D. Manuel Escolar y Noriega. En Granada........ D. Francisco Unzaga. En Guadalaxara. D. Isidoro García Plaza. En Jaén................D. Pedro y Juan Esponera. En León................ D. Pedro Gil de Tejada.</t>
  </si>
  <si>
    <t>Barcia padre é hijo. En la Cortina.......... D. Manuel Antonio Elzaurdi. En Cuenca................ D. Manuel Escolar y Noriega. En G-ranada.......... D. Francisco Unzaga. En Guadalaxara. D. Isidoro García Plaza. En Jaén...............D. Pedro v Juan Esponera. En L eon................... D. Pedro Gil de Te</t>
  </si>
  <si>
    <t>Sres. Barcia padre é hijo. En la Corima........ D. Manuel Antonio Elzaurd?. En Cuenca..... ........D. Manuel Escolar y Noriega. En Granada....... D. Francisco Unzaga. En Guadalaxara. D. Isidoro García Plaza. En Jaén........... D. Pedro y Juan Esponera. En León................. D. Pedro Gil de Tejada. En M</t>
  </si>
  <si>
    <t>Sres. Barcia padre é hijo. En la Cortina........ D. Manuel Antonio Elzaurd?. • En Cuenca............D. Manuel Escolar y Noriega. ■i , En Granada........ D. Francisco Unzaga. En Guadalaxara.D. Isidoro García Plaza. En Jaén*...á......... D. Pedro y Juan Esponera. ; En León....... ........ D. Pedro Gil de Tej</t>
  </si>
  <si>
    <t>Sres. Barcia padre é hijo. En la Cortina........ D. Manuel Antonio Elzaurdi. En Cuenca............. D. Manuel Escolar y Noriega. En Granada........ D. Francisco Unzaga. En Guadalaxara. D. Isidoro García Plaza. En Jaén................ D. Pedro y Juan Esponera. En León.................D. Pedro Gil de Tejada.</t>
  </si>
  <si>
    <t>s. Barcia padre é hijo. En la Cortina......... D. Manuel Antonio Eizaurdi. \ En Cuenca..............D. Manuel Escolar y Noriega. En Granada......... D. Francisco Unzaga. En Guadalaxara. D. Isidoro García Plaza. En Jaén............... D. Pedro y Juan Esponera. En León............. . D. Pedro Gil de Tejada.</t>
  </si>
  <si>
    <t>. Sres. Barcia padre é hijo. En la Corima........ D..Manuel Antonio Elzaurái. En Cuenca............ D. Manuel Escolar y Noriega. En Granada.... .... D. Francisco Unzaga.</t>
  </si>
  <si>
    <t>Escolar, Gabriel</t>
  </si>
  <si>
    <t>Gabriel Escolar</t>
  </si>
  <si>
    <t>Fornás. También en el de dragones de Almansa ha promovido S. M. á Teniente al Alférez de granaderos D. Gabriel Escolar; y en el de Villavíciosa á Capitán al Ayudante , graduado de Capitán , D. Francisco de Paula de Roxas. Viages de Antenor por Grecia y Asia, con nociones sobre Egipto, vertidos del</t>
  </si>
  <si>
    <t>Escolar, Manuel</t>
  </si>
  <si>
    <t>Manuel Escolar</t>
  </si>
  <si>
    <t>. $res.. Barcia padreíé hijo. En la Corteña........Manuel Antonio Elzaúrdi, Eti Cuenca....... i.... D. Manuel Escolar, yN oriega. Eu Granada....^... D. Francisco Unzaga. En Qruadalaxara. D. Isidoro García Plaza. En Jaén.......?...,,.. D, Pedro y Juan Esponejra* En León.......... I). Pedro Gil de</t>
  </si>
  <si>
    <t>Escolástico Laviila</t>
  </si>
  <si>
    <t>e los progresos de las ciencias. Tuviérón también su.s exercicios D. Fabian Lorente, de tercer año, D. Escolástico Laviila, D. Joseph Ramón de Arnica y el Dr. D. Joaquín Oiiés de Regales y y unos y otros respondiérón á quanto lés preguhtárónlos exámínadóresy con el lucimiento y* aeiei té Correspondien</t>
  </si>
  <si>
    <t>Escolástico Quiñones</t>
  </si>
  <si>
    <t>egado á dicho regimiento, y D. Manuel Dávila de Carabineros ; á Teniente de Carabineros al Teniente D. Escolástico Quiñones; á Teniente al Alférez D. Francisco Medrano , y á Alféreces á los Sargentos primeros D. At^pasio Quadra, de Carabineros , y D. Jóséph de Guerra, y al Cadete D. Tomas Dávila. Tambi</t>
  </si>
  <si>
    <t>Éscovar y Ríquelme, Ignacio</t>
  </si>
  <si>
    <t>Ignacio Éscovar y Ríquelme</t>
  </si>
  <si>
    <t>in de Mora; y Duarte ,, D. Diego de Arteaga, D. Alonso Solis y Zurita, D. Joseph Bernaci y Retamar, Don Ignacio Éscovar y Ríquelme, D. Juan Robredo y Lea, D. Joseph de Córdoba y? Roxas , 0. Lope Valcarcel y Valcarcel, D. Joseph Linares é Iba?* nez, D.; Diego de^Obando y Adorno, D. Francisco Feruandez de Miran</t>
  </si>
  <si>
    <t>Escovar, Rafael</t>
  </si>
  <si>
    <t>Rafael Escovar</t>
  </si>
  <si>
    <t>ón á segundos Subtenientes al Cadete D. Mariano Villanueva, y al Soldado distinguido del de Navarra D. Rafael Escovar: en-el de la Princesa á Ayudante al primer Teniente D. Joseph Ucles: en el de Málaga á segundo Teniente al Subteniente de granaderos D. Manuel Santiago Rengel: en el de Voluntario</t>
  </si>
  <si>
    <t>Éscovedoj Di Pedro Linares, Joseph</t>
  </si>
  <si>
    <t>Joseph Éscovedoj Di Pedro Linares</t>
  </si>
  <si>
    <t>D. Luis María Bonsteten, D. Luis Aygremont, D. Cárlos VauverdenyD. Aüigei Foxá, D. Joaquín de Cea, Don Joseph Éscovedoj Di Pedro Linares, D. Manuei^le San Pedro, D. Ramón de la Cuesta, D. Lorenzo Arroyo, D. Manuel Meneos, D. Joseph Imaz, D. Joseph Martínez, D. Rodrigo Medrano, D. Bartolomé Monta! ño, D. Joseph Góme</t>
  </si>
  <si>
    <t>Escribano, Francisco</t>
  </si>
  <si>
    <t>Francisco Escribano</t>
  </si>
  <si>
    <t>56,490 rs. Las personas que quieran interesarse en su compra acudirán á la escribanía del número de D. Francisco Escribano, donde se les instruirá , y manifestarán los .planes en particular de cada una. Por providencia de 28 del pasado del Sr. D. Miguel Munarriz, del Consejo, de S. M. ,su Alcalde de c</t>
  </si>
  <si>
    <t>Sr. D. Manuei Vicente Torres Cónsul, Teniente Corregidor de esta villa, y escribanía del número de D. Francisco Escribano, se han mandado sacar á pública subasta dos casas correspondientes al convento de Trinitarios calzados, sitas la una en la calle de Alcalá, núm. 2, manz. 265, que comprehende 25&lt;5</t>
  </si>
  <si>
    <t>r , y se ha retasada en rs. Quien quiera hacer postura í ella acudirá i la escribanía deí número de D. Francisco Escribano. Se abre subscripción á la reimpresión en 4.a délas comedias de IX Pedro Calderón de la Barca, que se publicarán dos cada semana £ lo ménos, siguiendo el orden de la edición de Ta</t>
  </si>
  <si>
    <t>Blas Ramírez. ■ - Por el juzgado del Sí\ í&gt;. Juan Antonio Santa María , y escribanía del número de D. Francisco Escribano, se han mandado sacar á pública subasta 4 casas correspondientes á memorias fundadas en el convento de monjas de Sto. Domingo el Real de esta corte: una en la calle de Embaxadores</t>
  </si>
  <si>
    <t>Escuderil</t>
  </si>
  <si>
    <t>or el Marques de Mondéjar : un tomo en 8.° marquida. = Las Mugeres ilustres , ó arengas heroycas de Mr. Escuderil 2 tomos en 8.°:= Moral de un filosofo christiano en máximas deducidas de la sagrada Escritura por un presbítero secular. Se hallarán en la librería de Campo, calle de Alcali. Llav</t>
  </si>
  <si>
    <t>Escudero, Antonio Martín</t>
  </si>
  <si>
    <t>Antonio Martín Escudero</t>
  </si>
  <si>
    <t>Sacristía del lugar de Acebo, en la diócesis de Coria , vacante por muerte de D. Miguel Salgado , á D. Antonio Martin Escudero; y para el Beneficio simple de la parroquial de Sobradillo , en la diócesis de Ciudad-Rodrigo, vacante por fallecimiento de D. Pablo Melgarejo, a D. Eustaquio Diez Montes. En el r</t>
  </si>
  <si>
    <t>Escudero, Manuel Antonio</t>
  </si>
  <si>
    <t>Manuel Antonio Escudero</t>
  </si>
  <si>
    <t>para la Prestamera de Rus, en la diócesis de Jaén, vacante por fallecimiento de D. Simón Baldazo, á D. Manuel Antonio Escudero: para otra de la nutación ó despoblado de Alharo, en el obispado de Córdoba, vacante por muerte de D011 Francisco Xavier de Piedrola , á D. Simón de Roxas Rodríguez : para el Prés</t>
  </si>
  <si>
    <t>Escudero, Pedro</t>
  </si>
  <si>
    <t>Pedro Escudero</t>
  </si>
  <si>
    <t>30. 11. Id. Pedro Escudero............ . Fernando,Paula Calderera. Tembleque... Tembleque... 3S- 33. Id. Martin Laguna........... ..... Pedro, Froylana R</t>
  </si>
  <si>
    <t>Escunmo, Joachín</t>
  </si>
  <si>
    <t>Joachín Escunmo</t>
  </si>
  <si>
    <t>ña: para la Canongía de la colegial de Lorca, en la diócesis de Cartagena,.vacante por promoción de D. Joachín Escunmo á Canongía de la catedral de Zamora, á D. Manuel de Ayuso: para ou*a de la colegial de Soria, diócesis de1 Osma, vacante por muerte de Don Manuel Aragonés, á D. JLosephifiíonzález</t>
  </si>
  <si>
    <t>Esparza, Bartolomé</t>
  </si>
  <si>
    <t>Bartolomé Esparza</t>
  </si>
  <si>
    <t>Torres y IX Joseph María Gómez Eguíarte: para la de Visitador del Resguardo de la misma Factoría á D. Bartolomé Esparza: para Oficial 3.0 de la Contaduría de dicha Factoría á D. Joseph María de la Sota y Riva: para ías de Guardas de la Factoría de Puebla á D. Manuel Larra-zabal, D. Vicente Segura y</t>
  </si>
  <si>
    <t>Espejo, Joseph</t>
  </si>
  <si>
    <t>Joseph Espejo</t>
  </si>
  <si>
    <t>nto supernumerario D. Joaquín Manglano; á Exentos supernumerarios al Brigadier de la misma compañía D. Joseph Espejo,.y al Cadete de ella Marques de Palacios, y á Brigadier al Sübrigadier’D. Antonio Ruano. S. M. ser.ha dignado promover en la Real compañía* de Alabarderos á</t>
  </si>
  <si>
    <t>Espert, Bernardo</t>
  </si>
  <si>
    <t>Bernardo Espert</t>
  </si>
  <si>
    <t>Sánchez Griñan y D. Manuel de Vera , y á Subtenientes de bandera al Sargento primero de granaderos D. Bernardo Espert, y los Cadetes D. Joseph Chamizo y D. Antonio Nuñez: en el de Cuba á Capitán de granaderos al de fusileros D. Manuel Martínez; á Capitanes D. Antonio Aldana y D. Manuel Rodríguez,</t>
  </si>
  <si>
    <t>Espifieyra, Juan</t>
  </si>
  <si>
    <t>Juan Espifieyra</t>
  </si>
  <si>
    <t>.... 120. 20. Id. Juan Espifieyra......... .........Félix, Antonia Cruces.., ... Oleyros......... Salvatierra... 140. IO. Id. Juan de Amoedo....... ..../. Mateo, Isabel Miguez...,... Amoedo...... . Robo</t>
  </si>
  <si>
    <t>Espinóla, Francisco</t>
  </si>
  <si>
    <t>Francisco Espinóla</t>
  </si>
  <si>
    <t>. A Tenientes de IFragata los Alféreces de Navio , * D. Joseph Arguelles, D. Félix Pareja y Mesía, D. Francisco Espinóla yLiaño, D. Ignacio de RoóySmidts, D. Claudio Zulmezu y Palacioi D. Juan Ülloa y Be.betoros, D. Martin Oarrichena , D. Manuel Vacaro X Valcarcel, D. Antonio Bobadi!la|y Ángulo, D. Mi</t>
  </si>
  <si>
    <t>Espinós, Francisco Antonio</t>
  </si>
  <si>
    <t>Francisco Antonio Espinós</t>
  </si>
  <si>
    <t>ener qualqniera arregla** do á la igualdad del tiempo su relox así de péndola cómo de bolsillo: por D. Francisco Antonio Espinós, reloxero. Véndese en la librería de Campo,casa nueva del Conde de Tepa, frente á S. Sebastián yen Valencia en casa del autor , calle de San Vicente, y en Barcelona en la de Anton</t>
  </si>
  <si>
    <t>Espinosa Tello, Joseph</t>
  </si>
  <si>
    <t>Joseph Espinosa Tello</t>
  </si>
  <si>
    <t>l Tesoro, D.Alarcelo Espínela, D. Agustín Figueroa, D. Joseph Uriarte y Borla, D. Rafael de Hore, y D. Joseph Espinosa Tello. A Capitanes de Navio los de Fragata ■i D. Juan Carranza, D. Bruno Palacio*, D. Juan Elizalde y Uztariz, D. Tomas Herrera y Cruzat, D. Juan Ignacio Bustillos, D. Felipe Tcurneil,</t>
  </si>
  <si>
    <t>Espinosa y Carribreleng, Joseph</t>
  </si>
  <si>
    <t>Joseph Espinosa y Carribreleng</t>
  </si>
  <si>
    <t>ento de Canárias se~ha servido el Rey promover á Tenientes á los Subtenientes D. Gines de tCastro, ;D. Joseph Espinosa y Carribreleng y D. Agustín Márquez Rome=ró y /y Á Subtenientes a D, Joseph Cuezala Bignoni y D. Juan Leal y Vehjdugo:; habiendo igualmente conferido S«M.:el empleo deAyudante mayor dé.las. citadas</t>
  </si>
  <si>
    <t>Espinosa, Ignacio</t>
  </si>
  <si>
    <t>Ignacio Espinosa</t>
  </si>
  <si>
    <t>ente D. Rafael del Canto: en ei de las Ordenes Militares á primer Teniente al segundo de granaderos D. Ignacio Espinosa: en el de Voluntarios de Castilla á Ayudante al primer 1 emente D. Joseph María Zaro: en el de Borbon á primer Subteniente al segundo D. Miguel Hermand: en el de Jaén á Capitán al</t>
  </si>
  <si>
    <t>Espinosa, Joseph</t>
  </si>
  <si>
    <t>Joseph Espinosa</t>
  </si>
  <si>
    <t>as Rentas de'la provincia de Segovia ; á ;D. Agustín Sorondo, Comandante de- Res guardo de Cádiz; á D. Joseph Espinosa, Superintendente dedas Fábricas de ,rabaco de Sevilla; á D. Ignacio Alvarez de la Cruz, Director, de labores de l a Factoría de tabacos de la Havana; á D. Felipe-Martínez de Viérg</t>
  </si>
  <si>
    <t>z, D. Cosme Marín, D. Serafín del Rincón, D. Mariano Carrasco, D. Vicente Pico, í). Antonio Arias , D. Joseph Espinosa, D. Miguel de Gerona, D. Manuel Henriquez, D. Francisco Xavier de Mendíri, D. Bartolomé Ladrón de Guevara, D. Gerónimo Montóya, Don Manuel de la Breña, D. Manuel de Alva, D. Juan</t>
  </si>
  <si>
    <t>Espinosa, Pedro</t>
  </si>
  <si>
    <t>Pedro Espinosa</t>
  </si>
  <si>
    <t>ía de Moráles, Dé 'Joseph Coppola, D. Pedro Antonio Casasola^'D. Joseph*Molina , D. Miguel Taboada, D. Pedro Espinosa, D. Ramón Varela ¿ D. Melchor Magrat, Don Antonio Laprieta, D. Francisco Ezpeleta, D. Juan Albérni, D. Joaquín Puertolas, D, Vicente Pinzón, D. Félix Muñoz, D. Gines Albadalejos .</t>
  </si>
  <si>
    <t>Espinosa, Rafael</t>
  </si>
  <si>
    <t>Rafael Espinosa</t>
  </si>
  <si>
    <t>rimer Teniente D. Juan Ximenez: en el de Granada primera Tenencia al segundo Teniente de granaderos D. Rafael Espinosa: en el de Mallorca Subtenencia de granaderos al primer Subteniente D. Juan Nicolás de la Fuente: en el de León primera Subtenencia al segundo Subteniente D. Juan Alaría Dupac : en</t>
  </si>
  <si>
    <t>Esponera, Pedro</t>
  </si>
  <si>
    <t>Pedro Esponera</t>
  </si>
  <si>
    <t>etiembre, núm. 447,749 , endosado poF D. Domingo Calzón, vecino de la ciudad de Andúxar, i favor de D. Pedro Esponera , de Jaén, con fecha i.u de Julio de este afio. Quien supiere de su paradero le remitiré ó avisará á dicho D. Doniingo Calaon , en Andúxar, ó á D. Manuel Ortis de Muga, én Madrid,</t>
  </si>
  <si>
    <t>Esquivel y Sotomayor, Manuel</t>
  </si>
  <si>
    <t>Manuel Esquivel y Sotomayor</t>
  </si>
  <si>
    <t>de Valladolid , en pliego de marca mayor , dibuxada por Don Manuel Martin Rodríguez, y grabada por D. Manuel Esquivel y Sotomayor. Véndese á 4 rs. en la sacristía de dicha iglesia, y también en la iglesia de S. Norberto de esta corte, vulgo los Mostenses. 4 Minuete atandangado con variedad de versos para, ca</t>
  </si>
  <si>
    <t>Esquível, Pedro</t>
  </si>
  <si>
    <t>Pedro Esquível</t>
  </si>
  <si>
    <t>Juan Elizalde y Uztariz, D. Tomas Herrera y Cruzat, D. Juan Ignacio Bustillos, D. Felipe Tcurneil, D. Pedro Esquível, D. Pedro de Mesa, D. Ignacio Olaeta, D. Joaquín Gómez Barreda, D. Benito Santacilia, D. Cosme- Carranza, D. Joseph Melendez, D. Antonio Pareja, D. Francisco Piedrola, D. Fernando</t>
  </si>
  <si>
    <t>Esquivfel, Joseph</t>
  </si>
  <si>
    <t>Joseph Esquivfel</t>
  </si>
  <si>
    <t>, D. P^dro Gopssens (ys estos dos Aaiiibien en el bai le ingles ), Di Fermín Cía, D, tufe Verganza, D. Joseph Esquivfel, D.Blas tezo, D.JoaquinMedrano, P- Francisco Neeochea, D. Joseph Gaytan, D. Luí* Duran* D- .Manan®: Zapata, D.JEodngo y D. Pedro Tavíra, D. Leopoldo Menead», P- JosephTorres, D. L</t>
  </si>
  <si>
    <t>Estala, Pedro</t>
  </si>
  <si>
    <t>Pedro Estala</t>
  </si>
  <si>
    <t>uffon, clasificado según el ^sistema de Linneó por Bepata Ricardo Castel, traducido é ilustrado por D. Pedro Estala, presbítero. Tomó í.°, quexontiepe la teórica de la tierra , con e retrato de Büffón. Véndese á 1» rs. á la rústica en la librería de Castillo, frente a las gradas de San Felipe.T</t>
  </si>
  <si>
    <t>on7 .clasificado según el sistema cíe I/inneo por Renato Ricardo Castel, tradqcicto é ilustrado por D. Pedro Estala, presbítero. Tomo a.°, que contiene las Epocas de la naturaleza. Véndese á 12 rs, á la rústica en la librería de Castillo , frente á las gradas de S. Felipe. Instrucción so^re el</t>
  </si>
  <si>
    <t>BufFon, clasificado según el sistema de Lineo por Renato, Ricardo Castel, traducido é ilustrada por D. Pedro Estala , presbítero : tomo- 3.0 que contiene la historia del hombre. Véndese en la librería de Castillo, frente á las gradas de S. Felipe , á xa rs. á la rústica. v Vida privada de los R</t>
  </si>
  <si>
    <t>BuíFon, clasificado según el sistema de Lineo por Renato Ricardo Castei, traducido é ilustrado por D. Pedro Estala, pret</t>
  </si>
  <si>
    <t>Estanislao Guezo</t>
  </si>
  <si>
    <t>43. 32. Id. Estanislao Guezo......... Salinas........... Búrgos........... 54. 9. Id. Gregorio Andrade......</t>
  </si>
  <si>
    <t>Estanislao Juez Sarmiento</t>
  </si>
  <si>
    <t>1040 quez Mondragon, D. Juan Joseph Martínez , D. Joseph de Vargas Varaez , D. Estanislao Juez Sarmiento ¿ D. Juan Pablo Podares , D. Francisco Uriarte y Borja,,D. Dionisio Alcalá Galiano, D. Cosme Chumica, Don Cayetano Valdés , D. Felipe Jado Cagigal Marques del Real Tesoro, D.Alarc</t>
  </si>
  <si>
    <t>Estanislao Merino</t>
  </si>
  <si>
    <t>531. 37. Id. Estanislao Merino.., Josef, Sebastiana Rincón . Mota de..... TÓrO-»»rfi soo. 7. Id. . Ventura Galdos....... Mi</t>
  </si>
  <si>
    <t>Estébanez, Antonio</t>
  </si>
  <si>
    <t>Antonio Estébanez</t>
  </si>
  <si>
    <t>22. 16. Id. Antonio Estébanez.............. Domingo,Catalina González. Piquey ros. •. Santiago.</t>
  </si>
  <si>
    <t>Estébez, Francisco</t>
  </si>
  <si>
    <t>Francisco Estébez</t>
  </si>
  <si>
    <t>Muerto. Francisco Estébez............... Josef, Angela Vicenta......... Membibre.... Salvatierra... 87. 17. Id. Cárlos Domínguez.............. Padre incógnito , Catalina</t>
  </si>
  <si>
    <t>Estéhan Delotz, Juan</t>
  </si>
  <si>
    <t>Juan Estéhan Delotz</t>
  </si>
  <si>
    <t>° de Mayo, núms. 404,439, 381,1643 y uno de 300 id., núm. 470,767 : y no habiéndolos récibido dicho D. Juan Estéhan Delotz, quien tuviese noticia de ellos sé la comunicáüi, ó avisaré en Madrid i la casa de los Sres. l&gt;endoat hermanos. El 14 de este mes se perdió en la ciudad de Jaén ua vale Real de 13</t>
  </si>
  <si>
    <t>Estepa, Juan</t>
  </si>
  <si>
    <t>Juan Estepa</t>
  </si>
  <si>
    <t>á Ayudante al primer Teniente D. Luis Quintero, y á segundo Teniente de granaderos al de fusileros D. Juan Estepa: en el de León á Sargento Mayor al Teniente Coronel D. Joseph María de Carbajal, Capitán de granaderos del regimiento de infantería del Príncipe, y á Capitán de fusileros al Ayuda</t>
  </si>
  <si>
    <t>Esterripa, Martín</t>
  </si>
  <si>
    <t>Martín Esterripa</t>
  </si>
  <si>
    <t>ción de su maestro D. Andrés Beiztegui, los seminaristas D. Joseph de Torres, eí Marques de Iranda, D. Martin Esterripa, D. Ramón Carrillo, D. Francisco Barraicua, D. Mariano Zapata, D. Ramón Zuloaga y D. Luis Duran. En sintaxis, baxo la dirección de su maestro Dw Rufino Espada, D. Joachín Fernande</t>
  </si>
  <si>
    <t>n.!). Luis D oran, D. Ramón Zuloaga, D. Francisco Barraícua, I). Ramón Carrillo, D. Mariano Zapata, D. Martin Esterripa, Cadete de R.eales Guardias Walonas, D. Joseph Torres, el Marques de "Iranda, D. .Joseph Catalan, Don Joseph Erquível, D. Toribio Olalde, D. Manuel Carnara y D. Ceferino Carrillo.</t>
  </si>
  <si>
    <t>Estethazi, Príncipe</t>
  </si>
  <si>
    <t>Príncipe Estethazi</t>
  </si>
  <si>
    <t>todas las demostraciones de amor y respeto.de los habitantes* Por la noche se iluminó la ciudad. £1 Príncipe Estethazi ha ido dé Lemberg á Dubno á esperar al Gran Duque Constantino; y desdé allí le acompañará hasta la misma ciudad de -Eembéig&gt; e-n la* quai .se hacen grandes preparativos para obseq</t>
  </si>
  <si>
    <t>Estor, Juan</t>
  </si>
  <si>
    <t>Juan Estor</t>
  </si>
  <si>
    <t>Ayudante al Teniente de granaderos 1). Joseph Fernandez ; á Teniente de granaderos al de fusileros D. Juan Estor; á esta Tenencia al Subteniente de granaderos D. Domingo Ocampo; á este empleo al Subteniente D. Cárlos Lesaea,y a-la Subtenencia de bandera,que resulta , al Cadete D. Luís Crespo</t>
  </si>
  <si>
    <t>Estrada, Manuel</t>
  </si>
  <si>
    <t>Manuel Estrada</t>
  </si>
  <si>
    <t>al primer Teniente D. Salvador Mazeres: en el de Ultonia primera Subtenencia al segundo Subteniente D. Manuel Estrada; y segundas Subtenencias al Sargento primero D. Joseph Periton y ai Cadete D. Manuel Peyrson: en el de Aragón segunda Tenencia al Subteniente de granaderos D. Manuel Vileta: en el</t>
  </si>
  <si>
    <t>Eugenio Alonso</t>
  </si>
  <si>
    <t>Eugenio Alonso... Manuel, María Vázquez. Villaviciosa.., León............. ir. 10. Muerto. Pedro Navarro.... Juan, M</t>
  </si>
  <si>
    <t>Eugenio Antón</t>
  </si>
  <si>
    <t>29. 19. Id. Eugenio Antón........ Juan , Josefa García........... Fromista........ Palencia....... 28. 12. Id. Miguel Merchan... Andrés</t>
  </si>
  <si>
    <t>Eugenio de Aparicio</t>
  </si>
  <si>
    <t>ublico para que los que tuvieren derecho á dichas pertenencias acudan á deducirlo ante dicha junta. Don Eugenio de Aparicio, vecino de esta corte, remitió el dia 8 del corriente á los Sres. D. Narciso Plandolit é hijo, vecinos de Barcelona, los vales Reales siguientes: todos renovados con fecha de i.°</t>
  </si>
  <si>
    <t>Eugenio de Renovales</t>
  </si>
  <si>
    <t>o cuerpo, graduado de Cfóronel, D. Lorenzo Flood. En ¿tención á los buenos y dilatados servicios de D. Eugenio de Renovales , Oficial inayór primero de lá Secretaría de Estado y del Despacho de Hacienda de España » ha tenido el Rey en concederle la plaza de Secretar rio del Consejo de Hacienda, vacante</t>
  </si>
  <si>
    <t>Eugenio Delgado</t>
  </si>
  <si>
    <t>D. Carlos Quiroga, D. Carlos Porta y D. Juan Ugartemendia; á primeros Subtenientes á los. segundos D. Eugenio Delgado, D. Francisco Pa-' mies y D. Juan Manuel de Blas, y á segundos Subtenientes al Cadete Don Dionisio de Piedra y al Sargento primero de granaderos D. Francisco González, como tambié</t>
  </si>
  <si>
    <t>Eugenio Duvermeill</t>
  </si>
  <si>
    <t>rqués del Salar, D. Pedro Miguel Alvarez de Perea, D/Manuel Laguna y Moscoso, él Marques del Risco, D. Eugenio Duvermeill, D. Francisco Ignacio Rafols, D. Francisco Nuñez Robles, D. Francisco Nuñez * Don Gaspar Pascual de Bonanza, D. Juan la Carte, P. Rodrigo Moscoso, Pon Benito San Juan, y D. Juan A</t>
  </si>
  <si>
    <t>Eugenio Fernández</t>
  </si>
  <si>
    <t>ha promovido el Rey á Teniente ai Alférez D. Ramón Sánchez de Casahonda; á Altéreces al Portaguión D. Eugenio Fernandez, y al Soldado</t>
  </si>
  <si>
    <t>Eugenio Sacristán</t>
  </si>
  <si>
    <t>de S. Ildefonso con 36 niños, habiéndole acompañado el Giiujano de las Reales fábricas de cristales D. Eugenio Sacristán, que también practicó por sí solo esta operación en todos los que se le presentáron, y las repitió en otros 86 en el Real sitio de S. Lorenzo, ayudado de D. Gerónimo León, Cirujan</t>
  </si>
  <si>
    <t>Eugenio Sancha</t>
  </si>
  <si>
    <t>17. 29* Muerto. Eugenio Sancha.................. Tomas, Margarita Liras... Tqrrequemada.Palencia........ 7. 23. Id. Pedro González.................... Pedro , María García....... . S</t>
  </si>
  <si>
    <t>Eugenio Tarrio</t>
  </si>
  <si>
    <t>Lugo; y á Subte-' nientes de granaderos los de fusileros D. Francisco Romero, D. Vicente* Vinegra y D. Eugenio Tarrio. El Rey se ha servido conferir el empleo de Comandante Veterano de la primera división de milicias de la Costa del Norte del Reyno de Nueva España al Teniente de granaderos del re</t>
  </si>
  <si>
    <t>Eugenio Ximeno</t>
  </si>
  <si>
    <t>y nombrar Cadete de número al supernumerario D. Antonio Ortega , y Cadete supernumerario al Guardia D, Eugenio Ximeno. El Rey se ha servido promover en el regimiento de Reales Guardias Españolas á Teniente de cazadores al segundo Teniente de fusileros Don Joseph Ramón Caries. En el de Reales Guar</t>
  </si>
  <si>
    <t>Eugenio, Príncipe</t>
  </si>
  <si>
    <t>Príncipe Eugenio</t>
  </si>
  <si>
    <t>o de caballería de Saboya era uno de los ó de esta clase que debían reformarse; pero en memoria del Príncipe Eugenio, que fue su primer Coronel, ha mandado el Emperador que se conserve dicho cuerpo, y en su lugar se reformará el de Hohenzollern. Mediante las actuales reformas la caballería austr</t>
  </si>
  <si>
    <t>Eugeriio</t>
  </si>
  <si>
    <t>Pedro PortilloQ«y ‘"Vela^co^{ DllJoseph’de' Go¿. sio y Hrvicain¡, DilMarjanoc dq Campos yK-Rtoxás^'D. Eugeriio &gt;Cpwés dr Azua ,r'H.' Ignacio Fernandez; dé.4asbPeñhs| D^Frahdáéo,CavaíeH y Poní, ce, Di; Pedro delKCel :Loy¡zágay DiJósephí^idyórfcs^ D*4É»as$ÉaY Iidíran^ Cerda, D. Ramón de Sala</t>
  </si>
  <si>
    <t>Eulogio de Bahamonde</t>
  </si>
  <si>
    <t>Serrano, Tesorero de la provincia de Avila; á D. Ramón Antonio Pico, Tesorero de la de la Mancha; á D. Eulogio de Bahamonde, Oficial mayor de la Tesorería de exército de Andalucía, y á D; Pedro Yoldi, Oficial mayor de la Tesorería de exército de Aragón. A Tenientes Generales los Mariscales de Campo: en</t>
  </si>
  <si>
    <t>Eusebio de Tispar</t>
  </si>
  <si>
    <t>aquín Lobo .de Verseó y Mehdieta, D. Antonio Carvajal y Salamanca $ i). Jbsephi de Mesa y Figueroa, D. Eusebio de Tispar y 'Pedrosa v D^iGaspár Romero y Díaz de Herrera, D. Jacinto de * Aguiiar y Tablada, 0. Joreóh Cortés y Azua, O. Basilio de Gelos y García , D. Juan Montes de Oca y Garcés, 0. Cayeta</t>
  </si>
  <si>
    <t>Eusebio Fernández</t>
  </si>
  <si>
    <t>183. 28. Muerto. - Eusebio Fernandez...... Josef, (Ajaría González....... Villaseca..... Zamora...... 38a. 32. Id.</t>
  </si>
  <si>
    <t>Eusebio Herrera</t>
  </si>
  <si>
    <t>a segundo Teniente de la Compañía Americana del Real cuerpo de Guardias de Corps al Alférez de ella Don Eusebio Herrera , concediendo graduación y antigüedad de segundo Teniente, con sueldo de tal v mando sobre el propietario , al Ayudante de la misma Compañía D. Celedonio Eguizabal ; para el de Al</t>
  </si>
  <si>
    <t>Eusebio Joseph Vejerano</t>
  </si>
  <si>
    <t>yor de la Audiencia de Asturias, vacante por jubilación de D. Miguel de León Santos de San Pedro, á D. Eusebio Joseph Vejerano: para el Corregimiento de letras de la ciudad de Toro á D. Juan Agustín Suinaga : para el de la villa de Mancha Real á D. Miguel Calveton: para el de las quatro villas de la Hoya</t>
  </si>
  <si>
    <t>Eusebio María Urróz</t>
  </si>
  <si>
    <t>las preguntas de los exáminadores. Disertó £&gt;. Francisco Rimont sobre el origen de la agricultura; D. Eusebio María Urróz, de la nobleza y dignidad de esta útil ciencia, y de los bosques; D. Jacinto Munárriz, sobre los medios de preservar los olivos de los efectos del frío excesivo; D. Juan Felipe Ud</t>
  </si>
  <si>
    <t>Eusebio Ribas</t>
  </si>
  <si>
    <t>. 617. 8. Presidio. Eusebio Ribas..................... i Juan, Manuela Castro....... Sarria............... Lugo............... 335. 7. Muerto. Cabo i.® Antonio Rodrí­</t>
  </si>
  <si>
    <t>Eustaquio Diez Montes</t>
  </si>
  <si>
    <t>e Sobradillo , en la diócesis de Ciudad-Rodrigo, vacante por fallecimiento de D. Pablo Melgarejo, a D. Eustaquio Diez Montes. En el regimiento de Reates Guardias Españolas se ha servido promover el Rey á Capitán al primer Teniente y Comandante de cazadores Don Francisco Antonio Tirado; á segundos Tenien</t>
  </si>
  <si>
    <t>Eustaquio Moreno, Joseph</t>
  </si>
  <si>
    <t>Joseph Eustaquio Moreno</t>
  </si>
  <si>
    <t>a: D. Domingo Grandallana, del Consejo de Estado, Secretario de Estado, y del Despacho de Marina; y D. Joseph Eustaquio Moreno, Ga¿&gt; bernador del Consejo Real: el Arzobispo de Zaragoza, Gran Cruz de la de Cárlos iii, Inquisidor general: los Gentileshombres de Cámara del Rey Marques de Valmediano, Conde de</t>
  </si>
  <si>
    <t>xpedida en su virtud en «7 del mismo, se ha conferido comisión en la mas amplia formina al Exc. Sr. D. Joseph Eustaquio Moreno, dél Consejo de Estado, Colector general de espoliós y vacantes del Rey no, y Gobernador del Consejo , para enagenar libremente las rentas, fincas y derechos de los Maestrazgos de</t>
  </si>
  <si>
    <t>Eustaquio Moreno, Joséph</t>
  </si>
  <si>
    <t>Joséph Eustaquio Moreno</t>
  </si>
  <si>
    <t>el Navarro. A conseqiiencia de la comisión conferida por S. M. en la mas amplia forma al Excmo. Sr. D. Joséph Eustaquio Moreno, del Consejo de Estado, Colector general de Espedios y Vacantes del Reyno, y Gobernador del Consejo, para enagenar libremente las rentas, fincas y derechos de los Maestrazgos de l</t>
  </si>
  <si>
    <t>xoniano, ó Compendio metódico de varios conocimientos útilísimos al pueblo , dedicado al Excmo. Sr. D. Joseph Eustaquio Moreno, Gobernador del supremo Consejo de Castilla, caballero Gran Cruz de lá Real y distinguida órden de Cárlos ni &amp;c,: por el Dr. Marques y Espejo, presbítero, acudirán á recoger el 2°</t>
  </si>
  <si>
    <t>Eustasio Saent'de</t>
  </si>
  <si>
    <t>irtud de providencia del mismo Sr. D.&lt; Juan Antonio Santa María', y por la escribanía del número dé D. Eustasio Saent'dé* Arel)tno, están mandadas sacar é pública subasta por 30 dias, contados désde él 44 déésté més, dós'casas y una huerta con agua de pie para el regadío y obras dé cañería propia dé</t>
  </si>
  <si>
    <t>Eutiquiano Martínez</t>
  </si>
  <si>
    <t>culación de la vacuna en utilidad del género humano, ofrece al público las observaciones siguientes D. Eutiquiano Martínez, Cirujano de esta ciudad. Habiendo pedido el fluido vacuno 4 D. Antonio Ballano, profesor de medicina y cirujía ehMadrid, se le remitió este por el correo el 21 de Diciembre del a</t>
  </si>
  <si>
    <t>Evan Mepean</t>
  </si>
  <si>
    <t>cho por buqués de guerra juntos en esquadra. El 10 del corriente tuvo aúdiencm de S, M. en Weymouth Mr. Evan Mepean» Secretario del Almirantazgo r recíen creado Baronet. Igual dignidad ha conferido, el Rey i Mfs.Arcbibaldo Díckson, Almirante de * la esquadra azul ,y al TeoienteCoronelEduardc) B</t>
  </si>
  <si>
    <t>Evaristo Rubian</t>
  </si>
  <si>
    <t>aldo de Vienta. Segundos premios. Medallas de tres onzas de plata á D. Antonio Poza y: Muñoz ,. y á D. Evaristo Rubian: escultura, á D. Juan Bautista: arquitectura á D. Miguel Antonio Maríchalar. Grabado de estampas.^ Medallade úna onza de oro á D. Manuel Alvaréz Mon. Perspectiva. Medalla deunaidi</t>
  </si>
  <si>
    <t>Ezpeleta, Francisco</t>
  </si>
  <si>
    <t>Francisco Ezpeleta</t>
  </si>
  <si>
    <t>, D. Miguel Taboada, D. Pedro Espinosa, D. Ramón Varela ¿ D. Melchor Magrat, Don Antonio Laprieta, D. Francisco Ezpeleta, D. Juan Albérni, D. Joaquín Puertolas, D, Vicente Pinzón, D. Félix Muñoz, D. Gines Albadalejos . D. Juan Pelayo Sánchez', D. Joseph María Crespo , D. Bartolomé Reselló, D. Miguel</t>
  </si>
  <si>
    <t>Fabian Lorente</t>
  </si>
  <si>
    <t>de la división de los oficios, y de los progresos de las ciencias. Tuviérón también su.s exercicios D. Fabian Lorente, de tercer año, D. Escolástico Laviila, D. Joseph Ramón de Arnica y el Dr. D. Joaquín Oiiés de Regales y y unos y otros respondiérón á quanto lés preguhtárónlos exámínadóresy con</t>
  </si>
  <si>
    <t>Fabian y Fuero, Francisco</t>
  </si>
  <si>
    <t>Francisco Fabian y Fuero</t>
  </si>
  <si>
    <t>odo el Clero secular y regular, en sufragio del alma de su difunto prelado el Exc. limo, y Rmo. Sr. D. Francisco Fabian y Fuero , el dia 13 de Octubre de 1801 : predicado por su Canónigo penitenciario el Dr. D. Felipe Mirabas. Se hallará en la librería de Llera, plazuela del Angel, en Zaragoza en la de Y a</t>
  </si>
  <si>
    <t>Fabregues, Pedro</t>
  </si>
  <si>
    <t>Pedro Fabregues</t>
  </si>
  <si>
    <t>l, D. Cárlos Villemont, D. Tomas Portel), D. Nicolás Iberri, D. Manuel Benisia, D. Manuel Cevallos, D. Pedro Fabregues, D. Agustín Ramírez, D. Joseph María Abate , D. Diego García Conde, D* Francisco Frías,-D. Manuel Pastor, D. Pedro Quevedo, Don Juan de Villanueva, D. Domingo.de Aragón , D. André</t>
  </si>
  <si>
    <t>Fahrlander</t>
  </si>
  <si>
    <t>rque en tal caso quedaría por todas partes rodeado de estados prusianos. Friburgo 5 de Febrero. E 1 Dr. Fahrlander llegó el 6 de Enero á Laufenburgo en calidad de Agente del ciud. francés Verninac y del gobierno helvético: se presentó ai Magistrado, y le notificó que llevaba de parte de la Fra</t>
  </si>
  <si>
    <t>sario ordenador francés, como apoderado del General Montrichardy la presidió el ciud. Fahrlander , como Prefecto interino. En ella se declaró la unión del frickthal con la Helvecia para formar un solo cantón; y se leyó a los diputados la nueva constitución</t>
  </si>
  <si>
    <t>Falces y Agramont, Francisco</t>
  </si>
  <si>
    <t>Francisco Falces y Agramont</t>
  </si>
  <si>
    <t>nte por promoción de D. Manuel Milagro y Santas á la Dignidad de Arcipreste de la propia iglesia, á D. Francisco Falces y Agramont: para la Canongía de la catedral de Tuy, vacante por fallecimiento de D. Ramón de Rivadeneyra, á D. Ramón Diaz de ia Peña: para la Canongía de la colegial de Lorca, en la diócesis</t>
  </si>
  <si>
    <t>Falck, Joseph</t>
  </si>
  <si>
    <t>Joseph Falck</t>
  </si>
  <si>
    <t>s, plazas y fronteras á D. Juan Bouligni, Ingeniero ordinario; y para este empleo al extraordinario D. Joseph Falck. El Rey se ha servido nombrar para la plaza del Consejo de las Orde</t>
  </si>
  <si>
    <t>Farias, Francisco</t>
  </si>
  <si>
    <t>Francisco Farias</t>
  </si>
  <si>
    <t>eros D. Ignacio del Corral y D. Miguel de la V ega; á Subtenientes de granaderos á los de fusileros D. Francisco Farias *y D. Miguel Piñeyro, y á Subteniente de bandera al Cadete D. Miguel del Corral: en el de infantería de la Corona de Nueva-España á Subteniente de bandera al Cadete D. Saturnino S</t>
  </si>
  <si>
    <t>Farrel</t>
  </si>
  <si>
    <t>spital de apestados de Alejandría,} pues todos los que han ido á servir en ¿1. han muerto de peste. Mr. Farrel, cirujano jóven* recibió 100 esterlinas del cirujano de las tropas de la lndia para que/sirviese en «u lugar en el hpspital: apénas entro, padeció la epidemia y murió. Éntre los d</t>
  </si>
  <si>
    <t>Fausto Antonio Apellaniz</t>
  </si>
  <si>
    <t>Ración que se halla vacante en lá catedral dé’StSá Domingo de la Calzada^ obispado de Calahorra, á D. Fausto Antonio Apellaniz. En la gazeta última se omitid que D. Antonio Vila y Camps es Obispo de Menorca &gt; para cuya resulta está nombrado D. Pedro Antonio Juano. -Se halla vacante él partido de Médica de</t>
  </si>
  <si>
    <t>Fausto Caballero</t>
  </si>
  <si>
    <t>Ignacio Ruiz. En el Real cuerpo de Ingenieros del exército ha promovido S. M. á Director al en xefe D. Fausto Caballero; y á ordinarios á los extraordinarios D. Joseph Joachin.de Pineda, D. Alberto de Córdoba, D. Francisco Martí y D. Joseph Santa Cruz. En América. El Rey se ha servido nombrar para</t>
  </si>
  <si>
    <t>Fausto González</t>
  </si>
  <si>
    <t>....... 41. 10. Id. Fausto González............... . Gabriel, Antonia Sánchez.. Sta. María de Vide...........Salvatierra... 107..31. Id. Sim</t>
  </si>
  <si>
    <t>Fausto González Víüamil</t>
  </si>
  <si>
    <t>Á, í v ara do y Quintana , D. Joaquín Iguazo y Ribera , D. Joseph Corbera y FallaVQ, Juan de OJano ,Don Fausto González Víüamil, D. Francisco-Zapara y:Pa/ra, í&gt;. Joseph Ahtran de la Torre , D. Marcelo Federici, D. Roque GWrqceta , D. Pedro ¿Je PqrfíSr y Escribano, D. Domingo Navarro y Torres , D. Juan Mich</t>
  </si>
  <si>
    <t>Fauvel</t>
  </si>
  <si>
    <t>por esto lleva á bordo muchos empleados de la expedición. Ha llegado á Paris el ciud. Fauvel, pintor, que hallándose en Aténas (en donde permaneció muchos años dibuxando y copiando los monumentos de Grecia, y haciendo descubrimientos) quedó prisionero,</t>
  </si>
  <si>
    <t>Fdlix Obersteg</t>
  </si>
  <si>
    <t>Amonio Ignacjo Bauman y D. Nicolás Tywaz : á Teniente en el de ^anm¿alf-Sqbt$ni*9te de--granaderos Don Fdlix Obersteg ; y ha nombrado Capellán del segundo batallón, del expresado de* Reding* al presbítero P. Gaspar Stulz. . . r _ ‘ En América* El Rey se ha servido nombrar, para la Canongia Penite</t>
  </si>
  <si>
    <t>Febrero, Domingo</t>
  </si>
  <si>
    <t>Domingo Febrero</t>
  </si>
  <si>
    <t>Id. Domingo Febrero.......... Simón, Sabina Quintanilla. Palacios........León................... 422. 24. Id. Bernardo Pardo............... Juan ..Manuela Sta. María..El Ciego.</t>
  </si>
  <si>
    <t>Febrero, Joseph</t>
  </si>
  <si>
    <t>Joseph Febrero</t>
  </si>
  <si>
    <t>rente á las gradas de S. Felipe. Febrero reformado y anotado, ó Librería de Escribanos, que compuso D. Joseph Febrero, y ha reformado en su lenguage , estilo, método y muchas doctrinas el Lie. D. Joseph Marcos Gutiérrez, ilustrándola y enriqueciéndola con varias notas y adicionas, para que se han</t>
  </si>
  <si>
    <t>4, Vd^árimptiniir con Real licencia un apéndice que ha escrito á la obra de los ciricó ÍMÍéiJÓs dé**D. Joseph Febrero, y de Su reformador el Lie. Gutiérrez r y pabS qué-ldr qué' quiéran 'toldar dichb apéndice' lo puedan conseguir sin esperar'á se^Hdaimprésfoéyábresub^K|&gt;cion á él por dos meses, á</t>
  </si>
  <si>
    <t>1256 * . que compuso D. Joseph Febrero, y ha reformado en su lengúige,' estilo, método y muchas doctrinas, ilustrándola con notas y adiciones, para que se lian tenido presentes la*.Reales órdenes modernas, el Lie. D. J</t>
  </si>
  <si>
    <t>Federico</t>
  </si>
  <si>
    <t>os Tenientes de granaderos á los de fusileros D. Luis de Lauzieres, graduado de Teniente Coronel, y D. Federico, Caballero de Lamberts, y á Alféreces de fusileros á los Cadetes D. Gerónimo de las Llamas y Mena y D. Antonio Saleta. En el regimiento de infantería del Príncipe se ha servido pr</t>
  </si>
  <si>
    <t>Federico Adolfo de Ostrogocia, Duque</t>
  </si>
  <si>
    <t>Duque Federico Adolfo de Ostrogocia</t>
  </si>
  <si>
    <t>el primer Cónsul. Concurrió á esta revista el cuerpo de caballería de los voluntarios leoneses. El Duque Federico Adolfo de Ostrogocia, tio segundo del Rey de Suecia, que por estar enfermo va á Montpeller , se halla de paso en esta ciudad. El ciud. Didelot, Prefecto de palacio, fué ayer mañana á visitarle en nomb</t>
  </si>
  <si>
    <t>Federico Baumgarten</t>
  </si>
  <si>
    <t>ñalado el primer Cónsul por vía de recompensa nacional una trompeta de honor al ciud. Federico Baumgarten, trompeta mayor del regimiento núm. 22 de cazadores á caballo, el qual acometió solo en Egipto á 3 osmanlíes que iban á matar á un granadero: mató á los 3 , y</t>
  </si>
  <si>
    <t>Federico Ernesto Caballero de Lamberts</t>
  </si>
  <si>
    <t>Guardias Walonas se ha servido promover ei Rey á primer Teniente aí segundo Teniente de granaderos D. Federico Ernesto Caballero de Lamberts; y ¿ Alféreces de granaderos á los de fusileros D. Luis Marques de Foucauld y D, Agustín de Zagarriga. En el regimiento de infantería Suizo de Rutiman se ha, servido S. M. promove</t>
  </si>
  <si>
    <t>Federico Luis de Darmstadt, Príncipe</t>
  </si>
  <si>
    <t>Príncipe Federico Luis de Darmstadt</t>
  </si>
  <si>
    <t>nta por las posesiones qué cultivan, y quedan exentos de pagar diezmos durante 20 años. S. A, S. el Príncipe Federico Luis de Darmstadt f hermano del Landgrave de Hesse., murió en Darmstadt él dia 12 á los 42 años de edad. Era también hermano de la Reyna madre de Prusia, de la Princesa heredera viuda de Badén, de</t>
  </si>
  <si>
    <t>Federico North</t>
  </si>
  <si>
    <t>. La.cosecha de especias ha sido abundantísima el año último en la isla de Ceylarr, cuyo Gobernador Mr. Federico North regaló al director .de los plantíos una medalla de, oró con caderiá del mismo metal, y repartió entre los subalternéis varios vestidos y gorros de terciopelo. Ha dado orden para q</t>
  </si>
  <si>
    <t>Federico, Príncipe</t>
  </si>
  <si>
    <t>Príncipe Federico</t>
  </si>
  <si>
    <t>y la Duquesa dé Augustenburgo saldrán igualmente para restituirse á 6u residencia; y mañana sale el Príncipe Federico con toda su familia para la quinta llamada de Sans-Souci. Los exercicios militares empezarán el dia 29. Ya están señalados lós quarteles en que han de alojarse las tropas que se e</t>
  </si>
  <si>
    <t>asistió á la revista de algunos regimientos, y fue después á comer ¿ la quinta de Sans-Soucí con el Príncipe Federico. Mientras permaneció en esta capital se vistió la corte de medio luto. Los Erribaxadores de Rusia y Suecia la acompañaban siempre, y fueron convidados á palacio quantas veces lo f</t>
  </si>
  <si>
    <t>ron el título de individuo honorario, como también al Príncipe Christiano Federico, hijo mayor del. Príncipe Federico , hermano del ■Rey.-': .. .V:;: R Hamburgo 28 Je Junio. ¿I Emperador de Rusia salió de Merpehel dia ,16 por la.mañana, y una hora después salió ron igualmente SS. Á4lyj[. Prusiana</t>
  </si>
  <si>
    <t>Fedro Arráez</t>
  </si>
  <si>
    <t>pañía de Fusileros. Fedro Arráez.....................Lorenzo,EngraciaZubieta. Villa Real... Vitoria............ 340. 18. Licenciado* Melchor Rodríguez........... Antonio, Antonia Soto......... Palencia..........Pa</t>
  </si>
  <si>
    <t>Féiix Eguia</t>
  </si>
  <si>
    <t>misa de Pentecostés ó venida del Espíritu Santo y su octava, según el breviario y misal romano} por D. Féiix Eguia, presbítero : un tomo en 8.°, á 8 rs. en pergamino y 10 en pasta. Se hallará en la librería de Baylo, calle de las Carretas. Dichos, recuerdos y documentos morales y espirituales</t>
  </si>
  <si>
    <t>Feixoo, Antonio</t>
  </si>
  <si>
    <t>Antonio Feixoo</t>
  </si>
  <si>
    <t>4. 6. Id. Antonio Feixoo,....... Domingo, Pascuala Aleas.. Villa dePuente*••»*•••■ Orense. 253. 14. FixodeCeU' Marcos Sánchez. Manuel,</t>
  </si>
  <si>
    <t>FeKpé Antonio de Ajtieda</t>
  </si>
  <si>
    <t>rvido nombrar para la Dignidad de Arcediano de la catedral de la Paz , vacante por fallecimiento de D. FeKpé Antonio de Ajtieda , á D. Guillermo de Zarate, Canónigo Doctoral de la misma: para la Chantría de la propia, vacante por muerte de D. Nicolás Muñoz y Borjas, al Magistral D. Manuel. Ignacio de Uria</t>
  </si>
  <si>
    <t>Felipe Joseph Bautista</t>
  </si>
  <si>
    <t>ana y rentas de Portobelo á D. Miguel Hinojaljy para la de Escribiente de lacaxa Real de Pamplona á D. Felipe Joseph Bautista. En el dia i. de Abril próximo empezará el curso de botánica, y demostrará las plantas en el Real jardin de esta c &gt;rte su profesor D. Antonio Joseph Cavanilles á las de la tarde,</t>
  </si>
  <si>
    <t>Felipe-Martínez de Viérgoí</t>
  </si>
  <si>
    <t>a; á D. Ignacio Alvarez de la Cruz, Director, de labores de l a Factoría de tabacos de la Havana; á D. Felipe-Martínez de Viérgoí. , j. y Honores de la Juritá de Contercio . A D. Melchor Ximenez, Superintendente de la Casa de Moneda de Se-v</t>
  </si>
  <si>
    <t>Feliu, Juan</t>
  </si>
  <si>
    <t>Juan Feliu</t>
  </si>
  <si>
    <t>varro , D. Bernardo Luque, D. Rafael Pezzino, D. Luis Ranea ño, Don Juan Meric, D. Antonio Bocarro, D. Juan Feliu, D. Juan Desnaux, Don Manuel Vigil de Quiñones, D. Joseph Ponce de León, D. Francisco Soler, el Conde de Maceda, D. Joseph Bermudez de Castro, D. Roque Antía, D. Antonio Darcourt,</t>
  </si>
  <si>
    <t>Femando Becerra</t>
  </si>
  <si>
    <t>y Villaroel, D. Juan Septien y Salinas , D. Domingo^ Pavía y Seix, D. Bartolomé Arguelles y Valdes, D. Femando Becerra .y Solis, D. Rafael Bobadilla y Pery, D. Joseph Mendivil y Castañeda, Don Antonio Saavedra y Jofre, D. Vicente Valcarcel y Qconri, D. Joseph Primo de Rivera, D. Salvador Ortuño-y</t>
  </si>
  <si>
    <t>Femando Dominicis</t>
  </si>
  <si>
    <t>D. Alvaro de la Sema, D. Garlos Rato y Ramírez, D. Ramón Enlate y Tovias, D. Martin Manuel Mathéo, D. Femando Dominicis , y D. Juan de Cárdenas y Cárdenas. A Alféreces de Navio los de Fragata D. Diego Venegas y Aguilar, D. Manuel Murga, *p. Ventura Gutiérrez de Bustillo, D.: Joseph Roso y González,</t>
  </si>
  <si>
    <t>Feo de Armas</t>
  </si>
  <si>
    <t>Poggio y Alfaro, D. Juan de las Nieves Ravelo, segundos Ayudantes, y D. josaph Feo de Armas, Teniente de milicias de Artillería en aquellas islas. S. M. ha nombrado para el empleo de Ayudante de Guarda Almacén ordinario de Artillería de la plaza de Ceuta á D. Antonio Palacios, Sob</t>
  </si>
  <si>
    <t>Ferandierp, Fernando</t>
  </si>
  <si>
    <t>Fernando Ferandierp</t>
  </si>
  <si>
    <t>entre maestro y discípulo sobre ia parte n«|i sublime de la música,.que es la composición: su autor D. Fernando Ferandierp. Se hallará en la librería de Barco, carrera de S. Gerónimo, á ai rs. EN LA IMPRENTA REAL. \ - ■ w '*</t>
  </si>
  <si>
    <t>Fermín</t>
  </si>
  <si>
    <t>lación de la viruela natural, empezando por los 4 hijos primeros que á la sazón tenia, y fué uno él D. Fermín, ae cuyas resultas el cirujano de dicho pueblo D. Juan Fernandez Carral inoculó en él y sus circunferencias mas de 700 en varios tiempos, sin desgracia de alguno de ellos; ha enta</t>
  </si>
  <si>
    <t>Fermín Carasa</t>
  </si>
  <si>
    <t>eales Guardias Españolas se ha servido promover el Rey á Comandante de cazadores al primeT Teniente-D. Fermín Carasa,; y á Alférez de cazadores ai de fusileros.D. Andrés Burriel. Y en el de Reales Guardias Waionas á primer Teniente al segundo Teniente de granaderos , graduado de Teniente Coronel</t>
  </si>
  <si>
    <t>Fermín Cia</t>
  </si>
  <si>
    <t>taxis , baxo la dirección de su maestro D. 'Rufino Espada, D. Francisco Necochea, D. Pedro Goosens, D. Fermín Cia, D. Joseph Gaytan de Avala, D. Agustín Duran y D. Alonso Alvarado. En humanidades y retórica, baxo la dirección de D. Pedro Fuertes, D. Iñigo Ortes de Velasco, D. Joseph Alaría Or</t>
  </si>
  <si>
    <t>Fermín Cortes</t>
  </si>
  <si>
    <t>ueblos distantes, que admiraron los progresos de los niños, á quienes dio gracias por su asistencia D. Fermín Cortes, que fue premiado con un exemplar de fábulas de Samaniego por el expresado Párroco, el qual incansable en proporcionar los adelantamientos de la educación , premió al citado Bened</t>
  </si>
  <si>
    <t>Fermín de Indart, Pedro</t>
  </si>
  <si>
    <t>Pedro Fermín de Indart</t>
  </si>
  <si>
    <t>el Rey en concederle la plaza de Secretar rio del Consejo de Hacienda, vacante por fallecimiento de D. Pedro Fermín de Indart: para la de Oficial mayor primero ha nombrado al segundo D. Manuel del Burgo, dando los ascensos correspondientes á los demas. Oficiales que le siguen, y para la resulta que queda</t>
  </si>
  <si>
    <t>Fermín de Laviano, Martín</t>
  </si>
  <si>
    <t>Martín Fermín de Laviano</t>
  </si>
  <si>
    <t>con la política: traducidos del griego de Nicocles con notas por el Abate Mably, y del francés por D. Martin Fermín de Laviano, presbítero, doctor en sagrada Teología. Trata de la situación de Atenas y de la Grecia quando Focion instruyó á Aristias: de la política, sus principios y fines: de las costumbre</t>
  </si>
  <si>
    <t>Fermín de Meiidinueta, Pedro</t>
  </si>
  <si>
    <t>Pedro Fermín de Meiidinueta</t>
  </si>
  <si>
    <t>ayetano Marimon * D. Jbseph Barón de Mer , D. Alexáñdro Conde de.Coupigni, D. Pedro Antonio TE^éjo, Don Pedro Fermín de Meiidinueta, el Marques Dpuchét, P. Ramón Fernández Idarga , D. JuaW Bássecourt, D. Jaán Joseph de San Juan; I). ToriSid Montes, D. Gerónimo Peinado, el Conde de la Torre del Freino, *DY Casi</t>
  </si>
  <si>
    <t>Fermín de Oteyza y Larrayoz, Juan</t>
  </si>
  <si>
    <t>Juan Fermín de Oteyza y Larrayoz</t>
  </si>
  <si>
    <t>M. : para el Arcedianato de Valdeaybar,. Dignidad de la catedral dé Pamplona, vacante por muerte.de D. Juan Fermín de Oteyza y Larrayoz, á D. Joseph Antonio de Irigoyen , Rector del. colegió de S. Juan Bautista de aquella ciudad: para una Ración de Coro y Altar de la catedral de Ibiza , vacante por fallecimiento d</t>
  </si>
  <si>
    <t>Fermín Graciano</t>
  </si>
  <si>
    <t>474- 21. Id. Fermín Graciano................ Josef, Petronila Marcos... Galapagar ... Madrid......... 6. 2 2. Id. AgustinFoz....................... Francisco , Ana Perez....... Fornoles</t>
  </si>
  <si>
    <t>Fermín Nehot</t>
  </si>
  <si>
    <t>Juan Antonio Santa Alaría; y para una plaza supernumeraria del Crimen de la Audiencia de Valencia á D. Fermín Nehot. íil Rey se ha servido expedir al Consejo y Cámara de Indias el decreto del tenor siguiente: ,,A conseqiiencia de lo que tengo resuelto en Real decreto de 4 del</t>
  </si>
  <si>
    <t>Fermín Roméo</t>
  </si>
  <si>
    <t>imo Marco , D. Francisco Marcó del Pont, D. Juan Martí Mofa, D. Alonso Morales, D. Nicolás de Mora, D. Fermín Roméo, D. Francisco Merino, D. Manuel María Pus* terla, D. Francisco Ayóla, D. Juan Tarrius, D. Manuel de Miedes, Don Francisco Dionisio Vives, D. Joseph Canellas, D. Joseph García Oroz</t>
  </si>
  <si>
    <t>FerminiRuiz Usd</t>
  </si>
  <si>
    <t>ínez Margula y D-Miínuel González Veggv D. EdiKftdo l^sqiWfay Ariasv^I^ BewtQ Éíii!deláT !E¿calerá¿ D. FerminiRuiz Usd&amp;lerap^D. Airiénto Gale¿i yrTAótagilai, &lt;3¡&gt;y- Pedro FernandexNavarretr, IX^Jaféph'de^Mátiénzo AJg£rté*\l&gt;^F¿íaÉncisco Aldao y Aragón f D. Joseph Losada RíV era /Ó.’Domíngolde^M^ti</t>
  </si>
  <si>
    <t>FernaBdorValcárcel y Vargas</t>
  </si>
  <si>
    <t>D, Ramón Topete^Di Ju|# Morales ^DaTlt}t?Mires.fa[, Di Ju^nri4ntt% nlo Salinas, D. Salvador Chacoñ, D, FernaBdorValcárcel y Vargas , Doii Eelipe Villaviccricio, &gt;D. Félix Azara, D-: Juan ^Herrera: Dávilai, JÓ- Juan Suarez, D. Antonio Cañedo , D.Joseph Aramburu,D. Isidoro García del -Postigñ, D, Antonio García</t>
  </si>
  <si>
    <t>Fernaiidez, Gaspar</t>
  </si>
  <si>
    <t>Gaspar Fernaiidez</t>
  </si>
  <si>
    <t>ndo Ayudante al segundo Teniente D. Miguel Manzano; á segundo Teniente al Subteniente de granaderos D. Gaspar Fernaiidez; á esta resulta al Subteniente D. Francisco Dugi, y á Subteniente, al Cadete D. Domingo de Tolosa. En cumplimiento de lo mandado por S. M. en Real Pragmática Sanción de 30 de Agos</t>
  </si>
  <si>
    <t>Fernández Camina, Agustín</t>
  </si>
  <si>
    <t>Agustín Fernández Camina</t>
  </si>
  <si>
    <t>io Fonds, Furriel mayor deí Real Cuerpo de Guardias dé Corpsj ál Contador del exército de Andalucía D. Agustín Fernandez Camina; al Tesorero del exército de Extremadura D. Francisco, Alvarez Caballero} al Contador principal de la provincia de León D. Manuel Rubín de Célis, y al Comisario honorario de Guerr</t>
  </si>
  <si>
    <t>Fernández Campo, Domingo</t>
  </si>
  <si>
    <t>Domingo Fernández Campo</t>
  </si>
  <si>
    <t>cinco dé las plazas que se hallan vacantes en el Consejo Reai á los Sres. D. Joseph Navarro Vida!, D. Domingo Fernandez Campo manes, D, Andrés Lasauca, D. Bartolomé de Ra</t>
  </si>
  <si>
    <t>Fernández Carral, Juan</t>
  </si>
  <si>
    <t>Juan Fernández Carral</t>
  </si>
  <si>
    <t>rimeros que á la sazón tenia, y fué uno él D. Fermín, ae cuyas resultas el cirujano de dicho pueblo D. Juan Fernandez Carral inoculó en él y sus circunferencias mas de 700 en varios tiempos, sin desgracia de alguno de ellos; ha entablado la de la vacuna oón él mismo facultativo, habiéndose logrado el ef</t>
  </si>
  <si>
    <t>Fernández Chicarrón, Joaquín</t>
  </si>
  <si>
    <t>Joaquín Fernández Chicarrón</t>
  </si>
  <si>
    <t>ttmon , D. Manuel Primo de Ribera , D. Joseph de Santiago; y.García, D. Manuel de Clemente y&gt; Miro, D. Joaquín Fernandez Chicarrón . Bernardo Metvendano, Don:</t>
  </si>
  <si>
    <t>Fernández Cueto, Domingo</t>
  </si>
  <si>
    <t>Domingo Fernández Cueto</t>
  </si>
  <si>
    <t>nte falleció de edad de 53 años, en la ciudad de Cádiz, el Mariscal deCampo de los Reales exércitos D. Domingo Fernandez Cueto, Gobernador interino de dicha plaza., cuya muerte tué muy sensible á todos , no méño.s, por; su jyytijiicación que por . su zelo y desinter.es en los graves eoc.argps de aquel emp</t>
  </si>
  <si>
    <t>Fernández de Aguirre y Bengoa, Juan</t>
  </si>
  <si>
    <t>Juan Fernández de Aguirre y Bengoa</t>
  </si>
  <si>
    <t>Alcalde de la Quadra de la Audiencia de Sevilla/vacante por separación del Marques de la Calzada, á D. Juan Fernandez de Aguirre y Bengoa. ■./ En la gazeta. núm. 39 del viernes 14 de Mayo de este año se anunció a í público iá inundación causada por el rompimiento del pantano de Puentes; uno de los de Torca , y los e</t>
  </si>
  <si>
    <t>lterno del de -í:: - Cádiz. ■ - - ■' En la gazeta última, capítulo de Madrid, pág. 701 ¿ donde dice D. Juan Fernandez de Aguirre y Bengoa, debió decir D. Juan Fernando de Aguirre y Bengoa, . 1 ( "i i ü/.11" I1 ■*■■■ mt ;....... — . ......... 1 11 . ......... . ■■ • Anales de ciencias naturales, mím. 14, contiene: di</t>
  </si>
  <si>
    <t>Fernández de Castro, Joaquín</t>
  </si>
  <si>
    <t>Joaquín Fernández de Castro</t>
  </si>
  <si>
    <t>de la Inclusa. &gt; El a5 de Febrero último se remitiéron desde Santander á Comillas, con dirección á D. Joaquín Fernandez de Castro, dos vales Reales de 150 pesos, creación dé i.° de Enero; nums. 229,858 y 229,903, endosados á favor dél mismo; y habiéndose extraviado, quien tenga noticia de ellos los entregará</t>
  </si>
  <si>
    <t>Fernández de Fuenmaybr, Gerónimo</t>
  </si>
  <si>
    <t>Gerónimo Fernández de Fuenmaybr</t>
  </si>
  <si>
    <t>,D. Manuel Villavicencio y Garcés, D. Francisco de Hoyos y Laraviedra, D. Mariano Martínez y Vega, D. Gerónimo Fernandez dé Fuenmaybr, D. Alezo Ponce de León y Molejón , ,D. "Guillermo Auvarede: y Perez, D. Diego del Castillo y Castro, D. Sebastian Rodríguez de: Arias y la; Puente, D. Juan Barrera y Amiot, D. Ra</t>
  </si>
  <si>
    <t>Fernández de la Peña y San Miguel, Francisco</t>
  </si>
  <si>
    <t>Francisco Fernández de la Peña y San Miguel</t>
  </si>
  <si>
    <t>rez Portocarrero, que lo es general en-Salamanca ;á £&gt;. Lúeas Jaques, que lo es de Valia-, dolid; á D. Francisco Fernandez de la Peña y San Miguel, que lo es-&lt;3$ Jaén; á D. Joseph de Motar que lo e s de Segovia; á IX,Rafael Fernandez Ceyallos, Tesorero!honorario de exército y,de todas Rentas de'la provincia de Segovia ; á ;D</t>
  </si>
  <si>
    <t>Fernández de Larrea, Juan Antonio</t>
  </si>
  <si>
    <t>Juan Antonio Fernández de Larrea</t>
  </si>
  <si>
    <t>Rey se ha servido nombrar para el Deanato de la metropolitana de Zaragoza, vacante por promoción de D. Juan Antonio Fernandez de Larrea al Obispado de Valladolid, á D. A lexandroIzquierdo: para la Canongía de la metropolitana dé Sevilla, vacante por fallecimiento de D. Francisco de Hevia* y Ay ala, á D. Joseph Sol</t>
  </si>
  <si>
    <t>Fernández de las Peñas, Joseph</t>
  </si>
  <si>
    <t>Joseph Fernández de las Peñas</t>
  </si>
  <si>
    <t>regorio de la Sota Ruiz, D. Manuel Olmedilla, D. Francisco Zalváburu , D. Joseph de Lama y Montes , D. Joseph Fernandez de las Peñas 9 D. Joseph García de Quesada, D. Vicente Rodrigo y Ros, D. Luis de la Gándara, D. Juan de la Cagiga, D.. Joseph de la Cagiga, T), Vicente de Lama y Montes, D. Francisco Herrera y</t>
  </si>
  <si>
    <t>Fernández de Medrano, Joachín</t>
  </si>
  <si>
    <t>Joachín Fernández de Medrano</t>
  </si>
  <si>
    <t>a, D. Ramón Zuloaga y D. Luis Duran. En sintaxis, baxo la dirección de su maestro Dw Rufino Espada, D. Joachín Fernandez de Medrano, D. Francisco Necocheay D. Agustín Duran, D. Pedro Goossens, D. Joseph Cia y D. Joseph Gaitan de Avala. En las humanidades y retórica, baxo la dirección de su profesor D. Pedro Fu</t>
  </si>
  <si>
    <t>Fernández de Medrano, Joaquín</t>
  </si>
  <si>
    <t>Joaquín Fernández de Medrano</t>
  </si>
  <si>
    <t>o Trespaiacios, D. Leopoldo Menend.ez, D. Joaquin del Rio, el Marques de Iranda , Don Blas de Lezo, D. Joaquin Fernández de Medrano, D. Juan Bautista Cerain, D. Valentín Martinez, D. Luis Berganzi y D. Antonio Abaxos. Del tratado de esfera y atlas geográfico elemental de Vázquez D. Manuel de Lardizabal , D. Ma</t>
  </si>
  <si>
    <t>Fernández de Molina, Joseph</t>
  </si>
  <si>
    <t>Joseph Fernández de Molina</t>
  </si>
  <si>
    <t>partido de Ometepeque á D. Juan de Dios González Roxo: para Administrador del partido de Chilapa á Don Joseph Fernandez de Molina; y para Administrador de Rentas-Unidas de la Colonia del Nuevo Santander á D. Ramón Martínez de Pinillos. El Consejo, á consulta de la Comisión gubernativa de consolidación de Val</t>
  </si>
  <si>
    <t>Fernández de Moros, Juan Mateo</t>
  </si>
  <si>
    <t>Juan Mateo Fernández de Moros</t>
  </si>
  <si>
    <t>D. Juan Prat y Colomer: para la Alcaldía mayor de Castellón de la Plana, en el Reyno de Valencia, á D. Juan Mateo Fernandez de Moros; y para la de Puigcerdá, en Cataluña, á D. Tadeo Rico. Respecto de no haber producido las utilidades que creyó la villa de -Baylen, en Andalucía, le rendiría el privilegio de una</t>
  </si>
  <si>
    <t>Fernández de Ucedá, Joseph</t>
  </si>
  <si>
    <t>Joseph Fernández de Ucedá</t>
  </si>
  <si>
    <t>^ fanegas, tasado en 238,008 rs. Quien quisiere hacer postura acuda á la escribanía de provincia de D, Joseph Fernandez de Ucedá. A la casa sita en la calle de Hortaleza, que hace esquina £ la de la Florida y vuelve á la de S. Mateo,núm. 1, manz, 331, que su sitio comprehende 9833 pies quadrados superficial</t>
  </si>
  <si>
    <t>Fernández de Uceda, Joseph</t>
  </si>
  <si>
    <t>Joseph Fernández de Uceda</t>
  </si>
  <si>
    <t>Sr. Alcalde de corte D. Domingo Antonio de Miranda , y por la escribanía de provincia de D. Joseph Fernandez de Uceda. Para el remate de una casa sita en esta corte y calle de Luzon, núm. 16, manz. 417, tasada en 229,5x7 r$.,está señalado el dia 16 del corriente entre doce y una de su mañana en l</t>
  </si>
  <si>
    <t>$ fanegas, tasado en 238,508 rs. Quien quisiere hacer postura acuda á la escribanía dq provincia de D. Joseph Fernandez de Uceda. Para él remate de una casa sita en esta corte y calle de Toledo , num. 9, níánz; 99, propia de la memoria que fundó Doña María Martínez, y comprehende" fÓ4«;£ píes de sitio, tasa</t>
  </si>
  <si>
    <t>Fernández del Valle, Juan</t>
  </si>
  <si>
    <t>Juan Fernández del Valle</t>
  </si>
  <si>
    <t>va al mérito y utilidad que de ella resulte.,Es obra única eq su clase: y las dos ?on originales de D. Juan Fernandez del Valle, ex-primer ayudante dé anatomía, y actual cirujano de número de los Reales hospitales General y Pasión de Madrid. La'i.a es un tomo en 8.°, y la Cirugía 3. Sé hallarán en la libre</t>
  </si>
  <si>
    <t>Fernández Guerra, Luis</t>
  </si>
  <si>
    <t>Luis Fernández Guerra</t>
  </si>
  <si>
    <t>Benita Guerra Lirón , natural de la villa de Cienpozuelos, arzobispado de Toledo, hija legítima de D. Luis Fernandez Guerra, natural de dicho Cienpozuelos, y de Doña María Antonia Liroq de Robles , natural de Escalonjl^,, en el iqismo arzobispado,, se cita*..y emplaza á Los interesados, en Jos.bienes q</t>
  </si>
  <si>
    <t>Fernández Reyero, Juan Manuel</t>
  </si>
  <si>
    <t>Juan Manuel Fernández Reyero</t>
  </si>
  <si>
    <t>o, del mismo obispado : para otra de la propia catedral, vacante por muerte de D. Joseph Burgos , á D. Juan Manuel Fernandez Reyero, Cura de Pinar Negrillo, de la misma diócesis : para otra Canongía de la catedral de Avila, vacante por fallecimiento de D. Joseph de Soria, á D. Joaquín Ferraz: para una Ración d</t>
  </si>
  <si>
    <t>Fernández Salinas, Manuel</t>
  </si>
  <si>
    <t>Manuel Fernández Salinas</t>
  </si>
  <si>
    <t>y Regidor perpetuo de esta villa, ha proporcionado á tuerza de activas diligencias el pus vacuno á D. Manuel Fernandez Salinas , cirujano en ella ; ie ha facilitado libros para su instrucción , y con sus persuasiones y desvelos ha logrado que en el corto tiempo de poco mas de un mes se invacunasen 108 niñ</t>
  </si>
  <si>
    <t>Fernández Salvador, Joseph</t>
  </si>
  <si>
    <t>Joseph Fernández Salvador</t>
  </si>
  <si>
    <t>D. Albino Marquina y Astudillo: para Administrador del partido de Ixmiquilpan, de la misma Renta, á D. Joseph Fernandez Salvador: para Teniente Visitador de la Factoría de Valladolid á D. Joseph Ignacio Gracia: para Administrador del partido de S. Antonio de Huatusco á D. Nicolás González: para Administrado</t>
  </si>
  <si>
    <t>Fernández, Agustín</t>
  </si>
  <si>
    <t>Agustín Fernández</t>
  </si>
  <si>
    <t>o de esta clase D. Joseph García, Sargento primero Veterano, y á Subteniente de bandera el agregado D. Agustín Fernandez: en ,el batallón de Pardos libres de la Havana á Subinspector á D. Antonio de Castro Palomino, Capitán del regimiento de infantería de la Havana , y i Teniente Veterano, con funci</t>
  </si>
  <si>
    <t>Fernández, Andrés</t>
  </si>
  <si>
    <t>Andrés Fernández</t>
  </si>
  <si>
    <t>• i• * 125* 26. Id. Andrés Fernandez............ Sebastian,Ambrosia Gelado. Ricobayo.... Carvajales... 23. 16. Id. Francisco García................. Domingo, Agustina Cuesta.</t>
  </si>
  <si>
    <t>Fernández, Antonio</t>
  </si>
  <si>
    <t>Antonio Fernández</t>
  </si>
  <si>
    <t>Sr. D. Juan Antonio Santa María, Teniente Corregidor de esta villa, por la escribanía del número de D. Antonio Fernandez.~— Para el remate de otra casa* en la calle del Rosario,barrios de S. Francisco, núm. aa, mane. 119, cuyo sitio compreheude 1807 pies, y está valuada en &lt;51,0*4 rs., se ha señalad</t>
  </si>
  <si>
    <t>el Consejo de S. M. , Teniente Corregidor de esta villa., y por la escribanía del número que exerce D. Antonio Fernandez, con presentación de los documentos que califiquen sus respectivos créditos, á deducir su deiecbo en los autos de testamentaría,del citado Domínguez, que se les oirá y guardará ju</t>
  </si>
  <si>
    <t>a, del Consejo de S. M., Teniente Corregidor de esta villa, por la escribanía del numero que exerce D. Antonio Fernandez.</t>
  </si>
  <si>
    <t>o Santa María , del Consejo de^S? M., Teniente Corregidor de esta villar y escribanía del número de D. Antonio Fernandez, se han sacado*á subasta, en virtud de orden de la Comisión gubernativa, varias fincas sitas en la población y término de la villa de Cercedilla, como .correspondientes á las memo</t>
  </si>
  <si>
    <t>postura acuda ante dicho Sr Teniente por la escribanía del citado D Antonio Fernandez. El partido de médico de la villa de Domingo Perez , provincia de Toledo, se baila vacante; su situado anual pagado por la Justicia y cobrado .del vecindario, es Óoo ducados y cas</t>
  </si>
  <si>
    <t>. Manuel Vicente de Torres, del Consejo de S. M., Teniente Corregidor de esta villa , refrendada de D. Antonio Fernandez, Escribano de su número, se han sacado á subasta unas casas principales, sitas en la calle de lo? Preciados, entre los núms. ap y 30, con accesorias á Ja de Jacometrezo, señaladas</t>
  </si>
  <si>
    <t>liado el dia primero del próximo mes de Setiembre en su audiencia, por ante el Escribano del número D. Antonio Fernandez, para el remate de varias fincas sitas en la población y término de la villa de Cercedilla,y son: un prado de pasto con agua de pie, cenado de pared de piedra sencilla, llamado de</t>
  </si>
  <si>
    <t>su mafiana en la audiencia del &amp;r. D. Manuel de Torres, Teniente Corregidor de esta villa, por ante D. Antonio Fernandez, Escribano de su número. . Los.subscriptores al temo 1,° del Censor en la historia de Espafia, ó Censura de las que han escrito Masdeu y otros nacionales y extrangeros, por J&gt;. Ni</t>
  </si>
  <si>
    <t>niente Corregidor de esta villa, que despacha la audiencia vacante, por la escribanía del número de D. Antonio Fernandez. La subasta de unas casas principales sitas en la calle de los Preciados entre los núms. 29 y 30 , con accesorias á la de Jacometrezo , señaladas en esta con el núm. ig , manz. 37</t>
  </si>
  <si>
    <t>corriente entre 11 y si de su mañana en la audiencia del mismo Sr. D. Manuel de Torres, y por ante D. Antonio Fernandez, Escribano dé su mí mero; previniéndose que Has mejoras para ser ñdmisibléé deberán hacerse en dicha especie dé moneda me** siálica, y que ef rematé ¿ó se verificará ¿é menos de l</t>
  </si>
  <si>
    <t>473* 5. Licenciado. Antonio Fernandez........... .. Antonio, Catalina Búrgos.. Lagunilla.... Búrgos........... IS3. 16. Id. Joaquín Anguiano............... Isidro , Francisca Ruiz....... Portilla....... . Vit</t>
  </si>
  <si>
    <t>...... 156. 27. Id. Antonio Fernandez....;...- R i vadeo........... Oviedo.....:. 200. 22. Id. Vitorio Galvó............</t>
  </si>
  <si>
    <t>es , del Concejo de S. M. , Teniente Corregidor de esta villa, y escribanía del numero del cargo de D. Antonio Fernandez , se ha mandado sacar á pública subasta por término de 30 días , contados desde el 14 de este mes , una casa sita en la calle del Rosario, barrios de S. Francisco , rúm. ai , mar.</t>
  </si>
  <si>
    <t>Fernández, Carlos</t>
  </si>
  <si>
    <t>Carlos Fernández</t>
  </si>
  <si>
    <t>9. 1. Id. Cárlos Fernandez.......... Josef, Catalina Carmona. Jadraque....... Granada...,.. 303. 19. Id. Josef Miguelez........... . Lorenzo, Rosaura Fresno. Busendos....... León.....</t>
  </si>
  <si>
    <t>Fernández, Dionisio</t>
  </si>
  <si>
    <t>Dionisio Fernández</t>
  </si>
  <si>
    <t>21. Licenciado. Dionisio Fernandez.....*, . .Padre incógnito , Grcgoria Calvelle . Fernandez....... ................. Aguiar..... Orense....... 146* * «•</t>
  </si>
  <si>
    <t>Fernández, Felipe</t>
  </si>
  <si>
    <t>Felipe Fernández</t>
  </si>
  <si>
    <t>34. 29. Id. Felipe Fernandez................ Domingo, Escolástica Pra~ Casería dedo....................................... Loma......... León........... 119. 26. Id. Pascual</t>
  </si>
  <si>
    <t>Fernández, Francisco</t>
  </si>
  <si>
    <t>Francisco Fernández</t>
  </si>
  <si>
    <t>3. 31. Id. Francisco Fernandez........... 40. 16. Id. Silvestre Mendez.................. Julián, María Rosquera.</t>
  </si>
  <si>
    <t>Fernández, Gerónimo</t>
  </si>
  <si>
    <t>Gerónimo Fernández</t>
  </si>
  <si>
    <t>....... 47. 14. Id. Gerónimo Fernandez...... Antonio, Bernarda Herrero....................................... Sta. Eulalia... Búrgos........... 60. 27. Id. Domingo del Acebo............ Eugenio, Be</t>
  </si>
  <si>
    <t>Fernández, Gregorio</t>
  </si>
  <si>
    <t>Gregorio Fernández</t>
  </si>
  <si>
    <t>.98..27. Id. Gregorio Fernandez....... . Juan , Antonia Frontoso... Amoedo....... Reboreda.... 4oi. *7. id. Francisco Alonso............. Fernando,María Fernande</t>
  </si>
  <si>
    <t>Fernández, Juan</t>
  </si>
  <si>
    <t>Juan Fernández</t>
  </si>
  <si>
    <t>mon; Ayudante al Teniente D. Francisco Xavier de Arosemana; iTeniente de granaderos al de fusileros D. Juan Fernandez; Tenientes de fusilero$““al Subteniente de granaderos D. Andrés Sartorio, y á los de fusileros D. Joseph María Chiarri y D. Felipe Fabrega; Subteniente de granaderos al de fusiler</t>
  </si>
  <si>
    <t>3a. 23. Zaragoza. Juan Fernandez... Manuel, Juana Martin.... Madrid......... Madrid....... Felipe, Dominica Perez... Navalcamero. Madrid</t>
  </si>
  <si>
    <t>.... . 270. is. Id. Juan Fernandez................. Mateo, Micaela Perrero... Riego............ Zamora......... 65. 25. Id. Juan Alonso.......... ........... Josef,Ursula Lúeas.</t>
  </si>
  <si>
    <t>... -• 275. 33- Id. Juan Fernandez................,.. Benito, Juana Casas ...... Lomas........... Galicia.... .. 10. 4. Id. Ramón Gómez................ .. Josef, Ana Corres..</t>
  </si>
  <si>
    <t>Fernández, Juan Antonio</t>
  </si>
  <si>
    <t>Juan Antonio Fernández</t>
  </si>
  <si>
    <t>Si. 3 Muerto. Juan Antonio Fernandez... Otero, María Alvarez....... Tabueyja.... Tuy.• i• * 125* 26. Id. Andrés Fernandez............ Sebastian,Ambrosia Gelado. Ricobayo.... Carvajales...</t>
  </si>
  <si>
    <t>Fernández, Luis</t>
  </si>
  <si>
    <t>Luis Fernández</t>
  </si>
  <si>
    <t>........ 66. 4* Id. Luis Fernandez........... . Josef, Antonia del Rio....... Mondotiedo.. Mondotiedo.. 134. 33. Id. Manuel González................ Lúeas,</t>
  </si>
  <si>
    <t>Fernández, Manuel</t>
  </si>
  <si>
    <t>Manuel Fernández</t>
  </si>
  <si>
    <t>h Cana*,D'&lt;Pedro García, D. Juan Méndez, D. Rafael Morales,. Agustín Arenas, D. Juan Amaro Pestaña, D. Manuel Fernandez, D. Miguel Texedor, D. Joseph de los Ríos, D. Guillermo Roo, IX Juan Antonio Heredia, D. Joseph de Chastre, D. Manuel Astor, Don Ramón Mijares, D. Francisco Alegría, D. Francisco</t>
  </si>
  <si>
    <t>...... 443. 48. Id. Manuel Fernandez..............Josef, María Ortega............. Villaseca....... Toledo.......... 59. 29. Id. Pablo Airoba...................... jacinto, Isabel Au</t>
  </si>
  <si>
    <t>...... 529. 17* Id. Manuel Fernandez.............. Francisco, María S. Josef.. Valladolid.... VaHadolid.... 63. 3. Id. Juan Carrera.-................... Bernardo, Juana González. Viana</t>
  </si>
  <si>
    <t>Fernández, Matías</t>
  </si>
  <si>
    <t>Matías Fernández</t>
  </si>
  <si>
    <t>35. 44. Id. Matías Fernandez............... Juan, Brígida Gutiérrez... Ardoncino.... León............... 13. 18. Id. Francisco del Barrio........... Blas, Josefa Rey......</t>
  </si>
  <si>
    <t>Fernández, Máximo</t>
  </si>
  <si>
    <t>Máximo Fernández</t>
  </si>
  <si>
    <t>169. 14. Id. Máximo Fernandez,... Aguilar......... Búrgos.......... 135. 26. Id. Jacinto Ribas Qnciño».</t>
  </si>
  <si>
    <t>Fernández, Pedro</t>
  </si>
  <si>
    <t>Pedro Fernández</t>
  </si>
  <si>
    <t>s8. 3. Licenciado. Pedro Fernandez................. Pedro, Vicenta Salinas.... Sahagun....... León.............. 40. 30. Id. Angel García....................... Simónj,Agueda Casado....</t>
  </si>
  <si>
    <t>Fernández, Ramón</t>
  </si>
  <si>
    <t>Ramón Fernández</t>
  </si>
  <si>
    <t>n rústica y 34 en pasta. Principios de cirugía así en la práctica como en la teórica,compuestos por Don Ramón Fernandez para el examen de los que se dedican á esta profesión y desean aprovechar en ella : segunda edición corregida por su autor, con la explicación de los vasos linfáticos. Se bailará</t>
  </si>
  <si>
    <t>Fernández, Santiago</t>
  </si>
  <si>
    <t>Santiago Fernández</t>
  </si>
  <si>
    <t>over á Tenientes á los Subtenientes D. Juan Subirats, D. Antonio Martinez, Don Bartolomé Navarrete, D. Santiago Fernandez, D. Felipe López de Arjona, D. Joseph Rivera, D. Joseph Cabrera, D. Ignacio Salens , D. M.a-. nuel Vázquez, D. Juan Vidaror, D. Joseph Anillo, D. Mauricio Alva-, rez, D, Manuel Hi</t>
  </si>
  <si>
    <t>Fernández, Victoriano</t>
  </si>
  <si>
    <t>Victoriano Fernández</t>
  </si>
  <si>
    <t>García Zorrilla y D. Hipólito Diez Serrano. En ia de sintaxis al seminarista Don Ramón de la Torre, D. Victoriano Fernandez y D. Manuel Losada. Y en la de latinidad, retórica y poética á D. R ay mundo Provedo, al seminarista D. Mariano Francos Cerezo y D. Pedro Antunez. . Granada 7 de Noviembre. E n obsequ</t>
  </si>
  <si>
    <t>Fernando Joséph, Archiduque</t>
  </si>
  <si>
    <t>Archiduque Fernando Joséph</t>
  </si>
  <si>
    <t>motivo de la muerte de la .Serma. Sra. Doña Luisa María Amalia, Princesa de Nápoles, esposa del Sr. Archiduque Fernando Joséph, ha mandado el Rey Ntro. Sr. que se vista la corte de luto por 15 dias, los 8 primeros con media negra, contados desde el lúnes 18 del corriente inclusive. Siguen SS. MM. y A A. s</t>
  </si>
  <si>
    <t>Fernando, Archiduque</t>
  </si>
  <si>
    <t>Archiduque Fernando</t>
  </si>
  <si>
    <t>- á S. M. Imperta# para que asista á la dieta de Presburgo. Ha conferido el Emperador á su primo el Archiduque Fernando , hijo del Archiduque Fernando , Carlos de Lorena, Gobernador que tué de' Lombardía, el empleo de Inspector de las fortalezas y fronteras de la monarquía austríaca, vacante por mu</t>
  </si>
  <si>
    <t>para Presburgo, en donde reunidos con la divi:ion.'de granaderos del regi^ratento de infantería del Archiduque Fernando, harán el servicio militar durante la asamblea de los estados de I-Iungría. A las dos y media de la tarde del 4 de este mes se sintió un terremoto en Mottling, ciudad situad?, en</t>
  </si>
  <si>
    <t>a secularización de muchos estados eclesiásticos de Alemania. El dia 12 salieron SS. MM. II. con el Archiduque Fernando, Príncipe heredero, y la Archiduquesa Luisa para Presburgo, én donde hicieron su entrada solemne el dia 13. L$s demas personas de la familia Imperial se habian transferido á la pr</t>
  </si>
  <si>
    <t>a para que se repare y ponga en estado de habitarse el palacio en que se alojaba eca esta ciudad el Archiduque Fernando. Esta República ha tomado por armas una balanza colocada debáxo de una espada y una palma que se cruzan en forma de aspa. Ha permitido el gobierno austríaco se introduzcan en esta</t>
  </si>
  <si>
    <t>res que habían padecidograndes pérdidas, rio llevaban otro objeto que arreglar el resarcimiento del Archiduque Fernando, empleando para ello los &lt;$QirigB¡ps laicales y hereditarios. , Encaminábanse los proyectos de la corte de .Vjepa.á dUatar ?u territorio hasta ,el Lech, y. por conreqüencia á borr</t>
  </si>
  <si>
    <t>uque de Módena ha renunciado definitivamente á las indemnizaciones que pedia á favor de su yerno el Archiduque Fernando. \ Berlín de Setiembre. M, jr. Hultman, Enviado de la República bátava, fué de esta ciudad á Potsdam el día 25, y tuvo la primera audiencia de SS. MM. S. A. S. el Príncipe Luis de</t>
  </si>
  <si>
    <t>la declaración, y que sé apoderasen de otros territorios qué los señalados para resarcimientos del Archiduque Fernando. No-Obstárite fesfo, y sin. hacer apreció de esta declaración hecha colectivamente y préséntada eh í^aris áfEmbaxadór imperial por el Ministro dé laS tres pótéiiéiás; cóniO ni tam</t>
  </si>
  <si>
    <t>ficada parece que sirvió de basa para el último ajuste hecho en París sobre las indemnizaciones del Archiduque Fernando , aprobadas re* cientemente por el Emperador. Lóndres 8 de Noviembre, E 1 sábado á la una de la mañana. Hegp. aquí el General Andreesi, Emba* xador de Francia, acompañándole su se</t>
  </si>
  <si>
    <t>.del Tirol. Escriben de Treviso que el Duque de Modena quedaba peligrosamente enfermo. Su yerno el Archiduque Fernando se transfirió inmediatamente á aquella ciudad. Ratisbona 4 de Noviembre. Kn la 2 r junta de la diputación del Imperk» se deliberó sobre la declaración que el Ministro de Bohemia h</t>
  </si>
  <si>
    <t>Fernando, Duque</t>
  </si>
  <si>
    <t>Duque Fernando</t>
  </si>
  <si>
    <t>mera audiencia de S.M. Imperial, á quien entregó sus credenciales El regimiento de húsares del Gran Duque Fernando, y el de corazas del Duque Alberto, están destinados para ir á Presburgo; permanecerán en aquella ciudad miéntras esté en ella el Emperador quando se celebre la dieta de Hungría.</t>
  </si>
  <si>
    <t>Fernando, Príncipe</t>
  </si>
  <si>
    <t>Príncipe Fernando</t>
  </si>
  <si>
    <t>confiscación. Aseguran que se disolverán los regimientos de Zeschwitz, de Módena, de Cobourg y del Príncipe Fernando; y que al mismo tiempo se formará uno nuevo de uhlanos. Berlín 8 de Diciembre. A caba de salir de aquí un correo para Petersburgo con una carta del Rey para el Emperador de Rusia.</t>
  </si>
  <si>
    <t>n algunas posesiones del Austria-Anterior. En conseqiiencia el Archiduque Francisco, lujo mayor del Príncipe Fernando, y nieto del Duque de Módena, irá á residir al palacio de Montfort, en Tettnang , en lo interior de Suabia. De Constantinopla han llegado aquí 4, caballos padres , una yegua y otr</t>
  </si>
  <si>
    <t>no los desertores que se refugien á territorio de Francia. v Los dos, Príncipes prusianos hijos del Príncipe Fernando emprenderán</t>
  </si>
  <si>
    <t>Ferradas, Ángel</t>
  </si>
  <si>
    <t>Ángel Ferradas</t>
  </si>
  <si>
    <t>...... 435. ag. Id. Cabo i.° Angel Ferradas... Antolin, Catalina González.............................. . Palacios......... Palencia......... 100. ig. Id. Antonio Alvarez................. Pedro, Toribia Ga</t>
  </si>
  <si>
    <t>Ferrandiz, Joaquín</t>
  </si>
  <si>
    <t>Joaquín Ferrandiz</t>
  </si>
  <si>
    <t>rnando Abascai, D. Benito Perez, y él Conde de Mopox. : ; ■ A Brigadieres los Coroneles: en España. D. Joaquín Ferrandiz, el Marqués de Lazan, D. Juan Magín, el Conde Colona, D. Antonio García Conde , D. Fernando Saavedra, D. Juan Amiant, D. Baltasar de Béllét * 0. Joseph Craiwinckel, D. Joseph Augu</t>
  </si>
  <si>
    <t>Ferrando de Aranda</t>
  </si>
  <si>
    <t>uerpo; D. Joseph Martínez de Mazas, Dean de esta santa iglesia; D. Joseph Gómez, Arcediano de Jaén; D. Ferrando de Aranda , Maestrante, y el esmero dél Secretario con loable caritativo zelo. Distribuyó el mismo Director los premios á las más benemérita'? jóvenes y niñas, y los aumentó en el mismo act</t>
  </si>
  <si>
    <t>Ferrando Romero</t>
  </si>
  <si>
    <t>ugués y francés por el P. D. Teodoro de Alméyda; puesto en castellano, é igualmente en francés, por D. Ferrando Romero de.Leis: esta obrita sirve- para entender la parte geográfica délas gazetas, mercurios &amp;c¡', y enterarse con puntualidad de los</t>
  </si>
  <si>
    <t>Ferraz, Joaquín</t>
  </si>
  <si>
    <t>Joaquín Ferraz</t>
  </si>
  <si>
    <t>is : para otra Canongía de la catedral de Avila, vacante por fallecimiento de D. Joseph de Soria, á D. Joaquín Ferraz: para una Ración del colegio de Sancti Spiritus de la ciudad de Santiago, vacante por muerte de D* Gaspar Goyos Saavedra, á D. Juan Prieto Mendez de Llanos , Capellán del segundo</t>
  </si>
  <si>
    <t>Ferraz, Matías</t>
  </si>
  <si>
    <t>Matías Ferraz</t>
  </si>
  <si>
    <t>S, M. á Coronel al Teniente Coronel D. Gerónimo Leoni, graduado de Coronel; y á Capitán al Teniente D. Matías Ferraz. S. M. sfe há servido nombrar para una plaza de Oidor de la Real Audiencia de Valencia á D. Juan Joseph de Negrete; y para la del crimen^ que este dexa en la misma, á D. Joseph Ló</t>
  </si>
  <si>
    <t>Ferrer, Cayetano</t>
  </si>
  <si>
    <t>Cayetano Ferrer</t>
  </si>
  <si>
    <t>*45 Morluís y D. Cayetano Ferrer: logrando el Dr. Nadal la satisfacción , no solo de Haberla extendido por el corregimiento, y en las ciudades de Huesca y Barbastro y villa de Monzon, sino también la de poder rem</t>
  </si>
  <si>
    <t>Ferreri de Alassió</t>
  </si>
  <si>
    <t>ad de Ministro de S. M. el Rey dé las Dos Siciliás en lá República italiana. El ciud. Ferreri de Alassió presentó también sus credenciales en calidad de Ministró plenipotenciario de la República liguriana. Después fuéron presentados ál primer GotíSúl^por sús^ resp</t>
  </si>
  <si>
    <t>Ferreyro, Antonio</t>
  </si>
  <si>
    <t>Antonio Ferreyro</t>
  </si>
  <si>
    <t>..... ■ 114. 8. Id. Antonio Ferreyro............. Josef, María Cortes........... Rebollar....... Orense....... 223. id. Cayetano de Mouzo....... Josef, Juana Gon</t>
  </si>
  <si>
    <t>Ferreyro, Joaquín</t>
  </si>
  <si>
    <t>Joaquín Ferreyro</t>
  </si>
  <si>
    <t>.í.... 135. 16. id. Joaquín Ferreyro......... . Jacinto, María de Cal..... Amoedo...... Tuy;. t6o. 15. Id. Juan Autumuro.............. . Martin, Agueda Fernande</t>
  </si>
  <si>
    <t>Feruandez de Miran, Francisco</t>
  </si>
  <si>
    <t>Francisco Feruandez de Miran</t>
  </si>
  <si>
    <t>Roxas , 0. Lope Valcarcel y Valcarcel, D. Joseph Linares é Iba?* nez, D.; Diego de^Obando y Adorno, D. Francisco Feruandez de Miran?* qa ,/Di FranciS|cqrIJÍioa y Ramírez , D. Joseph Angulo é Idiáquez, D. Raiñpn Trapero y (pabrero, D.’ Tédro feucheli y Carleti, D. Pedro Porri|ta;y Otalora, D. Joseph Andrade y/C</t>
  </si>
  <si>
    <t>Fespues</t>
  </si>
  <si>
    <t>Num. 55. 657 GAZETA DE MADRID a DEL VIERNES 9 DE JULIO DE 1802. Copenhague 4 de Junio. D, Fespues de detenerse aquí 5 dias la Princesa viuda de Badén salió el i.° del corriente por la mañana para continuar su viage. El dia anterior asistió á la revista de algunos regimientos, y fue</t>
  </si>
  <si>
    <t>Fguia, Francisco</t>
  </si>
  <si>
    <t>Francisco Fguia</t>
  </si>
  <si>
    <t>Duque de San Carlos, D. Francisco Xavier Castaños, D. Francisco Ta— raneo, el Marques de Alcocebar, D. Francisco Fguia, Duque de Frías, Duque del Infantado, D. Juan Ordoñez, D. Francisco Vallejo, D. Antonio López Sopeña, D. Antonio Hurtado, Condé de Olocau, D. Cárloii v</t>
  </si>
  <si>
    <t>Fiballer, Diego María</t>
  </si>
  <si>
    <t>Diego María Fiballer</t>
  </si>
  <si>
    <t>D. Mateo Iruegas, D. Narciso Belloc, D. Agustra del Campo, Don Pedro Darsens, D. Francisco Tirado, D. Diego María Fiballer, D. Jayme García Conde, D, Manuel Jáuregui, D. Cárlos Reynaldp de Coup'igni, D. Joseph Lebrun, D. Manuel la Barre, D. Juan Bernardo Laporte, Don Felipe Crame, D. Francisco Ruigome</t>
  </si>
  <si>
    <t>Fidel Moragas</t>
  </si>
  <si>
    <t>Tarragona, vacante por fallecimiento de D. Joseph Mora, y por no haberlo admitido D. Simón Tomas, á D. Fidel Moragas. El R ey se ha servido nombrar para segundo Teniente de la Compañía Americana del Real cuerpo de Guardias de Corps al Alférez de ella Don Eusebio Herrera , concediendo graduación</t>
  </si>
  <si>
    <t>Fíenle</t>
  </si>
  <si>
    <t>na químico-fisiológica de lo| humores contenidos eo .el&gt;ci|ferpo hunaano : escrita* én latín por el Dr. Fíenle profesor públicode química ,ariatomt*,y botánica en la universidad de Bada &amp;c. y y tn|dncidjpal castellano : un tomo éh 8.° El nombre sólo dé este célebre aleman reeoipíénda esta</t>
  </si>
  <si>
    <t>Figueroa, Agustín</t>
  </si>
  <si>
    <t>Agustín Figueroa</t>
  </si>
  <si>
    <t>Chumica, Don Cayetano Valdés , D. Felipe Jado Cagigal Marques del Real Tesoro, D.Alarcelo Espínela, D. Agustín Figueroa, D. Joseph Uriarte y Borla, D. Rafael de Hore, y D. Joseph Espinosa Tello. A Capitanes de Navio los de Fragata ■i D. Juan Carranza, D. Bruno Palacio*, D. Juan Elizalde y Uztariz,</t>
  </si>
  <si>
    <t>Figueroa, Antonio</t>
  </si>
  <si>
    <t>Antonio Figueroa</t>
  </si>
  <si>
    <t>la Carrera^ D. Jayme Garrofa, y D. Joseph Rich. En América. D. Joseph Arcega, D. Filomeno Cendrera, D. Antonio Figueroa, Don Diego Calvo, D. Manuel Antonio de Mora y Ramos, D. Francisco Campos, D. Joaquín Langelé, D. Juan Caequillo, D. Pedro Barat, D. Antonio Vayllant, D. Lúeas Alvarez, D. Joseph M</t>
  </si>
  <si>
    <t>Figueroa, Ramón</t>
  </si>
  <si>
    <t>Ramón Figueroa</t>
  </si>
  <si>
    <t>: **-■ ' en España.. ■ ;. D. Roque Parrada, D. Joseph Lasala, D. Francisco Oviedo,D. Joseph Jubert, D. Ramón Figueroa, D. Francisco Uztariz, D. Juan de Dios Cabrera, D. Joseph Arredondo, D. Luis María Bonsteten, D. Luis Aygremont, D. Cárlos VauverdenyD. Aüigei Foxá, D. Joaquín de Cea, Don Joseph</t>
  </si>
  <si>
    <t>Filomeno Cendrera</t>
  </si>
  <si>
    <t>lcarcel, D. Martin de la Carrera^ D. Jayme Garrofa, y D. Joseph Rich. En América. D. Joseph Arcega, D. Filomeno Cendrera, D. Antonio Figueroa, Don Diego Calvo, D. Manuel Antonio de Mora y Ramos, D. Francisco Campos, D. Joaquín Langelé, D. Juan Caequillo, D. Pedro Barat, D. Antonio Vayllant, D. Lúeas</t>
  </si>
  <si>
    <t>Firmo Valles</t>
  </si>
  <si>
    <t>272 S. M. á Comandante de granaderos al primer Teniente D. Firmo Valles. En cumplimiento de lo mandado por S. M. en Real Pragmática Sanción de 30 de Agosto de 1800, desde i,° de Abril próximo hasta 31 de Mayo se presentarán los Vales de 600 y 300 peso</t>
  </si>
  <si>
    <t>Fiscal del Consejo Real y de la Cámara</t>
  </si>
  <si>
    <t>sucesivamente por espacio de 47 años los empleos de Asesor general de Correos, Fiscal del Consejo Real y de la Cámara, Ministro y Gobernador del propio Tribunal, y Consejero de Estado; y merecido al Rey Ntro. Sr. y sus dos augustos predecesores particulares gracias y distinciones en premio de sus servicios</t>
  </si>
  <si>
    <t>Fischer</t>
  </si>
  <si>
    <t>ii4i Berna17 de Octubre, S e despacháron dé aquí á Schwitz por diputados Mr. Fischer 9 Presidente de la junta de los Diez, y Mr. Frieschicg, para concertarse con la dieta de aquella ciudad sobre el partido que debía tomarse en las actuales circunstancias. Volviéro</t>
  </si>
  <si>
    <t>Fita, Joaquín</t>
  </si>
  <si>
    <t>Joaquín Fita</t>
  </si>
  <si>
    <t>obtenía D. Vicente Fita» á quien S. M. acaba de conferir la Fi-calía de la Audiencia de Cáceret, á D. Joaquín Fita. En el regimiento de Reales Guardias Españolas se ha servido promover el Rey á Alférez de granaderos ai de fusileros D. Joseph de Matas. Los accionistas de la Caza de Descuentes d</t>
  </si>
  <si>
    <t>Fita, Vicente</t>
  </si>
  <si>
    <t>Vicente Fita</t>
  </si>
  <si>
    <t>se ha servido nombrar pará el Préstamo llamado de Molina» en la diócesis de Cartagena » que obtenía D. Vicente Fita» á quien S. M. acaba de conferir la Fi-calía de la Audiencia de Cáceret, á D. Joaquín Fita. En el regimiento de Reales Guardias Españolas se ha servido promover el Rey á Alférez d</t>
  </si>
  <si>
    <t>Fivadulla, Joseph</t>
  </si>
  <si>
    <t>Joseph Fivadulla</t>
  </si>
  <si>
    <t>te D. Joseph Blanco, D. Agustín Deifez, D. Martin Abel enda, D. Andrés Rodríguez, D« Luis Barrera y D. Joseph Fivadulla, en aritmética: D. Pédro Gómez y D. Rafael Cobian, en aritmética y geometría D. Agustín Mellon, Cadete de carabineros de María Luisa, en geometría: D. Pascual López Villapol y D.</t>
  </si>
  <si>
    <t>Flangini, Cardenal</t>
  </si>
  <si>
    <t>Cardenal Flangini</t>
  </si>
  <si>
    <t>e pais. Venecia 8 dé Diciembre. E I Emperador en calidad de Dux de Venecia ha nombrado Patriarca al Cardenal Flangini, que es muy conocido como literato , particularmente por su traducción del Apolonio de Rhódas. Se ha publicado aquí un, edicto de S. M. Imperial, que prohíbe baxo penas rigurosas</t>
  </si>
  <si>
    <t>orrespondencia con Baswan-Oglow, y este reúne muchas tropas cerca de Widin. Vierta 19 de Marzo. E I Cardenal Flangini, Patriarca electo de Venecia, fue consagrado el día *4 en la capilla de palacio por el Emo. Herzan de Harras , el Príncipe Obispo de Basilea, y el Conde de Trautmansdom, Obispo de</t>
  </si>
  <si>
    <t>Flood, Lorenzo</t>
  </si>
  <si>
    <t>Lorenzo Flood</t>
  </si>
  <si>
    <t>del regimiento de infantería de Hibernia al Sargento mayor del mismo cuerpo, graduado de Cfóronel, D. Lorenzo Flood. En ¿tención á los buenos y dilatados servicios de D. Eugenio de Renovales , Oficial inayór primero de lá Secretaría de Estado y del Despacho de Hacienda de España » ha tenido el</t>
  </si>
  <si>
    <t>Florea Quevedo, Pedro</t>
  </si>
  <si>
    <t>Pedro Florea Quevedo</t>
  </si>
  <si>
    <t>al Real servicio restablecer la tercera Fiscal lía del mismo Consejo, ha nombrado S. M. para ella á D. Pedro Florea Quevedo. v* T':ji--:&gt; . &gt; ;;r„ v- -y, : i ~ El Rey se ha servido nombrar para la plaza de Oidor de la Audiencia de Sevilla, vacante por promoción de D. Tomas Monyano á la de Alcalde de su</t>
  </si>
  <si>
    <t>Floréncio Núñez</t>
  </si>
  <si>
    <t>. En el regimiento de dragones .' de Buenos-Ayres se hd servido S. M. promoverá Capitán al Ayudante D. Floréncio Nuñez ; á Ayudante alTeniente D. ManuelAivarez’já Teniente al AlférezD. Juan Bautista Rondeu;. á Alférez al Porta-Guion D. Joaquin.Forner, Porta</t>
  </si>
  <si>
    <t>Flores, Estéban</t>
  </si>
  <si>
    <t>Estéban Flores</t>
  </si>
  <si>
    <t>Id. Estéban Flores..................... Francisco, Manuela Cubi- Villa Carra- • lena....... .. Ion.............. Palen</t>
  </si>
  <si>
    <t>Foderé, Francisco Manuel</t>
  </si>
  <si>
    <t>Francisco Manuel Foderé</t>
  </si>
  <si>
    <t>Tratado de medicina legal y dé higiene pública, escrito én francés por el ciud. Francisco Manuel Foderé, médico dei hospital dé Caridad de Marsella, y traducido por J.D. R. Y- C. : tomo 4.0 En este tomo se trata de la medicina legal criminal en general ; de la violación ; del abortó y de la</t>
  </si>
  <si>
    <t>Foderé, Francisco Mánuel</t>
  </si>
  <si>
    <t>Francisco Mánuel Foderé</t>
  </si>
  <si>
    <t>ratado de medicina legal y de higiene pública , escrito en francés por el ciad. Francisco Mánuel Foderé , médico del hospital de caridad de Marsella, y traducido.jal,castrél^áhof’tomp g.‘° Esta.obra és de la mayor utilidad é importanciay mtiy digna?cfé 'sér ;ieida ehéencjida así por los juec</t>
  </si>
  <si>
    <t>a, en respuesta al primer folleto que ha publicado contra la Medicina legal del ciud. Francisco Manuel Foderé, y contra la traducción de esta obra* Se hallará á 3 rs. en . las librerías de Castillo y Escribano. En esta carta se da á entender el verdadero motivo que ha</t>
  </si>
  <si>
    <t>p r^ústica y ri&lt;5^ep pa$ta.t &gt;. K,f.t Errores ,médico-legales copejtides por él ciudadano Francisco Manuel Foderé en su obra intitulada. Xas leyes ilustradas por , las‘ ciencias físicas, ó tratado de medicina legal y de higiene pública; y defectos notables de la traducción.</t>
  </si>
  <si>
    <t>Folgado, Pedro</t>
  </si>
  <si>
    <t>Pedro Folgado</t>
  </si>
  <si>
    <t>Id. Pedro Folgado..................... Lorenzo, Josefa Pafiizo.... Calamocos... León.............. $04. 6. Id. Bernardo Ruiz Blanco....... Manuel, Catalina................. Carrizo........... León..</t>
  </si>
  <si>
    <t>Folgúeras y Sion, Luis</t>
  </si>
  <si>
    <t>Luis Folgúeras y Sion</t>
  </si>
  <si>
    <t>Dr. D. Agustín Martínez del Campo, Prior y Penitencia rio^ie la insigne Iglesia Colegial de ella, y D. Luis Folgúeras y Sion, Canónigo de la misma, con asistencia del Lie D. .Francisco Borja Fernandez, Magistral, y demas individuos del Cabildo. Se dio principio por una oda castellana, que pronunció el a</t>
  </si>
  <si>
    <t>Fonds, Antonio</t>
  </si>
  <si>
    <t>Antonio Fonds</t>
  </si>
  <si>
    <t>Honores de Comisario Ordenador Al de Guerra D. V icente Viílalta; ai honorario en esta última clase Don Antonio Fonds, Furriel mayor deí Real Cuerpo de Guardias dé Corpsj ál Contador del exército de Andalucía D. Agustín Fernandez Camina; al Tesorero del exército de Extremadura D. Francisco, Alvar</t>
  </si>
  <si>
    <t>Font y Closas, Cayetano</t>
  </si>
  <si>
    <t>Cayetano Font y Closas</t>
  </si>
  <si>
    <t>$4© S . M. - Etruscá se ha servido ‘ Liorna 29 dé Mayo, '■ ; i * ■■óf-.t ¿nombrar á D. Cayetano Font y Closas pop su Cónsul en el Principado de3©«|alúña , y como tal: residirá en BarcelonaJ í í ^Eii dia 14 se einbarcáron en este puerto ¡varias^tropas 'polacas. Algunas; horas .des pues ’ s</t>
  </si>
  <si>
    <t>Fonte, Matías</t>
  </si>
  <si>
    <t>Matías Fonte</t>
  </si>
  <si>
    <t>e recogidas y hospicio de ella: para otra Ración de la misma catedral; vacante por fallecimiento de D. Matías Fonte, á D. Lorenzo Montes de Oca, Cura de la parroquia de la villa de Guia, de aquel obispado : para otra Ración de Ja propia catedral, vacante por muerte de D. Domingo che León y Roza</t>
  </si>
  <si>
    <t>Fontes Paz, Joachín</t>
  </si>
  <si>
    <t>Joachín Fontes Paz</t>
  </si>
  <si>
    <t>ica con resultados tan felices que nada dexan que desear. El caballero Maestrante de. la de Granada D. Joachín Fontes Paz dio el primer e.xemplp de su confianza en este preservativo de las viruelas, sujetando á la operación una hija suya de dos años; siguieron á su exemplo los Excmos. Sres. Condes de</t>
  </si>
  <si>
    <t>Fontiodra, Antonio</t>
  </si>
  <si>
    <t>Antonio Fontiodra</t>
  </si>
  <si>
    <t>....... 410. 7. Id. Antonio Fontiodra............... Manuel, María Hidalgo... Viñon...........Reynosa.......... 185. 20. Id. Pedro Suarez........................ Josef, Lorenza Suarez......... S. Román.... León.</t>
  </si>
  <si>
    <t>Fornás, Carlos</t>
  </si>
  <si>
    <t>Carlos Fornás</t>
  </si>
  <si>
    <t>del regimiento de Voluntarios de Castilla y segundo de Uitonia á los Presbíteros D. Bruno humeras y D. Carlos Fornás. También en el de dragones de Almansa ha promovido S. M. á Teniente al Alférez de granaderos D. Gabriel Escolar; y en el de Villavíciosa á Capitán al Ayudante , graduado de Capitá</t>
  </si>
  <si>
    <t>Forster</t>
  </si>
  <si>
    <t>re de 1801. H a comprado S. M. Imperial por 60© rublos el magnífico gabinete de historia natural de Mr. Forster, y lo ha regalado á la escuela de minas. , El 2 de este mes comió el Emperador en casa del Conde de Stroganow, en donde el Conde de Mussin-Puschkin tuvo la honra de hacer á presen</t>
  </si>
  <si>
    <t>Fort de St, Pedro</t>
  </si>
  <si>
    <t>Pedro Fort de St</t>
  </si>
  <si>
    <t>de 31 del pasado. ! El dia i.° de Agosto falleció en Barcelona á los 72 años de edad el Excmo. Sr. D. Pedro Fort de St. Maurin, Teniente General de los Reales exércitos, Teniente Coronel y Director interino del, regimiento de Reales Guardias de infantería Walona, habiendo servido á S. M. desde 27</t>
  </si>
  <si>
    <t>Fortun y Francisco Plasencia, Antonio</t>
  </si>
  <si>
    <t>Antonio Fortun y Francisco Plasencia</t>
  </si>
  <si>
    <t>osselly y D. Pedro Beltran*; á segundos Tenientes á los Subtenientes de granaderos D. Rafael Pavía, D. Antonio Fortun y Don Francisco Plasencia; á Subtenientes de granaderos á los primeros Subtenientes D. Carlos Quiroga, D. Carlos Porta y D. Juan Ugartemendia; á primeros Subtenientes á los. segundos D. Eugenio Delgado, D.</t>
  </si>
  <si>
    <t>Fortunato Bertrans y Téu</t>
  </si>
  <si>
    <t>oy : para otro llamado Mongia de la iglesia parroquial de S._Pedro de Torello, diócesis de Vique, á D. Fortunato Bertrans y Téu; y para el oficio regular de Despensero mayor del Real monasterio de S. Cugat delV alies , á D. Fr, Mariano de Siscart y de Rocabruna. En la compañía Española del Real cuérpó de G</t>
  </si>
  <si>
    <t>Fortuno, Joseph</t>
  </si>
  <si>
    <t>Joseph Fortuno</t>
  </si>
  <si>
    <t>ito de Ribera, D. Agustín Alcayde, D. Vicente Royó , D; Jacinto Munárriz ^ D. Juan Antonio Coijiat, D. Joseph Fortuno, D. Joaquín Ollés de Regales; y en la clase de buenos, D. Fabian Lorenté', D. Joseph Ramón dé Andraca, D. Benito Sánchez, D. Manuel Ased, D. Manuel Garcés y D¿ Liborio Mirálles. ’</t>
  </si>
  <si>
    <t>Fourcroy</t>
  </si>
  <si>
    <t>s Consejeros de listado en calidad de oradores del gobierno; y uno de ellos, el ciud. Fourcroy, leyó el siguiente mensage: ^ \ „ Ciudadanos legisladores. Quando llegáis al término de esta sesión extraordinaria, los Cónsules de la República se congratulan</t>
  </si>
  <si>
    <t>Fox</t>
  </si>
  <si>
    <t>legado á Douvres algunos caballos del Lord Bruce, Lijo del Marques de Cornwallis. Parece cierto que Mr. Fox hará un viage á Francia, siendo su principal objeto consultar algunas memorias manuscritas relativas á Cárlos 11, de las quales necesita para concluir su historia de los Estuardos</t>
  </si>
  <si>
    <t>de 1862.”, Pero hay una instrucción separada y mas larga, en la qual dicen que lega 5® esterlinas á Mr. Fox. r Ayer mañana por orden del Mariscal de la ciudad se prendieron 2 franceses acusados de haberse desafiado. El Lord Corregidor les tomo declaración, como también á varios testigos</t>
  </si>
  <si>
    <t>lorada no quiso la Cámara tratar aquel dia de este punto, remitiéndole á una junta, como lo propuso Mr. Fox. Se ha aprobado en la misma Cámara la suma de 990,052 libras para pagar las deudas y atrasos de la lista civil, ó sea los gastos del Rey y familia Real. Mr. Otto comió ayer con el</t>
  </si>
  <si>
    <t>o pase de 990,053 libras para pagar la deuda atrasada de la lista civil hasta 18 de Enero de 1802.” Mr. Fox se opuso á la proposición de Mr. Addington, y entre otras cosas dixo que los Ministros hacen los gastos y dexan al Parlamento el cuidado de pagarlos; y añadió: ,, El artículo que</t>
  </si>
  <si>
    <t>se aplazára la disputa; y esta proposición fué adoptada por una mayoría de 48 votos. Se reparó que Mr. Fox no asistió á la Cámara. El discurso de Mr. Windham con este motivo, duró dos horas, y extractado es como sigue: „Pasaré por alto los puntos que se han ventilado ya largamente. Las</t>
  </si>
  <si>
    <t>l dia del nacimiento de* Mr. Pitt, á imitación de lo que se executa con su competidor parlamentario Mr. Fox. ¿J En casi todo este reyno hace un frió como pudiera en el mes de Enero. En muchas partes, especialmente en las montañas del pais de Gales, hay un pie de nieve; y ademas ha helad</t>
  </si>
  <si>
    <t>Graves,' precediendo consentimiento del gobierno bátávq* V Ha tran itado por Lila, Gante y Ambéres Mr. Fox, que va á las aguas de Spa. F.n Lila fué conocido en el teatro, y le hiciéron muchos obsequios: le dispusiéron una gran comida en el ciíco, y música en, *u casa ; y nb menos ios o</t>
  </si>
  <si>
    <t>sido conducido y encerrado en el castillo de Joux. Quando en la audiencia del dia 2 fué presentado Mr. Fox al primer Cónsul, se llegó este á él dos veces para hablarle, y después de decirle algunas expresiones, muy lisonjeras para aquel orador, añadió ,, que solo habia dos naciones en</t>
  </si>
  <si>
    <t>tud y propiedad de dicho gas para los casos de asfixia, que son tan freqiientes.*’ . Se asegura que Mr. Fox irá á pasar 15 dias á la casa: de campo del GeneralXafayette. Sabido es que quando Lafayette se hallaba en las cárceles del Austria, de donde le saco Bonaparte , hizo Mr. Fox un d</t>
  </si>
  <si>
    <t>or de Inglaterra en Francia y con sus Secretarios y su comitiva. A mediados de éste^nes se espera ¿ Mr. Fox de vuelta dé su viagé á París; En el- navio de güeña Goliat- del apostadero de Halifax cayó un rayo que mató ¿ dos hombres , hirió mas ó minos á 14, y derribo á 30 que quedaron algún</t>
  </si>
  <si>
    <t>mara de los Cnmunes se explicó Mr. Windham en los mismos términos que el Lord Grenville en la alta. Mr. Fox peroró á favor de la paz, desvaneciendo quanto otros vocales habian dicho sobre ei poder exorbitante de la Francia. — Al fin se aprobó unánimemente en ambas Cámaras la respuesta d</t>
  </si>
  <si>
    <t>Grenville ha determinado á Mrs. Grey , Tierney y Erskiné á unirse al partido de la administración. Mr. Fox está, indiferente á todos los partidos; y solo piensa en unirse mas íntimamente á la pluralidad cuyo voto es la continuación de la La baxa de los fondos públicos con motivo del voto</t>
  </si>
  <si>
    <t>Fox, General</t>
  </si>
  <si>
    <t>General Fox</t>
  </si>
  <si>
    <t>. á Merina con esperanzas de recobrar su salud. Malta está bien provista de tropas, mandadas por el General Fox, y se esperaban otras procedentes</t>
  </si>
  <si>
    <t>guno de que se,efectúe pronto el arreglo definitivo. A fines del mes último partió: dé la paleta el General Fox a bordo de la fragata Maidstone para hacerpor diversión un viage á Sicilia. Le acompaña un barco que, lleva parte de su comitiva. Muchos oficiales así de la guarnición como de ios</t>
  </si>
  <si>
    <t>Foxá Xatmar de Marignat, Ramón</t>
  </si>
  <si>
    <t>Ramón Foxá Xatmar de Marignat</t>
  </si>
  <si>
    <t>Alférez de granaderos al de fusileros D. Manuel María Polo de Bernabé, y á Alféreces á los Cadetes D. Ramón Foxá Xatmar de Marignat, D. Constantino Joseph Malet Coud'Egruyere, D. Ramón de Miguel y Blondel y D. Ramón de E et. _ Las lecciones de química, que da eu el Real estudio de esta ciencia establecido en l</t>
  </si>
  <si>
    <t>Foxa y Montúfar, Vicente</t>
  </si>
  <si>
    <t>Vicente Foxa y Montúfar</t>
  </si>
  <si>
    <t>Avalde. ' A Capitanes de Fragata los Tenientes de Navio D. Joseph Meneses, D. Juan Antonio Careaga, D. Vicente Foxa y Montúfar, D. Rosendo Porlier, D. Joseph Iturrigaray, D. JuanBernazi y Retamar, D. Ramón Blanco Criado, D. Pedro Valencia, D. Tomas rando, D. Antonio Aguirre y Villalba, D. Joseph González</t>
  </si>
  <si>
    <t>Foxbcon</t>
  </si>
  <si>
    <t>laGondesa Elgine, Mrl King, Ministrad e ios, Estados americanos.óEn la misma embarcación se hallaba Mr. Foxbcon su ,esposé-1.* ;, t» l n;oPor orden superior se.'prendió, el í 6 por. la noche al Coronel Despar&lt;J, ya irnos *400 hombres' entrecaríenestrales y sobados ,~1q« mas-de ellos, irlahi</t>
  </si>
  <si>
    <t>Foyxart, Juan</t>
  </si>
  <si>
    <t>Juan Foyxart</t>
  </si>
  <si>
    <t>de S. Justo y Pastor do la ciudad de Barcelona , vacante por fallecimiento de D. Mariano Torner , á D. Juan Foyxart: para otro de la monacal de la villa dé Bañólas, obispado de Gerona, á D- To</t>
  </si>
  <si>
    <t>Frabciscf</t>
  </si>
  <si>
    <t>dngo y D. Pedro Tavíra, D. Leopoldo Menead», P- JosephTorres, D. Luis Vidarte, i D-Í'o¿qum del ÍÜo, D. Frabciscf» trespalaeios y D, JuanEantista Geram; los seminaristas D. Joseph María Munive y D. Agustín Duran ajo fueron examinados por indisposición de salud. Todos los concurrentes aplaudie</t>
  </si>
  <si>
    <t>Frahci</t>
  </si>
  <si>
    <t>anca: para una Media-Ración de la Catedral dé; Onhueia j-vacante por muerte dé IX Antonio Áznar*, á D. Frahci^eo Má^ y PéréZ :* para un^BeHéficio dé lá parroquia de Santiago de la villa dé Tálávérá, en lá diócesis de Toledof' vagante poi^falieeiriúentó dé T&gt;¿ Amontó Treviries yá Di Juan &gt;</t>
  </si>
  <si>
    <t>FrahcíJcor</t>
  </si>
  <si>
    <t>%: ^*045 Josepfc del Hoyo yDdtirV D. FrahcíJcor de lío^ai ^lÜdlf^ LeónesyAlburquerqueyD.JoséphNaftezyXopez-deHaró, TK^FiíÉñícisco Henrile y Alcédó, D. Joseph de y Ansófeaga ,* D.rJ&amp;anlGfál¿ deando Zaldnendo, D.Joseph'Bürgues de Mf</t>
  </si>
  <si>
    <t>FrahciSco Pérez González</t>
  </si>
  <si>
    <t>alhajas que las tenian empeñadas, en quanto sea posible; se han establecido los puestos siguientes: D. FrahciSco Pérez González, puerta dél Sol, casa de la Inclusa: D. Juan Sierra Muñoz, portal de Sta. Cruzt.D^ Valentín Retes, calle de las Postas: D. Manuel Matute', calle de la Montera: DI íélix Antonio Go</t>
  </si>
  <si>
    <t>Francesco Alburquerque</t>
  </si>
  <si>
    <t>Tolhas Rocamora, D. Agustín Pinedo, D. Antonio Cordero,. D. Pedro Villaescusa, D. Miguel Emparan , D. Francesco Alburquerque, D. Blas González, D. Juan María de Soto, D. Francisco Caballero, D. Ignacio Merlos, Don Lorenzo Burgos^, D. .Joseph Arata,p. Ildefonso Larrauri ,D. Tomas ligarte, D. Ignacio de;</t>
  </si>
  <si>
    <t>Franchi, Antonio</t>
  </si>
  <si>
    <t>Antonio Franchi</t>
  </si>
  <si>
    <t>ro Lobo y Arjona, D. Diego Orbaneja, D. Joseph Medrano, D. Joaquín de la Chica, D. Agustín Cabrera, D. Antonio Franchi,D. Rafael de Zuniga, D. Gerónimo Martin Cortés, D. Ramón Bétes, D. Francisco Portillo, D. Tomas Salcedo, D. Fernando Moyano, D. Juan Alabés, D. Juan Macarti, 0. Dionisio Sánchez,</t>
  </si>
  <si>
    <t>FranCis'éO</t>
  </si>
  <si>
    <t>al capilla ¿ para ti Arcedianato de íReyn^én^íPfeíetropolrtáná de Sevilla, vacante poi? muerte &gt; de D. FranCis'éO 'Ayáláf ádDi Francisco Xavierde^ilíalta ¿pénsibirsi^h favor dé ía ptoprá 'Real;capilla : para una Ganongia en Ik misniá'^npé^rdpo'Utaná^íyá^títéí^but'lIdlé^iiriieittdAdetíCárcbSBá</t>
  </si>
  <si>
    <t>Francisca</t>
  </si>
  <si>
    <t>h de edad de 10 años^, las Sras. Doña Ramona de edad de 15 , Doña Joachma de 13 , Doña Luisa de 8 , Doña Francisca de 6, y Doña María Teresa de 2, que por vía de juguete pasaron todos seis tos trámités de la verdadera viruela vacuna con sus-verdaderos fenómenos de tal, cuya inoculación nó pudo pr</t>
  </si>
  <si>
    <t>Francisce de las Barreras</t>
  </si>
  <si>
    <t>de D, RlIllaB de Espeja, y coh la firma de este en blanco. Quien le hubiere hallado le entregará i D. Francisce de las Barreras, frente al Repeso de corte,calle Imperial. &gt; , Ror decreto de ex de: Mayo último dei Sr. D. Juan de MpralesGusman y Te*</t>
  </si>
  <si>
    <t>Francisci Antonii Lorenzana</t>
  </si>
  <si>
    <t>nusc primum in Ipcem edita juxta exemplar ex autographo transcr.iptupi jussu ExcellentissimiDomini D. Francisci Antonii Lorenzana &amp;c. Archiepiscopi Toletani His-&gt; paniarum primatis 8cc. Es recomendable esta obra no solo por su antigüedad de tf .siglos , sino también por su claridad y solidez en persuadir la</t>
  </si>
  <si>
    <t>Francisco Alonso</t>
  </si>
  <si>
    <t>... 4oi. *7. id. Francisco Alonso............. Fernando,María Fernandez; Sonto de....... Miño......... 234. as. Id. Ramón Gómez.................. Domingo , Nicolasa Martínez......... .......................</t>
  </si>
  <si>
    <t>Francisco Estéban</t>
  </si>
  <si>
    <t>...... 244. 34. Id. Francisco Estéban.............. Manuel, María Gómez.... Pedroso......... Coria............. 479. 30. Id. Ignacio Romaguera............ Ignacio, Josefa Aguirre.... Gandía.......... Valencia...</t>
  </si>
  <si>
    <t>Francisco Gregorio</t>
  </si>
  <si>
    <t>Barcelona en la de Esterling. Himno en elogio de la paz, dispuesto en versos sálicos y adórneos por D. Francisco Gregorio de ¿Salas. Se hallará en la librería de Orea , calle de la Montera, en los puestos del diario carrera de S. Gerónimo, calle de Atocha y plazuela de Santo Domingo. Tratado de la vacun</t>
  </si>
  <si>
    <t>Francisco Jorge</t>
  </si>
  <si>
    <t>.......... 206. Id. Francisco Jorge.................. Antonio, María Domínguez. Rubios........ . Salvatierra... 123. 21. Id. Baltasar Dieguez................. Domingo, María Perez....... Mender</t>
  </si>
  <si>
    <t>Francisco Mateo</t>
  </si>
  <si>
    <t>. 13. Licenciado. Francisco Mateo.................. Francisco, María Domínguez................................... Haro.............. Sto.Domingo. 18. 17. Id. Manuel Torrecilla. Santiago, María G</t>
  </si>
  <si>
    <t>Francisco, Archiduque</t>
  </si>
  <si>
    <t>Archiduque Francisco</t>
  </si>
  <si>
    <t>ceptado, según dicen , el Bricgaw- con algunas posesiones del Austria-Anterior. En conseqiiencia el Archiduque Francisco, lujo mayor del Príncipe Fernando, y nieto del Duque de Módena, irá á residir al palacio de Montfort, en Tettnang , en lo interior de Suabia. De Constantinopla han llegado aquí 4,</t>
  </si>
  <si>
    <t>Francisco- Loredo</t>
  </si>
  <si>
    <t>570. 20. Td. Francisco- Loredo............ Vicente ( Antonia Díaz..... Búrgos....... Búrgos....... 508. 14. Id. Francisco Josef Ximenez Chrlst^i, María Bened</t>
  </si>
  <si>
    <t>Francisco- Salinas Moñino</t>
  </si>
  <si>
    <t>quez, D.' Manuel Továrv -D.!‘Pascual1 de la V egay 0. R aymundo Capece Minutólo, D. Joseph Zarauz , D. Francisco- Salinas Moñino, 0. Pedrd Buch y O-Donell, D. Diego Artacho, D. Joseph Navarro Sangran, ,Don Mateo Perez, D. Francisco Réqu'ená, D. Antonio Parxearroyo, 0; Joseph Molina* 0. Joseph Urbtua, D. Ant</t>
  </si>
  <si>
    <t>Francisco-Álvarez Sotomayor</t>
  </si>
  <si>
    <t>el Dominfi¿ii4ez y Vargas, D. Sántps Bembiela y Ricpjp. Manuel Solís y.Sovia, Don Braulio Otálora , D. Francisco-Alvarez Sotomayor , D. Joaquín Bóupmaii y Román, D. Agustín; Mqnzon,D. Francisco deja Torre, D. Joseph deí Camino,D. Francisco González Calderón, D. Luis Cavaleri y Ponce, Don Orberto Michelena, D.</t>
  </si>
  <si>
    <t>Francisco-Pascual</t>
  </si>
  <si>
    <t>oledo en la de González, Santos ; en Alcalá en la imprenta de López, y énGúadálaxara en la tiendadé D. Francisco-Pascual: en rústica: i 6 rs. EN L4t IMPRENTA REAL. &lt;j&gt;</t>
  </si>
  <si>
    <t>Francisco-Zapara</t>
  </si>
  <si>
    <t>Joaquín Iguazo y Ribera , D. Joseph Corbera y FallaVQ, Juan de OJano ,Don Fausto González Víüamil, D. Francisco-Zapara y:Pa/ra, í&gt;. Joseph Ahtran de la Torre , D. Marcelo Federici, D. Roque GWrqceta , D. Pedro ¿Je PqrfíSr y Escribano, D. Domingo Navarro y Torres , D. Juan Michelena y Moreno, D. Pedr</t>
  </si>
  <si>
    <t>FranciscoFaxardo</t>
  </si>
  <si>
    <t>, D. Joseph Abarca, Don Jdseph Díaz, D. Ignacio Luzon¿ D. Mariano Merchante, D. Christóbal Manzano, D. FranciscoFaxardo, D. Andrés Orozco, D. Miguel Duran, D. Cárlos Chinchilla, D&gt;. Antonio Texád a, D. Juan Ximenez, D. Ma^ nuél Díaz, D. Martilel Fprcarda, I&gt;. Manuel Teran, D. Joaquín Ribera^ D;; Pe</t>
  </si>
  <si>
    <t>FranciscoI Bárdenlos y Ay, Joaquín</t>
  </si>
  <si>
    <t>Joaquín FranciscoI Bárdenlos y Ay</t>
  </si>
  <si>
    <t>servido nombrar parad Deanato primerajsilla de la-catedral de Coria, vacante por fallecimiento de. D. Joaquín FranciscoI Bárdenlos y Ay ala, á D. Juan Romualdo Moreno y, Sanz, -Canónigo péniténciario de la misma iglesia, con 2® rs. de pensión á favor de la Real capilla de S. M. : para el Arcedianato de Valdeaybar,</t>
  </si>
  <si>
    <t>Francisco’Fidalgo, Joaquín</t>
  </si>
  <si>
    <t>Joaquín Francisco’Fidalgo</t>
  </si>
  <si>
    <t>iare¿ trabajada de orden del Rey por .lo* Capitanes"de Navio de su Real armada I&gt;. Cosme Churruca y D. Joaquín Francisco’Fidalgo,^y publicada por la Di-, reccion hidrográfica. Se hallará con las demas obras de esté establecimiento en la librería dé Aguilera, y en las compañías deGuirdiashiarínas de los depá</t>
  </si>
  <si>
    <t>Franck, General</t>
  </si>
  <si>
    <t>General Franck</t>
  </si>
  <si>
    <t>contra la ocupación de Passau hecha por los austríacos, y ha notificado su protesta al Obispo y al General Franck. Entre tanto^recibe refuerzos, y en breve podrá haCer frente4á los austríacos, que tienen ya una especie de ejército entre Passau y Salzburgo, y según indicios pretenden ocupar un</t>
  </si>
  <si>
    <t>Franco de la Vega, Tomás</t>
  </si>
  <si>
    <t>Tomás Franco de la Vega</t>
  </si>
  <si>
    <t>l de la Puebla de los Angeles, vacante por fallecimiento de Don Francisco Xavier Conde y Oquendo, á D. Tomas Franco de la Vega, Racionero de la propia iglesia: para esta Ración al Medio-Racionero Don Francisco de Paula y Rodríguez; y para esta Media-Ración á D. Urbano Antonio Díaz de las Cuevas. Asimismo</t>
  </si>
  <si>
    <t>Franco y Fr, Vicente Ignacio</t>
  </si>
  <si>
    <t>Vicente Ignacio Franco y Fr</t>
  </si>
  <si>
    <t>clase á D. Esteban Chaixy autor de otra memoria sobre el mismo objeto, y una carta de distinción á' D. Vicente Ignacio Franco y Fr, Desiderio del Valle, autores de doc escritos que concurriéron al premió , y.'la asignación de 200 rs. ofrecidos' por D. Francisco Tabares de Ulloá abpueblo de Musérois por haber</t>
  </si>
  <si>
    <t>Franco, Vicente Ignacio</t>
  </si>
  <si>
    <t>Vicente Ignacio Franco</t>
  </si>
  <si>
    <t>ra cuyo asunto concurriéron dos escritos. El premio de 200 rs* ofrecidos por D, Manuel de Velasco á D. Vicente Ignacio Franco , socio de mérito , y autor de la única memoria presentada sobre el modo de fomentar entre los labradores de este Reyno la cria de ganados lanar, va</t>
  </si>
  <si>
    <t>FrancteVo EscribanOrí</t>
  </si>
  <si>
    <t>771! pies, y está tasada en 90,900 Quien quiera hgeer mejora ó postura acudirá por la escribanía de D. FrancteVo EscribanOrí '' ‘ * *v'~</t>
  </si>
  <si>
    <t>Franeisco Peiis</t>
  </si>
  <si>
    <t>po de Guardias de Córps se ña servido promover el Rey á Cadete- de número al Cadete supernumerario* D. Franeisco Peiis, &gt; ' - ' úi--b -v&gt;¿ j &gt; S;«M. use)Hacinadopromover éii&gt;el regimiento dé IRéalés-Gúardias* Es-Í pañolasá :Capitaaal primer Ayudinté mayor Dv Jcftepli María dé Al6s| y en.el de Real</t>
  </si>
  <si>
    <t>Franf</t>
  </si>
  <si>
    <t>o Prieto Solares, D. Josepn Zuaznavar y Francia, D. Joseph Julián Jovani, D. Luis Moreno y Mendoza, D. Franf cisco Basurto y Vargas, D. Joseph de lá Azuela, P. Antonio Castaños, D. Ignacio Acedo, D. Francisco García González, D„ Francisco Xaviejr Pineda, D. Bartolomé Rodríguez de Arias,D</t>
  </si>
  <si>
    <t>Franlt</t>
  </si>
  <si>
    <t>ón llevan á su frente una lógica escogida y! otras materias, útiles, y concluyen con las notas deil Dr. Franlt. Se hallará en las librerías de Castillo y de la viuda de Cerro. Cartas- físico-químicas escritas en italiano por el Sr. Compagncui, y traducidas por D. Joseph Antonio Sabater y A</t>
  </si>
  <si>
    <t>Franqais de Nántes</t>
  </si>
  <si>
    <t>a Secretario general de laypropía dirección el: ciud. Sarletom Igualmente , los ciudadanos Franqais de Nántes, y Roederer, ambos Consejeros de Estado, están nombrados adjuntos del Ministro de lo Interior; el primero tendrá á su cargo el ramo de los gastos municipales d</t>
  </si>
  <si>
    <t>Fraocisco de EaulaSerra</t>
  </si>
  <si>
    <t>ciembre último examen público; de los caballeros Cade- ’ tes 4ei raimiento de infantería de Sevilla D. Fraocisco de EaulaSerra, Don</t>
  </si>
  <si>
    <t>FrariTcisco Peyrolpn</t>
  </si>
  <si>
    <t>iguióse la lectura del extracto de las actas desde el dia 17 de Diciembre de 1800 por el secretario D. FrariTcisco Peyrolpn^y, publicó la adjudicación del premio de una medalla de plata con el .nombre del premiado á D. Esteban Chaix, de S. Felipe , autor de una meníoria en que se describen todas las la</t>
  </si>
  <si>
    <t>Frats, Vicente</t>
  </si>
  <si>
    <t>Vicente Frats</t>
  </si>
  <si>
    <t>Ronda, endosado á este por la misma oficina de Renovación. Quien supiere de él avisará al expresado D. Vicente Frats , que vive calle de la Madalena baxa , frente al Sr. Marques de Ferales, núm. i8,quarto 2.0 . . , Dos Sres. Forest hermanos, de esta corte, re mi ti¿ron el de Junio último % D. Ve</t>
  </si>
  <si>
    <t>Fravega, Joseph</t>
  </si>
  <si>
    <t>Joseph Fravega</t>
  </si>
  <si>
    <t>bros*; y para completar este número nombró el Senado entre sus individuos á los ciudadanos Joseph Fravega* actual Ministro plenipórencforió'cerca dé la República francesa; Maguella, Ministro de policía; Balbi, comerciante, y Lussi, Ministro plenipotenciario en Fran</t>
  </si>
  <si>
    <t>Fray, Andrés</t>
  </si>
  <si>
    <t>Andrés Fray</t>
  </si>
  <si>
    <t>...... D. Manuel de la Peña. En Barcelona...... D. Ramón de Llordella é hijo. En B tíraos.......... D. Andrés Fray le. En Cádiz.............. D. Benito de la Piedra. En Cartagena....... D. Manuel de Ozores. En Ciudad-Real... D. Ramón Antonio Pico. En Córdoba.......... Sres. Barcia padre é hijo</t>
  </si>
  <si>
    <t>D. Estdban de V^aldivieíso. En Barcelona.......D. Ramón de Llordella é hijo» En Biírgos............ D. Andrés Fray le. En Cádiz............. . I). Benito de la Piedra. - En Cartagena-*..,... D. Manuel de Ozores. i En Ciudad-Real.*. D. Ramón Antonio Pico. - En Córdoba...... Sres. Barcia padre é</t>
  </si>
  <si>
    <t>Frayle, Andrés</t>
  </si>
  <si>
    <t>Andrés Frayle</t>
  </si>
  <si>
    <t>. D. Manuel de la Peña. , , En Barcelona....... D. Ramón de Liordella é hijo* En Burgos........... D. Andrés Frayle. En Cádiz................ D. Benito de la Piedra. En Cartagena........ D. Manuel de Ozores. , En Ciudad^Real... D. RamónAntonio Pico. En Córdoba........... Sres. Barcia padre é hi</t>
  </si>
  <si>
    <t>D. Estéban de Valdivielso. En Bdrcelona....... D. Ramón de Llordella é hijo. En Burgos....... ..... D. Andrés Frayle. En Cddtz...... D. Benito de la Piedra. En Cartagena........D. Manuel de Ozores. En Ciudad~Real... D. Ramón Antonio Pico. En Córdoba...........Sres. Barcia padre é hijo. En la Cor</t>
  </si>
  <si>
    <t>D. Estéban de Valdivielso. En Barcelona........D. Ramón de Llordella é hijo. En Burgos*........... D. Andrés Frayle. En Cádiz................D. Benito de la Piedra. En Cartagena....... D. Manuel de Ozores. En Ciudad-Real... D. Ramón Antonio Pico. En Córdoba........... Sres. Barcia padre é hijo.</t>
  </si>
  <si>
    <t>Fraylé, Andrés</t>
  </si>
  <si>
    <t>Andrés Fraylé</t>
  </si>
  <si>
    <t>....... D. Estéban de Valdivielso. En Barcelona..D. Ramón de Llórdella é hijo. En Biirgos........ . D. Andrés Fraylé. En Cádiz......... . D. Benito dé la Piedra. En Cartagena........D. Manuel de Ozores. En Ciudad-Beal... D. Ramón Antonio Pico. Én Córdoba......... . Sres. Barcia padre é hijo. En</t>
  </si>
  <si>
    <t>stéban de‘;Valdi vielso.;. En Barcelona^..... D. Ramón de Llordella é hijo. En Bttrgos........... . D. Andrés Frayle, ,&gt; , En Cda D. Benito de la Piedra. En Cartagena....... D. Manuel de Ozores. En Ciudad-Real-,. D. Ramón Antonio Pico. , En Córdoba......*... $res.. Barcia padreíé hijo. En la Cor</t>
  </si>
  <si>
    <t>Freyre, Benito</t>
  </si>
  <si>
    <t>Benito Freyre</t>
  </si>
  <si>
    <t>14a. ro. Id. Benito Freyre.............. . Manuel, LuciaGarrido...» Loirodeabaxo.Sobrado......... .98..27. Id. Gregorio Fernandez....... . Juan , Antonia</t>
  </si>
  <si>
    <t>Freyro de Silva, Manuel</t>
  </si>
  <si>
    <t>Manuel Freyro de Silva</t>
  </si>
  <si>
    <t>s y en casa del autor, y en Granada en la de Polo Castillo. Historia de la vida , prisión y fuga de D. Manuel Freyro de Silva en el siglo, y Fr. Manuel de S. Joseph en su religión, de nación portugués, de ilustre sangre y vasta literatura, que se sospechó fuese el duende de palacio, que empezó á manifestar</t>
  </si>
  <si>
    <t>Frías Altamirano, Cayetano</t>
  </si>
  <si>
    <t>Cayetano Frías Altamirano</t>
  </si>
  <si>
    <t>r en el regimiento de Reales Guardias Españolas á primer Teniente al segundo Teniente de granaderos D. Cayetano Frías Altamirano. En atención á los méritos y dilatados servicios del limo. Sr. D. Miguel de Mendinueta y Muzquiz ha venido S. M. en concederle plaza de Ministro de la Cámara. Asimismo ha nombrado</t>
  </si>
  <si>
    <t>Frías, Mateo</t>
  </si>
  <si>
    <t>Mateo Frías</t>
  </si>
  <si>
    <t>eficio de residencia de la parroquial de Santa Cruz de la ciudad de PalOía, diócesis de Mallorca, á D. Mateo Frías; para.;otro de la iglesia monacal de lá y illa de Bañólas-, obispado de Cierona i vacánt»! pbr muerte dé í&gt;- Juan Cástellar, í D. Jóséph Serquellaparau otroJ-dé 4auparroquia dé Ca</t>
  </si>
  <si>
    <t>Friay, Antonio</t>
  </si>
  <si>
    <t>Antonio Friay</t>
  </si>
  <si>
    <t>ara la Prestamera de Beteta, en la diócesis de Cuenca , vacante por renuncia de D. Mateo de Luna, á D. Antonio Friay: para el Beneficio Sacristía del lugar de Acebo, en la diócesis de Coria , vacante por muerte de D. Miguel Salgado , á D. Antonio Martin Escudero; y para el Beneficio simple de la</t>
  </si>
  <si>
    <t>Frieschicg</t>
  </si>
  <si>
    <t>S e despacháron dé aquí á Schwitz por diputados Mr. Fischer 9 Presidente de la junta de los Diez, y Mr. Frieschicg, para concertarse con la dieta de aquella ciudad sobre el partido que debía tomarse en las actuales circunstancias. Volviéron los diputados el dia 13, y lian traído orden al Ge— n</t>
  </si>
  <si>
    <t>Froylan de Robles</t>
  </si>
  <si>
    <t>lena... 32. 31. Id. Froylan de Robles.............. Manuel, Isabel Alonso....... Gallegos.......... León.......... 276. 6. Licenciado. Alonso Román..................... Alon</t>
  </si>
  <si>
    <t>Fructuoso Cariñena</t>
  </si>
  <si>
    <t>larte. En la segunda D. Romualdo Merino» D. Nicolás Casaba!, Dpn Nicolás Ramírez, D. Lucas de Soto, D. Fructuoso Cariñena, D* Patricio Gómez, D. Manuel Martínez-, D. Dionisio Pinedo, D. HemeterioMdtetio* D. Anacleto Orbañanos, D. Gerardo Moreno, D. Braulio Martínez, Don Vicente Heras y D. Valentín Gu</t>
  </si>
  <si>
    <t>Frutos Fontáa</t>
  </si>
  <si>
    <t>...... $08. 23. Id. Frutos Fontáa................. Isidro , Francisca Vidal.... S. Román.... León.............. soi. i2. Id. Cadete D. David Díaz........ D. Pedro, Doña Isabel Evia. Mieres........... Oviedo....</t>
  </si>
  <si>
    <t>Frutos Mansera</t>
  </si>
  <si>
    <t>...... 134. 27. Id. Frutos Mansera.................... Bernardo, María Bodero.. Arevalo........ Arevalo......... roo. 33. Id. Pedro Alvarez..................... Josef, Antonia Gonzaiez.. Pació........... Sobrado...</t>
  </si>
  <si>
    <t>Fstéban Carracedo y Quíntela</t>
  </si>
  <si>
    <t>a una Canoneía de la citada metropolitana, vacante por muerte de D. Juan Antonio Serrano Mañero , a D. Fstéban Carracedo y Quíntela, Cura de la parroquia de San Pedro de Bordones, en aquel obispado: para la Dignidad Cardenalicia, vacante cr ia expresada metropolitana por fallecimiento de D. Agustín Vito*ero’ *</t>
  </si>
  <si>
    <t>Fu, Manuel</t>
  </si>
  <si>
    <t>Manuel Fu</t>
  </si>
  <si>
    <t>Camba -y Leys, D. Salvador Escandon y Antayo, D. Asiutin Maldonadoy Piméntel,:D. Miguel del Busto, D. Manuel Fu-* ne?&gt;, IX Vicente Burragi, D. Manuel Echevarría, D. Miguel Tacón, Don ~ T' ^ ü*t:—Ívnr/lííín . h/Hípon flp TnrD. Meliton Fere* del tamino, u. Ignacio uc..vi4u^ teo Alendólo Vologo</t>
  </si>
  <si>
    <t>Fuentes, Ángel</t>
  </si>
  <si>
    <t>Ángel Fuentes</t>
  </si>
  <si>
    <t>cio de; la Luz, D. Francisco Sánchez, p. Joseph Aymericb, D. Jacobo Dubrevil , D. Francisco Robles; D. Angel Fuentes, Di Diego Escovar, D. Bartolomé Cucalón, D. Diego:Niet&lt;&gt;,D. Manuel de Muro, D. Francisco Ixart ,¿0. Miguelde CastroAjaoz, p. Juan Ramirez, Do* Fernando Amador , D. Juan Clark, fif</t>
  </si>
  <si>
    <t>Fuentes, Simón</t>
  </si>
  <si>
    <t>Simón Fuentes</t>
  </si>
  <si>
    <t>1026 Toledo, D. Antonio Moreno, D. Juan Aldrete, D. Joseph Dupré, D. Simón Fuentes, D. Manuel de Madrigal, D. Narciso Bernales; D. Fernando Orive, D. Francisco de Castro,.D. Francisco Mexia, D. Juan Joseph Indafmtu, D. .Juan Fatqués, ,t I&gt;. Manuel Dambrihe, D. F</t>
  </si>
  <si>
    <t>Fuero, Francisco Antonio</t>
  </si>
  <si>
    <t>Francisco Antonio Fuero</t>
  </si>
  <si>
    <t>. Pedro María de Marimon y Bail: para una Canongía de la catedral de Cuenca , vacante por muerte de D. Francisco Antonio Fuero, á D. Joseph Gil Santibañez, Canónigo de la colegiata de la Coruña: para otra de la misma iglesia, vacante por fallecimiento de D. Juan Ramón Recarte, a D. Antonio Moreno Ximenez</t>
  </si>
  <si>
    <t>Fuersman, Coronel</t>
  </si>
  <si>
    <t>Coronel Fuersman</t>
  </si>
  <si>
    <t>o en sus haciendas del Ducado de Holstein; dexa el despacho de los negocios de Embaxada á cargo del Coronel Fuersman. La esquadra bátava surta en Flesinga ha recibido ya los pasaportes ingleses , y no tardará en salir para su destino. A la ciudad de Orangestein, en donde actualmente reside el Pr</t>
  </si>
  <si>
    <t>Fuertes, Miguel</t>
  </si>
  <si>
    <t>Miguel Fuertes</t>
  </si>
  <si>
    <t>206. 19. Presidio. Miguel Fuertes................ . Juan, Manuela Garda. Gijon.............. Oviedo....... 367. 13. Licenciado. Cabo i." Miguel Guerrero..</t>
  </si>
  <si>
    <t>Fuertes, Pedro</t>
  </si>
  <si>
    <t>Pedro Fuertes</t>
  </si>
  <si>
    <t>ph Cia y D. Joseph Gaitan de Avala. En las humanidades y retórica, baxo la dirección de su profesor D. Pedro Fuertes, los seminaristas D. Antonio Gilmán, D. Iñigo Ortes de Velasco y D. Joseph María Ortés de Velasco. En matemáticas, baxo la dirección de sus dos profesores D. Joseph Antonio de Oje</t>
  </si>
  <si>
    <t>an de Avala, D. Agustín Duran y D. Alonso Alvarado. En humanidades y retórica, baxo la dirección de D. Pedro Fuertes, D. Iñigo Ortes de Velasco, D. Joseph Alaría Ortes de Velasco, D. Antonio Giiman, Don Juan Bautista Cerain y D. Joaquín Fernandez Medrano. En gramática castellana, baxo la direcci</t>
  </si>
  <si>
    <t>Fühés V Morillo, Pedro</t>
  </si>
  <si>
    <t>Pedro Fühés V Morillo</t>
  </si>
  <si>
    <t>eph de Posada* y Castilla^ D. MigüeldeVá-^ randicaylX Marcos Betancourt, D. Gerardo Morphry Connan, D. Pedro Fühés V Morillo, D: LoptfFtíúes ^í^íorifjló * D. ¡Andrbs Allende Salazar, D: Lorenzo dé Parra y VÚlalba-, D; Ramón Matsia y Páger* D. Antonio Carbonera y Masa, D. Jóseph;¿e Colmenares, D. Lorenzo</t>
  </si>
  <si>
    <t>Funguion, Marcos</t>
  </si>
  <si>
    <t>Marcos Funguion</t>
  </si>
  <si>
    <t>Joaquín de Rayas?, P. Nicolás Guascoñi, D. Mariano Vives, Don Juan de la Garma j D. Miguel Plowes, D. Marcos Funguion, D. Bernardo■ Tacón, D. Joseph Tacón, D. Francisco Boneo, D. Félix Gastambide, y D. Antonio Cortada, Madrid 1$ de Octubre. E 1 Rey se ha dignado nombrar para la Vara de Alcalde ma</t>
  </si>
  <si>
    <t>Fusly</t>
  </si>
  <si>
    <t>mann al ciud. DoUer, y por primer Stathalter al ciud. Kutiman, y por segundo al ciud. Fusly.</t>
  </si>
  <si>
    <t>Fussli</t>
  </si>
  <si>
    <t>de haber procedió á la elección ae otro Senador, y recayó el nombramiento en el ciud. Fussli, de Zurich. Según las últimas noticias del Valais el General francés Turreau está mandando en aquel país en fuerza de órdenes superiores. El ciud. Petiet, nuev</t>
  </si>
  <si>
    <t>Gabrielde Echagoyen</t>
  </si>
  <si>
    <t>rcelona, donde dice Sr. Conde Se/TUttico^ léase Salvatico. - ' Con fecha de 14 de Setiembre remitió D. Gabrielde Echagoyen, de Cádiz, áDon. Joseph Agustín de Átalay , de S. Sebastian ,-diez vales de á 300 pesos y uno de ÓCO dé Mayo,y otro tambien-de 6oo‘pesos de Enero,mims. 497,609,495,004,487,139, 47</t>
  </si>
  <si>
    <t>Gadéa y Fernández de Arbina, Diego</t>
  </si>
  <si>
    <t>Diego Gadéa y Fernández de Arbina</t>
  </si>
  <si>
    <t>z del Corro y los Ríos ,D. Felipe Villavicencioy Rodríguez de Aria , D. Nicolás Enrile y Desportes, D. Diego Gadéa y Fernandez de Arbina, D. Rafael de la Iglesia y Darrac ,D. Manuel Villavicencio y Garcés, D. Francisco de Hoyos y Laraviedra, D. Mariano Martínez y Vega, D. Gerónimo Fernandez dé Fuenmaybr, D. Alezo P</t>
  </si>
  <si>
    <t>Gagarin, Príncipe</t>
  </si>
  <si>
    <t>Príncipe Gagarin</t>
  </si>
  <si>
    <t>iones, y en. Charlestown 105 , sin contar los barcos de la costa. P'etersburgo 23 de Diciembre. E 1 Príncipe Gagarin, Ministro de comercio, y Xefe del banco de préstamos de esta capital, ha pedido y alcanzado su dimisión. Dícese que el Conde de R ornanzoff será su sucesor. El Emperador de Aleman</t>
  </si>
  <si>
    <t>griega y latina. Estos manüscritos se depositaránenelVaticano. I i Ha llegado aquí .de. Ñapóles el Príncipe Gagarin&gt;lqúéha sido Erabajca1 dór de Rusia cerca del Réy de Cerdeña* .j*; rt,*■ • - &gt; ^ : Hállanse. también en esta capitalíel Generál Fox y otros oficiales ingleses que vuelven de Malta.</t>
  </si>
  <si>
    <t>Gail</t>
  </si>
  <si>
    <t>ellas , y podría hacerse una comparación de su estado y progresos en Europa. El ciud. Gail, catedrático de literatura griega en él colegió Re Francia, se disponía á enviar su última obra á su maestro y amigó Vauvilíérs, que estaba en Petersburg© qUan</t>
  </si>
  <si>
    <t>Gainza, Miguel</t>
  </si>
  <si>
    <t>Miguel Gainza</t>
  </si>
  <si>
    <t>D. Francisco Mendez de Vigo, á Don Manuel Martin: para otra, vacante en la de Málaga por muerte de D. Miguel Gainza, á D. Domingo de la Casa: para la Prestamera de la parroquia de Tresjuncos, en la diócesis de Cuenca, vacante por fallecimiento de D. Francisco Nuñez, á D. Juan Antonio Valdivia,</t>
  </si>
  <si>
    <t>Gaitan, Joseph</t>
  </si>
  <si>
    <t>Joseph Gaitan</t>
  </si>
  <si>
    <t>erganza, D. Luis Vidarte, D. Joachín del Rio, D. Francisco 1 respalacios , D. Francisco ÍNecochea , D. Joseph Gaitan , D. Mariano Zapata , D. Agustín y D. Luis Duran. Presentaron por último los car-l tapados de dibuxo natural y de arquitectura civil trabajados baxo la dirección de su maestro D.</t>
  </si>
  <si>
    <t>Galdiáno, Joseph María</t>
  </si>
  <si>
    <t>Joseph María Galdiáno</t>
  </si>
  <si>
    <t>la antigüedad que tenia en igual plaza de la referida Audiencia de Valencia; y para esta* resulta á D. Joseph María Galdiáno-; para ía otra qué queda Tacante en el mishto tribunal de Valencia, poi &gt;rómocíon del expresado Villafañe, á DiJosephMaríaMáne^táu; y para Í a de Oidor de la Audiencia de Mailorca</t>
  </si>
  <si>
    <t>Galdos, Ventura</t>
  </si>
  <si>
    <t>Ventura Galdos</t>
  </si>
  <si>
    <t>. 7. Id. . Ventura Galdos....... Miguelearía Gil............... Búrgos........ Búrgos. ..... 4^9* 9* Id* Miguel Cañón.......... Henriq^e, Manu</t>
  </si>
  <si>
    <t>Galietero, Joaquín</t>
  </si>
  <si>
    <t>Joaquín Galietero</t>
  </si>
  <si>
    <t>...... 465. 21. Id. Joaquín Galietero.......... Madrid......... Madrid...... 757. 32. Id. Andrés Gómez............. Manquillos</t>
  </si>
  <si>
    <t>Galiitzin, Príncipe</t>
  </si>
  <si>
    <t>Príncipe Galiitzin</t>
  </si>
  <si>
    <t>ercantes nacionales. Se ha hecho con mucha ostentación la, ceremonia de bendecir el hospital que el Príncipe Galiitzin, Embaxador que fue de Rusia en Viena, ha fundado en Moskow para 400 enfermos, y ai qual señalo cuantiosos fondos. El cadáver del Príncipe fundador se llevo de Viena á Moskow, y se</t>
  </si>
  <si>
    <t>Galindo, Juan</t>
  </si>
  <si>
    <t>Juan Galindo</t>
  </si>
  <si>
    <t>de Gravina. En el Real cuerpo de Artillería ha conferido S. M. el empleo de Teniente al Subteniente D. Juan Galindo; y el de Subteniente de minadores del quarto batallón á D. Christóbal Pomar. En el regimiento de caballería de España se ha servido promover el Rey á Portaestandarte al Cadete D.</t>
  </si>
  <si>
    <t>Galisteo y Xiorro, Félix</t>
  </si>
  <si>
    <t>Félix Galisteo y Xiorro</t>
  </si>
  <si>
    <t>París, socio de la academia de las ciencias, y de las bellas letras y artes de Rúan; traducido por D. Félix Galisteo y Xiorro , profesor de cirugía ea esta corte : tercera edición. Véndese en la librería de Fernandez , frente á las gradas de S. Felipe. El alma al pie del Calvario considerando los torment</t>
  </si>
  <si>
    <t>Gallardo, Bartolomé</t>
  </si>
  <si>
    <t>Bartolomé Gallardo</t>
  </si>
  <si>
    <t>ría de milicias de Voluntarios de Cartagena ha nombrado S. M. Teniente al Subteniente de granaderos D. Bartolomé Gallardo; Subteniente de granaderos al de fusileros D. Joseph Ramón de Isla, y Subteniente de bandera á D. Joseph Esteban Mendez. También ha conferido el Rey en el batallón Auxiliar ael Nu</t>
  </si>
  <si>
    <t>Gallarza, Antonio</t>
  </si>
  <si>
    <t>Antonio Gallarza</t>
  </si>
  <si>
    <t>el regimiento de caballería de Calatrava se ha servido el Rey promover á Portaestandarte al Cadete D. Antonio Gallarza. S. M. se ha servido conceder el empleo de Contralor provincial de artillería de Cataluña al Comisario honorario de Guerra D. Francisco de Olea. S. M. se ha servido nombrar para e</t>
  </si>
  <si>
    <t>Gallatin Secretario, Alberto</t>
  </si>
  <si>
    <t>Alberto Gallatin Secretario</t>
  </si>
  <si>
    <t>to una larga conferencia con S. M. en el palacio de S. James. De la ciudad de Washington avisan que Mr. Alberto Gallatin Secretario de la tesorería de los Estados-Unidos, comunicó al Presidente de la Cámara de representantes en oficio de 18 de Diciembre, que las rentas del estado bastarán para pagar en 8 años 32 mil</t>
  </si>
  <si>
    <t>Gallego, Andrés</t>
  </si>
  <si>
    <t>Andrés Gallego</t>
  </si>
  <si>
    <t>do y presenciado la nueva inoculación, por la qual ha defendido conclusiones en est§ universidad; y D. Andrés Gallego, Mp4?p° del Cabildo, que después de experimentaría en 54 mismo, ha excitado y dirigido á muchos para que la prafticasen. Afadrid 10. de Agosto. C on fecha de 4 de este mes ha comu</t>
  </si>
  <si>
    <t>Gallegos, Bernardo</t>
  </si>
  <si>
    <t>Bernardo Gallegos</t>
  </si>
  <si>
    <t>e fusileros al Teniente de granaderos t); Joseph Gallegos; á Teniente de granaderos al de fusileros D. Bernardo Gallegos; á Teniente de fusileros al Subteniente de granaderos D. Lorenzo del Corral; á Subteniente de granaderos al de fusileros D. Ignacio de Ugar</t>
  </si>
  <si>
    <t>Gallegos, Pedro</t>
  </si>
  <si>
    <t>Pedro Gallegos</t>
  </si>
  <si>
    <t>ervido nombrar para la Dignidad de frescuela de la catedral ael Cuzco, vacante por fallecimiento de D. Pedro Gallegos, á D. Juan de Dios Pereyra, Dignidad de Tesorero dé la misma; y para esta á D. Francisco Xavier de Aldazabal, Canónigo Magistral de la propia iglesia. El Rey se ha servido concede</t>
  </si>
  <si>
    <t>Gallo, Cardenal</t>
  </si>
  <si>
    <t>Cardenal Gallo</t>
  </si>
  <si>
    <t>ública francesa, que en breve lo enviará á Paris. De resultas de un insulto apoplético ha muerto el Cardenal Gallo, Obispo de Viterbo; y está muy enfermo el Cardenal Zelada. Florencia u de Diciembre. E 1 ciud. Pareto, Enviado de la República Iiguriana en esta corte, ha sido presentado ai Rey,</t>
  </si>
  <si>
    <t>Gallois</t>
  </si>
  <si>
    <t>facciones y partidos que obran en sentido contrarió. Compárese el discurso del ciud. Gallois $on los de Windham y dé Grenviile; y el tono de moderación y de prudencia en que se explican los escritores franceses, con el estilo furioso y mal intencionado</t>
  </si>
  <si>
    <t>Gandía, Fernando</t>
  </si>
  <si>
    <t>Fernando Gandía</t>
  </si>
  <si>
    <t>Romero, D. Antonio Romero, D. Esteban Dupré, dé granaderos, y D. Antonio dé Torres; y á los Cadetes D. Fernando Gandía y D. Ramón Quiñones : éri el cíe Milicias dé caballería de la misma plaza ha promovido S. M. á Capitan de Carabineros; al Cap itan del propio cuerpo D. Juan de Medina; á Ayudante mayo</t>
  </si>
  <si>
    <t>Gantheaume, Almirante</t>
  </si>
  <si>
    <t>Almirante Gantheaume</t>
  </si>
  <si>
    <t>ayer la relación del Capitán Hallowell, que mandaba el navio Swiftsure quando lo apresó el Contra- Almirante Gantheaume. Concluye la noticia de aquel combate diciendo que el Almirante francés y toda su oficialidad trataron con el mayor miramiento y atenciomá los oficiales ingleses; que el General d</t>
  </si>
  <si>
    <t>arse al primer Cónsul. Paris gi de Enero. L as últimas cartas de Tolon expresan que la esquadra del Almirante Gantheaume saldrá de aquel puerto al primer viento favorable. En cada uno de sus navios van 400 ó 500 hombres de tropas. Se ha publicado en el Monitor de ayer el siguiente artículo de León c</t>
  </si>
  <si>
    <t>de la esquadra de Tolon, que según dicen ha pasado ya el estrecho de Gibraltar al mando del Contra-Almirante Gantheaume, aumenta los rezelos que tienen aquí algunas personas sobre la reunión de unas fuerzas navales tan considerables en América. Según las últimas noticias de Malta quedaba el General</t>
  </si>
  <si>
    <t>ertes, é incendiáron la ciudad.—Habiendo entrado en el Cabo el 11 de Febrero la división del Contra-Almirante Gantheaume, mandé que partiera al dia siguiente el’ navio Bart con un socorro de 400 hombres para el Puerto dé Ja Pdz. Dos días ántes había yo despachado Ja Mignone al Contra-Almirante M&amp;gon</t>
  </si>
  <si>
    <t>e Navio, que salió ayer de aquí, lleva á Paris muy buenas noticias.” „ Brest ig de Abril. El Contra-Almirante Gantheaume al Ministro de -Marina. Al cabo de 36 dias ha llegado aquí sin novedad desde Sto. Domingo la esquadra de mi mando. No hay noticias posteriores á las que ha traído el Cisalpino.” E</t>
  </si>
  <si>
    <t>use al Ministro de Marinaescrita el &amp; de Marzo en la rada de Cabo-Francés. ,,Quando la división del Almirante Gantheaume se disponia á dar la vela, entró en la rada la fragata Cornelia de vuelta de Jamayca. El Almirante ingles Mr. Juan Duckworth recibió con mil atenciones al Capitán Villemandrin, y</t>
  </si>
  <si>
    <t>Gantheaume, General</t>
  </si>
  <si>
    <t>General Gantheaume</t>
  </si>
  <si>
    <t>Santos, derrotando completamente á los negros. En la división que ha llegado de Tolon al mando del General Gantheaume han venido mas de 3® soldados. El navio de línea Juan-Bart, que es uno de los de la mencionada división, se despachó el mismo dia de su llegada (que fué el 16) con un encargo part</t>
  </si>
  <si>
    <t>Garaboa, Carlos</t>
  </si>
  <si>
    <t>Carlos Garaboa</t>
  </si>
  <si>
    <t>n..... 109. 13. Id. Cárlos Garaboa.................... Francisco, VicentaMontey* S. Pedro de ga....................................... Mesa.............. Galicia......</t>
  </si>
  <si>
    <t>Garay, Ramón</t>
  </si>
  <si>
    <t>Ramón Garay</t>
  </si>
  <si>
    <t>s y bazo: 1 villancicos i soló y ¿ 5 al mismo augusto Sacramento, con dos víolines y bazo: todos de D. Ramón Garay, Racionero y maestro de Capilla de la santa iglesia de. Jaén: a arias célebres i los mismos misterios (de tiple) para cantar con teda orquestra; la 1.* de Paisiello, y la a.4 de G</t>
  </si>
  <si>
    <t>Garcés, Gregorio</t>
  </si>
  <si>
    <t>Gregorio Garcés</t>
  </si>
  <si>
    <t>ellana , expuesto en el propio y vario uso de sus partículas , nombres y verbos ; por el presbítero D. Gregorio Garcés,impreso á expensas de la Real academia española: dos tomos en 4.0 enquadernados en uno. Véndese en las librerías de Ranz, calle de la Cruz, de Baylo, calle de las Carretas, y de E</t>
  </si>
  <si>
    <t>Garces, Manuel</t>
  </si>
  <si>
    <t>Manuel Garces</t>
  </si>
  <si>
    <t>la plata, y sobre los efectos útiles ó perjudiciales que pueden resultar del derecho de señoreage; D. Manuel Garces, de primer año, sobre el comercio dé granos, establecimiento de graneros públicos, y los inconvenientes dél sistema ingles de gratificar la exportación, y D. Liborio Miráilés , de</t>
  </si>
  <si>
    <t>Garcés, Manuel</t>
  </si>
  <si>
    <t>Manuel Garcés</t>
  </si>
  <si>
    <t>432. 31. Id. Manuel Garcés................................. ............................... .. 41. *8. Id. Andrés García............... Tornas^ María Orija..... .. Madrid....</t>
  </si>
  <si>
    <t>García Anzaldo, Joseph</t>
  </si>
  <si>
    <t>Joseph García Anzaldo</t>
  </si>
  <si>
    <t>numerario de la misma Real Casa á D. Henríque Buenaventura Azorin: para 2.0 de esta clase en ella á D. Joseph García Anzaldo: para Oficial mayor de la Contaduría de la citada Real Casa á Don Joseph Antonio Mauleon: para Oficial 2.0 de la Contaduría de la Administración del Tabaco del arzobispado de Méxi</t>
  </si>
  <si>
    <t>García Asensio, Miguel</t>
  </si>
  <si>
    <t>Miguel García Asensio</t>
  </si>
  <si>
    <t>e la obra. , : Xérxesr tragedia del Abate D. Francisco Xavier Bettineli, traducida del italiano por D. Miguel García Asensio. Véndese á 4 rs. en las librerías de Sanchas, calles del Lobo y del Príncipe. Poesías del Mtro. González, de la orden de S. Agustín: contiene todas las obras sueltas de este grand</t>
  </si>
  <si>
    <t>García Buelia, Pedro</t>
  </si>
  <si>
    <t>Pedro García Buelia</t>
  </si>
  <si>
    <t>ros , en la diócesis de Calahorra, vacante por Ldlecii’nientc' de D. Joseph Pablo de Ríbadeneyra, á D. Pedro García Buelia, con retención-dei Préstamo de la villa de Mouzon que obtiene. En el regimiento■ .de. infantería- de- Sahoya se, Jia .servido promover el</t>
  </si>
  <si>
    <t>García Camarena, Christóbal</t>
  </si>
  <si>
    <t>Christóbal García Camarena</t>
  </si>
  <si>
    <t>cado á nuestros vasallos que siiven en la marina.” Manzanares 27 de Marzo. D on Christóbal García Camarena, cirujano de esta villa, con vivos de</t>
  </si>
  <si>
    <t>García Campos, Juan</t>
  </si>
  <si>
    <t>Juan García Campos</t>
  </si>
  <si>
    <t>nca, áD. Felipe de Villalobos ‘/para otra de la catedral de Sigiienza, vacante por fallecimiento de D. Juan García Campos, á D. Fernando Blaneó Cordero:'para una Ración de la colegial de* Baza, en la diócesis de Guadix, vacante por promoción de D. Antonio Mancebo á la Dignidad de Arcipreste de la cat</t>
  </si>
  <si>
    <t>García Carrasco, Francisco</t>
  </si>
  <si>
    <t>Francisco García Carrasco</t>
  </si>
  <si>
    <t>uenda. En el Real cuerpo de Ingenieros del exército ha promovido S. M. á en xefes á los en segundos D. Francisco García Carrasco y D. Juan Tomas de Córdoba; y á extraordinario al Ayudante D. Manuel de Hita. En América. En el regimiento de infantería de JaHavana ha promovido el Rey á Capitanes al Teniente de gra</t>
  </si>
  <si>
    <t>García Cavero, Vicente</t>
  </si>
  <si>
    <t>Vicente García Cavero</t>
  </si>
  <si>
    <t>ra, vacante por. asceaso del referido D. Juán Francisco Xavier González Calderón á Oidor de ella, á D. Vicente García Cavero ; y .para la de. Alcaide delGonsejo deíNavarra, vacante por la promoción de D* Pascual Rodríguez de Arellano ¿ á D. Juan Angel Morales de&gt; Illescas. f ab XartibienXradoneedído;rS.</t>
  </si>
  <si>
    <t>García Cíñeris, Domingo</t>
  </si>
  <si>
    <t>Domingo García Cíñeris</t>
  </si>
  <si>
    <t>1043 cual Enrile y Alcedo, JL&gt;. Apanino rrieiu y uc •&lt;«. ______ _______ aalez Porras, D. Domingo García Cíñeris, D. Rafael Trillo, D. Pedro Palacio y Santibañezj D. Joseph Riiiz de Corrazar, -D. Guillermo Bosichi y Moyano, D. Ildefonso de Roxas y Róx2s, D. Nicolás Otero y Figueroa, D. Josep</t>
  </si>
  <si>
    <t>García Conde, Antonio</t>
  </si>
  <si>
    <t>Antonio García Conde</t>
  </si>
  <si>
    <t>os Coroneles: en España. D. Joaquín Ferrandiz, el Marqués de Lazan, D. Juan Magín, el Conde Colona, D. Antonio García Conde , D. Fernando Saavedra, D. Juan Amiant, D. Baltasar de Béllét * 0. Joseph Craiwinckel, D. Joseph Augusto S e la Porte, D. Juan Chrisóstomo de la Llave, el Condé de Castroterreño*</t>
  </si>
  <si>
    <t>García Conde, Diego</t>
  </si>
  <si>
    <t>Diego García Conde</t>
  </si>
  <si>
    <t>Manuel Benisia, D. Manuel Cevallos, D. Pedro Fabregues, D. Agustín Ramírez, D. Joseph María Abate , D. Diego García Conde, D* Francisco Frías,-D. Manuel Pastor, D. Pedro Quevedo, Don Juan de Villanueva, D. Domingo.de Aragón , D. Andrés Ximenez, Doti Tomas de Figueroa, D. Juan Francisco Sánchez, D. Ju</t>
  </si>
  <si>
    <t>García Condes Antonio Álvarez Ximenez, Alexo</t>
  </si>
  <si>
    <t>Alexo García Condes Antonio Álvarez Ximenez</t>
  </si>
  <si>
    <t>Sabido de Vargas, D. Joseph Salvador, D. Francisco Muñoz y San Clemente , D. Juan Antonio de laMata,D. Alexo García Condes Don Antonio Alvarez Ximenez, y D. Manuel Salcedo. A grado de Coronel los Tenientes Coroneles! en España. D. Mateo Iruegas, D. Narciso Belloc, D. Agustra del Campo, Don Pedro Darsens, D. Francisco Tirado, D.</t>
  </si>
  <si>
    <t>García de Árrieta, Agustín</t>
  </si>
  <si>
    <t>Agustín García de Árrieta</t>
  </si>
  <si>
    <t>a y completada Con suplementos, y los correspondientes apéndices sobre la literatura española , por D. Agustín García de Árrieta, de la biblioteca de los Reales estudios : tomo ó;°: trata de los géneros de literatura en prosa, y particularmente de la oratoria, y sale ilustrado con un discurso sobre la neces</t>
  </si>
  <si>
    <t>García de la Madrid, Miguel</t>
  </si>
  <si>
    <t>Miguel García de la Madrid</t>
  </si>
  <si>
    <t>dan.por ellas 385.500 rs.,acuda ante el Sr .Alcalde I}.Miguel Munarriz,y escribanía de provincia de Don Miguel García de la Madrid, en el término de 30 dias, contados desde el 16 de este mes. Don Joseph Lazcano,sus herederos,a por falta de estos los de su hermano Don Joaquín, que por los años de 1750 y 55 pas</t>
  </si>
  <si>
    <t>García de Orozco, Joseph</t>
  </si>
  <si>
    <t>Joseph García de Orozco</t>
  </si>
  <si>
    <t>o Vives ; y la del referido segundo de Cataluña ál Capitán primero del primer batallón de Barcelona D. Joseph García de Orozco. El Consejo , á consulta de la Comisión gubernativa de consolidación dé Wleh, y con aprobación de S. M~, ha acordado la quadrageslm.-íeptima amortización de 63 5 Vales de 600 peso</t>
  </si>
  <si>
    <t>García de Quesada, Joseph</t>
  </si>
  <si>
    <t>Joseph García de Quesada</t>
  </si>
  <si>
    <t>Olmedilla, D. Francisco Zalváburu , D. Joseph de Lama y Montes , D. Joseph Fernandez de las Peñas 9 D. Joseph García de Quesada, D. Vicente Rodrigo y Ros, D. Luis de la Gándara, D. Juan de la Cagiga, D.. Joseph de la Cagiga, T), Vicente de Lama y Montes, D. Francisco Herrera y Bustamante, Don Joseph de Cas</t>
  </si>
  <si>
    <t>García de Roa, Antonio</t>
  </si>
  <si>
    <t>Antonio García de Roa</t>
  </si>
  <si>
    <t>eph Sánchez: léase ZX Juan Joseph Margado. jíviso al público de drden del ministerio de Hacienda. ,,D. Antonio García de Roa, Contador honorario de exércitó, y .Administrador general de todas Rentas de esta provincia de Madrid. Certificp que el Excmo. Sr. D. Miguel Cayetano Soler me ha comunicado en 13</t>
  </si>
  <si>
    <t>onio Gri jal va y Verdes. Atendiendo él Rey á los méritos y recomendables servicios queha contraído D. Antonio García de Roa, Administrador general de todas rentas de lá provincia dé Madrid , en este destino y los demás qué han estado á sil cargo, (Séha servido concederle' los honores de Intendente de P</t>
  </si>
  <si>
    <t>García de Tcvar, Diego</t>
  </si>
  <si>
    <t>Diego García de Tcvar</t>
  </si>
  <si>
    <t>es parará el perjuicio que haya lugar en derecho, pues por auto de 7 de este mes así se ha mandado. Don Diego García de Tcvar, Procurador de los Reales Consejos , desea saber «1 paradero de D. Alvaro de Figueroa, poseedor de cierto mayorazgo en México* para comunicarle algunas noticias que le pueden ser</t>
  </si>
  <si>
    <t>García de Tomás, Félix</t>
  </si>
  <si>
    <t>Félix García de Tomás</t>
  </si>
  <si>
    <t>rio Lope*. Quien lo haya hallado io remitirá en dicha viila de la Solana, provincia de la Mancha, á D. Félix García de Tomas, Regidor perpetuo, ó en esta corte á D. Bernabé Nicolás Martínez, calle de la Concepción, frente á ia botillería , encima del mesón, casa sin número, 4.0 piso. A Doña Joachina Cue</t>
  </si>
  <si>
    <t>García de Yebra, Sebastián</t>
  </si>
  <si>
    <t>Sebastián García de Yebra</t>
  </si>
  <si>
    <t>ero 'D. Manuel Pradillo Botija, se ha mandado citar y emplazar los’acreedores á la testamentaría de D. Sebastian García de Yebra, Alcalde mayor que fué de dicha villa, para que en el término de 30 dias perentorios concurran á deducir su derecho en ella ; con apercibimiento de que pasado el término sin haber</t>
  </si>
  <si>
    <t>García del Castillo, Ignacio</t>
  </si>
  <si>
    <t>Ignacio García del Castillo</t>
  </si>
  <si>
    <t>s taburetes rasos para los dos Capellanes de Honor que sirviéron de asistentes diaconales, y fuéron D. Ignacio García del Castillo y D. Francisco Xavier Cano. Entre el altar y la mesa que servia de credencia se puso un banquillo para el Maestro de ceremonias D. Ramón de Oñate y Burgo; y detras de aquellos asiento</t>
  </si>
  <si>
    <t>García Domenecft, Joaquín</t>
  </si>
  <si>
    <t>Joaquín García Domenecft</t>
  </si>
  <si>
    <t>de su difunto director el Excmo. Sr. Conde de Campománes ; y leyó su elogio académico el individuo D. Joaquín García Domenecft, con aplauso del numeroso concurso , compuesto ae personas de la primera condecoración y literatura de codas las clases de la corte. La noche del 17 al *8 de Agosto se echáron ét</t>
  </si>
  <si>
    <t>García Domínguez, Joachín</t>
  </si>
  <si>
    <t>Joachín García Domínguez</t>
  </si>
  <si>
    <t>servido nombrar para la Dignidad de Chantre de la catedral de Orense , vacante por fallecimiento de D. Joachín García Domínguez, á D. Francisco Antonio Solís y Leis, con retención de la Canongía que obtiene en la misma catedral; y para el Beneficio simple de la villa de Arjona, diócesis de Jaén, vacante po</t>
  </si>
  <si>
    <t>García Flores, Xavier</t>
  </si>
  <si>
    <t>Xavier García Flores</t>
  </si>
  <si>
    <t>o de Terán, D. Vicente Vázquez, Don Juan Vázquez, D. Manuel Quiroga y Cornide, D. Gonzalo4H¿1 Lema, D. Xavier García Flores, D. Rosendo Abal, D. Juan Joseph. Navajas, D. Juan Patricio Rodríguez, D. Joseph Benito Romero, D. Joaquín de Ponte, D. Joseph Molina, D. Lázaro de Avila, D. Baltasar Calvache, Do</t>
  </si>
  <si>
    <t>García González, Francisco</t>
  </si>
  <si>
    <t>Francisco García González</t>
  </si>
  <si>
    <t>za, D. Franf cisco Basurto y Vargas, D. Joseph de lá Azuela, P. Antonio Castaños, D. Ignacio Acedo, D. Francisco García González, D„ Francisco Xaviejr Pineda, D. Bartolomé Rodríguez de Arias,D. Antonio Miranda y Cosmea, D. Francisco Párraga, D. Vicente de la Torre Puebla ,D. Joseph Pardo y Lama, D. Lorenzo</t>
  </si>
  <si>
    <t>García Infante, Joseph</t>
  </si>
  <si>
    <t>Joseph García Infante</t>
  </si>
  <si>
    <t>f ^/írñébí de Chaneillefía dé Gra-’ nada al Auditor de Guferri dél %^drcito dél campo de; Gibraltar D. Joseph García Infante; del Crfníéu dé.la Audiencia dé Cataluña al del exército dé éste Principado D. Antonio dé Camjpa. y dé Ferrer; de la de Cace res al del exército de Extremadura D. Gjtonzálo Hurtad</t>
  </si>
  <si>
    <t>García Joye, Joseph</t>
  </si>
  <si>
    <t>Joseph García Joye</t>
  </si>
  <si>
    <t>Petriz, D. Antonio Nuñez Fálcon, D. Joaquín Elgueta y Hernández , D.Francisco Sarrachaga y Zavala, Don Joseph García Joye, D. Miguel Vaidásano y Ros, D. Joseph de Leyva y. Lerin , D. Rafael Rodríguez Guerra, D. Ramón Ortiz Canela y Esteller, D. Manuel Valcarcel, y Oconri, t). Joachin de Mora; y Duart</t>
  </si>
  <si>
    <t>García Loigorri, Martín</t>
  </si>
  <si>
    <t>Martín García Loigorri</t>
  </si>
  <si>
    <t>al cuerpo de Artillería ha promovido S. M. á. Teniente Coronel al Sargento mayor del sexto batallón D. Martin García Loigorri, graduado de Teniente Coronel; y á Teniente al Subteniente D. Ramón Salazar. Continuación del tratado de paz con S. JVf. Británica. Art. xiii. En todos los casos de restitución co</t>
  </si>
  <si>
    <t>García Lozano, Manuel</t>
  </si>
  <si>
    <t>Manuel García Lozano</t>
  </si>
  <si>
    <t>e los estudiantes examinados en estos ejercicios literarios fué de 20, á los que asistió su maestro D. Manuel García Lozano, preceptor con aprobación de S. M., individuo de la Real aeade-* mia latina Matritense, y catedrático de humanidad de los Rejales estudios de esta ciudad. Se dio principio con una</t>
  </si>
  <si>
    <t>García Marques, Manuel</t>
  </si>
  <si>
    <t>Manuel García Marques</t>
  </si>
  <si>
    <t>e hace notorio que ninguna pérsona,.de qualquier estado y condición que sea, y tenea crédito contra D. Manuel García Marques en virtud de escritura , papel o pació confidencial; pueda cobrarlo directa ó indirectamente de el mismo u de otra persona en su nombre en metálico, vales Reales, acciones, 6 por ce</t>
  </si>
  <si>
    <t>García Orozco, Joseph</t>
  </si>
  <si>
    <t>Joseph García Orozco</t>
  </si>
  <si>
    <t>isco Ayóla, D. Juan Tarrius, D. Manuel de Miedes, Don Francisco Dionisio Vives, D. Joseph Canellas, D. Joseph García Orozco, D. Joaquín Regnart y Pont, D. Domingo Larripa, £&gt;. Juan Rayberte, D. Juan Borlasca, D. Víctor Wirtz , D. Francisco Schnernaver, Don Jayme Stóffel, D. Joseph Chaqué, D. Jayme Steu</t>
  </si>
  <si>
    <t>García Plaza, Isidoro</t>
  </si>
  <si>
    <t>Isidoro García Plaza</t>
  </si>
  <si>
    <t>a............. D. Manuel Escolar y Noriega. En Granada........ D. Francisco Unzaga. En Guadalaxara. D. Isidoro García Plaza. En Jaén................D. Pedro y Juan Esponera. En León................ D. Pedro Gil de Tejada. En Málaga........... D.Antonio Mariano. En Murcia............Sres. Moreda y Ladal</t>
  </si>
  <si>
    <t>........... D. Manuel Escolar y Noriega. En G-ranada.......... D. Francisco Unzaga. En Guadalaxara. D. Isidoro García Plaza. En Jaén...............D. Pedro v Juan Esponera. En L eon................... D. Pedro Gil de Tejada. En Atdlaga............ D. Antonio Mariano. En JMitrcia.............. Sres. Mor</t>
  </si>
  <si>
    <t>ca..... ........D. Manuel Escolar y Noriega. En Granada....... D. Francisco Unzaga. En Guadalaxara. D. Isidoro García Plaza. En Jaén........... D. Pedro y Juan Esponera. En León................. D. Pedro Gil de Tejada. En Málaga.......... . D. Antonio Mariano. En Murcia............. Sres. Moreda y Lada</t>
  </si>
  <si>
    <t>...........D. Manuel Escolar y Noriega. ■i , En Granada........ D. Francisco Unzaga. En Guadalaxara.D. Isidoro García Plaza. En Jaén*...á......... D. Pedro y Juan Esponera. ; En León....... ........ D. Pedro Gil de Tejada. En Málaga.......... D. Antonio Mariano. En Murcia............Sres. Moreda y Lada</t>
  </si>
  <si>
    <t>a............. D. Manuel Escolar y Noriega. En Granada........ D. Francisco Unzaga. En Guadalaxara. D. Isidoro García Plaza. En Jaén................ D. Pedro y Juan Esponera. En León.................D. Pedro Gil de Tejada. En Mdlag * • •••••• D. Antonio Mariano. En Murcia..... ..... Sres. Moreday Ladal</t>
  </si>
  <si>
    <t>..............D. Manuel Escolar y Noriega. En Granada......... D. Francisco Unzaga. En Guadalaxara. D. Isidoro García Plaza. En Jaén............... D. Pedro y Juan Esponera. En León............. . D. Pedro Gil de Tejada. En Málaga........... D. Antonio Mariano. En Murcia.......... Sres. Moreda y Ladali</t>
  </si>
  <si>
    <t>Xl$t En Cruadalaxara. D. Isidoro García Plaza. En Jaén.................D. Pedro y Juan Esponera. En León............ . D. Pedro Gil de Tejada. Én Mahon............. D. Jayme Moneada. En Malaga.......... D. Antonio Mariano. En</t>
  </si>
  <si>
    <t>....... D. Mznuel Escolary Noriega.. r^T., En Granada........ D. Francisco Üftzaga. En Guadalaxara. D, Isidoro García Plaza. • En Jaén................ D. Pedro y Juan Esponera. En %eon.¿.:.;~...... D. Pedro Gil de Tejada. En Mahon.i.......... D. Jayme-Moneada. 1 En Malaga......... D. Antonio Mariano..</t>
  </si>
  <si>
    <t>...... i.... D. Manuel Escolar, yN oriega. Eu Granada....^... D. Francisco Unzaga. En Qruadalaxara. D. Isidoro García Plaza. En Jaén.......?...,,.. D, Pedro y Juan Esponejra* En León.......... I). Pedro Gil de Tejada. EnMahon...,....... p. Jayme^Moncada-.</t>
  </si>
  <si>
    <t>García Sacristán, Miguel</t>
  </si>
  <si>
    <t>Miguel García Sacristán</t>
  </si>
  <si>
    <t>Rivera, D. Ramón María de Utrilla, D. Juan Antonio Cosío , D. Joseph Vaca, D. Francisco Man glano, D. Miguel García Sacristán , D. Bartolomé Sandoval, D. Rafael Tavira, D. Manuel de la Isla, D, Félix Pérez Vidal, Francisco de Paula Pa^ía, D. Fernando Sandoval, D. Francisco dé Yeste , D. Lorenzo Villavice</t>
  </si>
  <si>
    <t>García Sala, Francisco</t>
  </si>
  <si>
    <t>Francisco García Sala</t>
  </si>
  <si>
    <t>n Uria y Navea, D. Ramón Pówert y Guirát, D. Jiiari Fernández Aiarcon, D. Joseph González Castañon, D. Francisco García Sala, .D. Ramón Bermudez Valledor, D. Alexandro Boni la y San Juan, D. Juan Uztariz y Valenciano, D. Manuel Martínez Wintuysen , D. Manuel de Luengas y Orive, :D. Domingo Sarachaga y Z</t>
  </si>
  <si>
    <t>García Señeris, Francisco</t>
  </si>
  <si>
    <t>Francisco García Señeris</t>
  </si>
  <si>
    <t>bo¿ D. Manuel Aréchávala, D.Matíaís Aldao,D.Josep]iZapiota, D. Ramón de Londoño, D. Ramón de Novoa, D. Francisco García Señeris, D. Tomas Seidel, D. Antonio Moragues, D. Gines Marsilia, D. Isidro Suquilvide , 0. Nicolás Angelí. Radovani, 0. Pedro Salas- , 0. Joseph Foraster, D. Francisco de PaulaiZayas, D.</t>
  </si>
  <si>
    <t>García Tabáres, Joseph</t>
  </si>
  <si>
    <t>Joseph García Tabáres</t>
  </si>
  <si>
    <t>la Palma , en Canarias, á D. Juan de Mata Franco; y para la del Valle delguña, de nueva creación, á D. Joseph García Tabáres. El Consejo, a consulta de la Comisión gubernativa de consolidación de Vales, y con aprobación de S. M., ha resuelto la quadragésima amortización de 217 de 300 pesos, y 900 de 150</t>
  </si>
  <si>
    <t>García y Granetini, Joaquín</t>
  </si>
  <si>
    <t>Joaquín García y Granetini</t>
  </si>
  <si>
    <t>Córdoba, vacante por promoción de D. Joséph Soler á una Canongía de la metropolitana de Sevilla, a D. Joaquín García y Granetini; y para el Beneficio préstamo del lugar de Casaseca de Campean, en la diócesis de Zamora, vacante por fallecimiento de D. Joséph pómez Sordo, y el Beneficio préstamo de Robredo, e</t>
  </si>
  <si>
    <t>García y Navarro, Vicente</t>
  </si>
  <si>
    <t>Vicente García y Navarro</t>
  </si>
  <si>
    <t>n de Tompson, D. Juan de Hevia , D. Diego Guillen, D. Julián Henriquez , D..Pedro Marín Fernandez , D. Vicente García y Navarro, y D. Hipólito Souvirao. • -i Em tercera :}echa.\ :-ú]&gt; .• -.r* un P. Joseph-de Sesma y San Juan , D...Garlos Titear y» Pedrosa, D. Rá-' mon Martínez del Corro y los Ríos ,D. Feli</t>
  </si>
  <si>
    <t>García y VelezCapellán, Agustín</t>
  </si>
  <si>
    <t>Agustín García y VelezCapellán</t>
  </si>
  <si>
    <t>pado : para otra Ración de Ja propia catedral, vacante por muerte de D. Domingo che León y Rozas, á D. Agustín García y VelezCapellán de dicha catedral y del Real hospital^de S. Lázaro de la misma .ciudad : para el Beneficio patrimonial de la colegial de Borja, diócesis de Tara zona, con dimisión del que obtiene en</t>
  </si>
  <si>
    <t>García Zorrilla, Manuel</t>
  </si>
  <si>
    <t>Manuel García Zorrilla</t>
  </si>
  <si>
    <t>Quintanilla, D. Agustín Rodríguez, D. Juan Grespo y D. Vicente Pérandones. En la clase de menores á D. Manuel García Zorrilla y D. Hipólito Diez Serrano. En ia de sintaxis al seminarista Don Ramón de la Torre, D. Victoriano Fernandez y D. Manuel Losada. Y en la de latinidad, retórica y poética á D. R ay mund</t>
  </si>
  <si>
    <t>García' de Quesada, Antonio</t>
  </si>
  <si>
    <t>Antonio García' de Quesada</t>
  </si>
  <si>
    <t>Antonio de la Torre Puebla, Don Francisco de Castro Navarro, D. Joaquín Zarauz, D. Joseph Calderón, D. Antonio García' de Quesada, D. Joseph Manuel de Goicoa, D. Miguel Irigoyen, D^Joan Mesías* y D. Tomas Avalde. ' A Capitanes de Fragata los Tenientes de Navio D. Joseph Meneses, D. Juan Antonio Careaga, D. V</t>
  </si>
  <si>
    <t>García, Agustín</t>
  </si>
  <si>
    <t>Agustín García</t>
  </si>
  <si>
    <t>...... 340. 30. Id. Agustín García............. . . Andrés, Juana Sánchez.... Tornavacas... Plasenda..... 41. 16. Id. Rafael Calvo...................... . Santiago, Agustina Muñoz. Santoyo......... Palencia:</t>
  </si>
  <si>
    <t>García, Alonso</t>
  </si>
  <si>
    <t>Alonso García</t>
  </si>
  <si>
    <t>pañía de Fusileros. Alonso García .................... Domingo, Manuela Salan.. Cerbatos..... Palencia....... 29. 22. Muerto. Josef Marín.......................... Fernando,DoroteaSta.María.Arenzana ...»</t>
  </si>
  <si>
    <t>1. 25. Muerto, Alonso García.................. .. Josef, Francisca Rosendo... Sto. Tomé... Santiago....,. 59. 16. Id. Cipriano García.............. .. Santiago, Josefa Monte.</t>
  </si>
  <si>
    <t>García, Andrés</t>
  </si>
  <si>
    <t>Andrés García</t>
  </si>
  <si>
    <t>41. *8. Id. Andrés García............... Tornas^ María Orija..... .. Madrid......... Madrid......... i4t. 12. Id. Rafael Herrera.................... Antoul¡0l, Antonia Cas</t>
  </si>
  <si>
    <t>García, Ángel</t>
  </si>
  <si>
    <t>Ángel García</t>
  </si>
  <si>
    <t>40. 30. Id. Angel García....................... Simónj,Agueda Casado.... Sallejo........... Leob.............. 62. 31. Id. Agustin Serrano....... ......... Josef, ^ngela Puentes........ A</t>
  </si>
  <si>
    <t>García, Antonio</t>
  </si>
  <si>
    <t>Antonio García</t>
  </si>
  <si>
    <t>ra: Dávilai, JÓ- Juan Suarez, D. Antonio Cañedo , D.Joseph Aramburu,D. Isidoro García del -Postigñ, D, Antonio García .-deh$oatig^ir{D;¿jQ$e|!bri’áe. Rqxas &gt; y Ariés^ D. Pascual i Ruiz „de Huidob.ro» Aotpnio Boneo ,D.' Nicolás Ma.yér,gst% D. Manuel Sánchez Arjona, D. Joaquut de ;MoUu^^D.v^rahdsco</t>
  </si>
  <si>
    <t>....... iot.32. Id. Antonio García.............. . Josef, María Nuñez........... Tradelo............Galicia.:.......... 180.. 33. Id. Manuel Pereyra................</t>
  </si>
  <si>
    <t>García, Bartolomé</t>
  </si>
  <si>
    <t>Bartolomé García</t>
  </si>
  <si>
    <t>... 43, 18. Muerto. Bartolomé García... Joaquín, Manuela Migue-Quintanilla de ler................................ Jamuzi....... León.........</t>
  </si>
  <si>
    <t>García, Carlos</t>
  </si>
  <si>
    <t>Carlos García</t>
  </si>
  <si>
    <t>13. 22. Licenciado. Cárlos García....................... Martin, Casilda Mozoncillo. Belorado....... Búrgos.......... 342* 6. Id. Manuel Iglesias.................. Francisco, María de Ler</t>
  </si>
  <si>
    <t>García, Cayetano</t>
  </si>
  <si>
    <t>Cayetano García</t>
  </si>
  <si>
    <t>pañía de Fusileros. Cayetano García....... .........Pedro, Marta Celana.... .. Taboada........ Valladolid... 62. 5. Muerto. Luis Díaz............... .........Pedro, Antonia Lora.... .. Constantina.. Con</t>
  </si>
  <si>
    <t>García, Cipriano</t>
  </si>
  <si>
    <t>Cipriano García</t>
  </si>
  <si>
    <t>59. 16. Id. Cipriano García.............. .. Santiago, Josefa Monte....... Briviesca.... Búrgos........ 270. 19. Id. Nicolás Robleda.............. .. Francisco, María Robl</t>
  </si>
  <si>
    <t>García, Fernando</t>
  </si>
  <si>
    <t>Fernando García</t>
  </si>
  <si>
    <t>los mismos que en el acto del desposorio Al entrar SS. MM. y A A. les sirvió el agua bendita el Sr. D. Fernando García dé lá Práda, Sumiller de Cortina. Cerca dé los sitiales de SS. MM. estaba efSr. D. Juan Diego Duro y Solano, también Sumiller de Cortina, y levantó el tafetán con que estaban cubiert</t>
  </si>
  <si>
    <t>...... 457. 31. Id. Fernando García................ Bernardo, Maria González. Cereceda....... Búrgos....... su. so. Id. Pablo Lúeas......................... Ventura , Juana Escudero.. Salinas........... Búrgos..</t>
  </si>
  <si>
    <t>463. 8. Licenciado. Fernando García.................. Manuel, Catalina Martinez. Velilla......... .. León............... 465. 7. Id. Gabriel Miguelez................ Santiago, María Perez........Fresno de la</t>
  </si>
  <si>
    <t>García, Francisco</t>
  </si>
  <si>
    <t>Francisco García</t>
  </si>
  <si>
    <t>23. 16. Id. Francisco García................. Domingo, Agustina Cuesta. Astorga....... . Astorga......... 40. 6. Licenciado. Sinforiano Nieto.................. Cárlos, Juana Rodríguez</t>
  </si>
  <si>
    <t>García, Gaspar Joseph</t>
  </si>
  <si>
    <t>Gaspar Joseph García</t>
  </si>
  <si>
    <t>Cayetano Mílor á favor de í&gt;on Gaspar Joseph García. Quien supiere su paradero avisará ai referido D. Gaspar Joseph García en Ja Corufia , calle de la Amargura, niím. ip. En continuación de la subasta que se está nacfendo de orden del Excmo. Sr. Gobernador del Consejo en virtud de la comisión que le est</t>
  </si>
  <si>
    <t>García, Ignacio</t>
  </si>
  <si>
    <t>Ignacio García</t>
  </si>
  <si>
    <t>. rrancisco Xavier Uría, dando los asría general de la mis .o^r-ifívíAnrln la última -nla^a a P}ntV D. Ignacio García: la de interventor v,i.*_______ _ _ co Xavier V altejo; y. la de Administrador de rentas unidas de Maravatío £ D. Joseph María Salceda. &lt; - y Fin del tratado de paz con S. M. Brit</t>
  </si>
  <si>
    <t>García, Isidoro</t>
  </si>
  <si>
    <t>Isidoro García</t>
  </si>
  <si>
    <t>&gt;D. Félix Azara, D-: Juan ^Herrera: Dávilai, JÓ- Juan Suarez, D. Antonio Cañedo , D.Joseph Aramburu,D. Isidoro García del -Postigñ, D, Antonio García .-deh$oatig^ir{D;¿jQ$e|!bri’áe. Rqxas &gt; y Ariés^ D. Pascual i Ruiz „de Huidob.ro» Aotpnio Boneo ,D.' Nicolás Ma.yér,gst% D. Manuel Sánchez Arjona, D. J</t>
  </si>
  <si>
    <t>García, Joseph</t>
  </si>
  <si>
    <t>Joseph García</t>
  </si>
  <si>
    <t>os D. Joseph Ximenez, graduado de Capitán, y D. Juan Alentado; á Teniente al graduado de esta clase D. Joseph García, Sargento primero Veterano, y á Subteniente de bandera el agregado D. Agustín Fernandez: en ,el batallón de Pardos libres de la Havana á Subinspector á D. Antonio de Castro Palomi</t>
  </si>
  <si>
    <t>García, Juan</t>
  </si>
  <si>
    <t>Juan García</t>
  </si>
  <si>
    <t>as Castillo (cuyo paradero se ignora), 6 en su defecto sus herederos, se presentarán 6 escribirán á D. Juan García,capellán Penitenciario en el oratorio de la calle 4e Cañizares de Madrid, quien tiene que comunicarles asuntos que les interesan: y deberán execútarlo en el término perentorio 4e,</t>
  </si>
  <si>
    <t>7. 7. Id. Juan García................... Matías, Antonia Fernan­ Hernan-San dez........... ............. . cho.............. León.............. so. 35* Id. Ambrosio Tapia. ...</t>
  </si>
  <si>
    <t>llo... 104. 17. id. Juan García.................. . Bartolomé, María López.. S. Juan Abuimo.......... Villante.í.... 135. 16. id. Joaquín Ferreyro......... . Jacinto, María de Cal..... Amoedo...... Tuy;.</t>
  </si>
  <si>
    <t>García, Juliana</t>
  </si>
  <si>
    <t>Juliana García</t>
  </si>
  <si>
    <t>sacar á pública subasta las "tierras pertenecientes á la memoria que en el lugar de Ballécas fundó Doña Juliana García, y son las siguientes: Una tierra al sitio que dicen la Cascaxera, llamada de los Calzones, su caber 5 fanegas y 6 celemines, tasada cada una á lía rs. Otra al sitio de ]a Carrant</t>
  </si>
  <si>
    <t>fectivo. Todas estas fincas son pertenecientes i la memoria fundada en dicho 1 ugar dé Balíécás por Doña Juliana García. Quien quisiere hacer mejora ¿ ellas acuda ante S. S. y por la citada escribanía. Por el juzgado del Sr. í&gt;. Manuel Perez de Rozas , caballero de la Real y distinguida órdeh españ</t>
  </si>
  <si>
    <t>García, Luis Antonio</t>
  </si>
  <si>
    <t>Luis Antonio García</t>
  </si>
  <si>
    <t>e qtros tres niños, que siendo vacunados de brazo á brazo lograron el mejor éxito; con cuya noticia D. Luis Antonio García, vecino y del comercio de la ciudad de Almería , le envió sus dos hijos , el uno de 20 meses^, y el otro de 6, con el fin de preservarlos y desterrar la mala opinión de muchos de</t>
  </si>
  <si>
    <t>García, Manuel</t>
  </si>
  <si>
    <t>Manuel García</t>
  </si>
  <si>
    <t>al de fusileros D. Miguel de la Vega, y á Subteniente de bandera al Sargento primero de granaderos D. Manuel García.</t>
  </si>
  <si>
    <t>olid... 166. 6. Id. Manuel García..................... Miguel, María Miguel....... Briviesca......... Búrgos.......... 341. 16. Id. Gregorio Sobron.................. Domingo, Josefa Urutiuela. Batios........... St</t>
  </si>
  <si>
    <t>García, Miguel</t>
  </si>
  <si>
    <t>Miguel García</t>
  </si>
  <si>
    <t>...... 906. 15. Id. Miguel García..................... Francisco,CatalinaLunara. Zafra............. Badajoz............ 576. 31. Disperso en</t>
  </si>
  <si>
    <t>García, Pablo</t>
  </si>
  <si>
    <t>Pablo García</t>
  </si>
  <si>
    <t>.. Coca.......... , Pablo García.,.......... .. Pedro, Bárbara Saiz....... Paules Agua. Búrgos...,.,.. 40. 13. Id. Dionisio Mora.................. .. Josef, Juana Juárez............. Labrada....... Avila.</t>
  </si>
  <si>
    <t>García, Rafael</t>
  </si>
  <si>
    <t>Rafael García</t>
  </si>
  <si>
    <t>anaderos D. Francisco Romero y D. Vicente Vinegra ; y á esta resulta á los Subtenientes de fulleros D. Rafael García y D. Manuel de Urrutia. También en el de milicias de caballería de la misma plaza ha conferido S'. M. Compañías á ios Tenientes D. Miguel Balseiro, de carabineros, y</t>
  </si>
  <si>
    <t>...... 271. 21. Id. Rafael García....................... Grisuela........... León................. 244. 17. Muerto. Pedro Blasco........................ . Z</t>
  </si>
  <si>
    <t>García, Ramón</t>
  </si>
  <si>
    <t>Ramón García</t>
  </si>
  <si>
    <t>nio Costilla * .0. Antonio Fernandez, D. Martin de Asis, D. Gabriel Gutiérrez, ¿0* Manuel&lt; Herrera, D. Ramón García, D. Joseph Escario, 0. Joseph'de Sotó, D. Tomas Chacón,D. Carlos Abaxo, O..Julián de Altana* 0. Antonio de Parga^ 0. Pascual Martínez* Don</t>
  </si>
  <si>
    <t>García, Sebastián</t>
  </si>
  <si>
    <t>Sebastián García</t>
  </si>
  <si>
    <t>80. 13. Id. Sebastian García........ Francisco, Luisa de Ocampo. S. Martin.... Galicia.......... 78. xa. Id. Fernando Rodríguez. , Beni.to, María</t>
  </si>
  <si>
    <t>....1200. 18. Id. | Sebastian García,................ Francisco, Ana Saez....... Langa........... Arevalo......... 320. 15. Id, Primera Compañía de Fusileros. Me</t>
  </si>
  <si>
    <t>García, Vicente</t>
  </si>
  <si>
    <t>Vicente García</t>
  </si>
  <si>
    <t>e a.b días contados.desde hoy. Los hijos y en su defecto los nietos dé.losprimos-hermanosdelCapitan D. Vicente García, Ayudante 'qué fue de la~p-áaíl de fiáadrid, acudirán .en él término dé 30 dia¿ perentorioscon la justificación competente, á pedir la herencia que les ha dexado dicho D. Vicente</t>
  </si>
  <si>
    <t>....... 420. 4. Id. Vicente García.... Antonio, Teresa González. Baueza......... León...,...... 570. 17. id. Cayetano Pontes... Josef, Rosalía López.......</t>
  </si>
  <si>
    <t>13. 13. Id. Vicente García..................Tadeo, Ursula Calvo............... Abajas ......... Búrgos......... 100. 28. Id. Rafael Valle jo____ ______ Lorenzo, María Bravo..... Recandio..... Búrgos......</t>
  </si>
  <si>
    <t>Garcini, Joseph Cayetano</t>
  </si>
  <si>
    <t>Joseph Cayetano Garcini</t>
  </si>
  <si>
    <t>cia á D. Ramón Patricio Moreno, Alcalde mayor primero de aquella ciudad: y del Crimen de Cataluña á D. Joseph Cayetano Garcini, Alcalde mayor primero de Barcelona. Al: mismo tiempo se ha servido el Rey conceder en sus dominios de Indias jas; gracias siguientes: á D. Lúeas Muñoz y Cubero, Regente, de Ja Re</t>
  </si>
  <si>
    <t>Garcini, Sebastián</t>
  </si>
  <si>
    <t>Sebastián Garcini</t>
  </si>
  <si>
    <t>deros al de fusileros D. Ramón de Oro y Paz, y á segundo de esta clase al Subteniente de granaderos D. Sebastian Garcini: en el de Toledo á Ayudante al primer Teniente D. Luis Quintero, y á segundo Teniente de granaderos al de fusileros D. Juan Estepa: en el de León á Sargento Mayor al Teniente Coro</t>
  </si>
  <si>
    <t>Garcjnp, Joseph Ángel</t>
  </si>
  <si>
    <t>Joseph Ángel Garcjnp</t>
  </si>
  <si>
    <t>tenciaria de la metropolitana de México, vacante ppr. fallecimiento de Don Joseph Amonio Venegás, á D. Joseph Angel Garcjnp ¿ hícdio-Racionerp -de dicha metropolitana^ 1 ^ f . W - t Los tenedores de vales dinero de bkcaxa de Consolidación de-1. de Setiembre de 1801 que hasta ahora.no hayan acudidó £ /p</t>
  </si>
  <si>
    <t>Garda Gallego, Francisco</t>
  </si>
  <si>
    <t>Francisco Garda Gallego</t>
  </si>
  <si>
    <t>76. 16. Id. Francisco Garda Gallego... Gerónimo, Josefa Gallego. Villamor....... Toro......... . 30. 11. Id. Pedro Escudero............ . Fernando</t>
  </si>
  <si>
    <t>Garda Marques, Manuel</t>
  </si>
  <si>
    <t>Manuel Garda Marques</t>
  </si>
  <si>
    <t>e Corregidor de esta villa, y Juez comisionado por el Conseio para el conocimiento de la quiebra de D. Manuel Garda Marques, se hace notorio que ninguna pérsona,.de qualquier estado y condición que sea, y tenea crédito contra D. Manuel García Marques en virtud de escritura , papel o pació confidencial;</t>
  </si>
  <si>
    <t>Garda, Antonio</t>
  </si>
  <si>
    <t>Antonio Garda</t>
  </si>
  <si>
    <t>35. 10. Id. Antonio Garda............. Bartolomé, MarfaíMelle... S. Christdbal. Santiago..... 33. ai. Id. Mateo Becerril................. Andrés , Manuela Martin.. Granja del Moral...</t>
  </si>
  <si>
    <t>Gari, Joseph Antonio</t>
  </si>
  <si>
    <t>Joseph Antonio Gari</t>
  </si>
  <si>
    <t>colegial, se adjudicáron premios ¿ los 3 niños que nías se señalaron, y se coronó como presidente á D. Joseph Antonio Gari, que llevó lá ventaja entré sus compañeros.</t>
  </si>
  <si>
    <t>Garibay, Pedro</t>
  </si>
  <si>
    <t>Pedro Garibay</t>
  </si>
  <si>
    <t>D. Gerónimo Cifuentes, y D. Antonio de Zamoranó. !í _ . ■ En América. - C D. Juan Bautista VaUlant, D. Pedro Garibay, D. Miguel de Tejada, P. Antonio Narvaez, el Conde Ruiz de Castilla, 0. Joaquín .Cabrera, Do? Rafael María Aguilar, D. Joseph Montero, D. Isidro jLimonta, tD; Joá-1 quin de Zubill</t>
  </si>
  <si>
    <t>Garlick</t>
  </si>
  <si>
    <t>802. Petetsburgo 27 de Agosto. D, esde la partida del Lord St. Helens, Ministro británico, despacha Mr. Garlick, Secretario de embaxada, los asuntos de su gobierno en calidad de Encargado de negocios. A fin de fomentar en estos países el cultivo de las remolachas y la extracción de su azúca</t>
  </si>
  <si>
    <t>Garlos</t>
  </si>
  <si>
    <t>Gim- ‘ bernat, en la que se executó en el Príncipe nuestro Señor, y los Serenísi-mos Sres. Infantes D. Garlos y D. Francisco de Paulav noticioso del descubrimiento de la vacuna y y enterado por los papeles públicos de los útilísimos resultados de su inoculación para preservar dé las viruelas</t>
  </si>
  <si>
    <t>Gárlós Adolfó de Bruhl, Conde</t>
  </si>
  <si>
    <t>Conde Gárlós Adolfó de Bruhl</t>
  </si>
  <si>
    <t>en que suelen pasar el verano. . 1; ■ ir . z : Al dia&gt; siguiente ihurid? ¿ los 6t años der edad el Conde Gárlós Adolfó dé Bruhl.; General de. caballeríar,: Ayo de ios Príncipes dé: la* familia Ried; y caballero' de varias órdenes i militares. ;rS*£M.-f\ filé á; visitarle? poco antes qiie espitase, y basent</t>
  </si>
  <si>
    <t>Garlos Rato y Ramírez</t>
  </si>
  <si>
    <t>de Arana y Arrióla, D. Joseph Obando y Adorno , D. Joseph Romero y Uriraiz , D. Alvaro de la Sema, D. Garlos Rato y Ramírez, D. Ramón Enlate y Tovias, D. Martin Manuel Mathéo, D. Femando Dominicis , y D. Juan de Cárdenas y Cárdenas. A Alféreces de Navio los de Fragata D. Diego Venegas y Aguilar, D. Man</t>
  </si>
  <si>
    <t>Garlos, Archiduque</t>
  </si>
  <si>
    <t>Archiduque Garlos</t>
  </si>
  <si>
    <t>rcio de Sierra-Leona; :y actualmente se está equipando allí otro buque de 400 toneladasñoñiorado el¿Archiduque Garlos^ que luego que complete su cargamento saA4 drá paira la costade Africa, y hará dosviagescada año. / ^ Por noticias de Hermánstadt se ha sabido que j&gt;akte de las1 trópas dé Baswan-</t>
  </si>
  <si>
    <t>hasta ahora por la variedad de votos. Viena 31 de Julio. C orno ha vuelto i enfermar éstos dias el Archiduque Garlos* se asegura que Han sido llamados á esta ciudad los médicos mas célebres de Lóndres y París, para que consulten con los de aquí sobre los medios mas eficaces de restablecer entera</t>
  </si>
  <si>
    <t>Garnerin</t>
  </si>
  <si>
    <t>ardiéron 11 almacenes con géneros. Antes de ayer llegó de Francia á Douvres el ciud. Garnerin, célebre areonauta, con su globo y quanto necesita para las experiencias que se propone hacer aquí. En Portsmouth se embarcáron del dia 12 al 15 de este mes de</t>
  </si>
  <si>
    <t>r subscripción, la qual produxo 3© libras esterlinas, y de ellas tocároa 500 al ciud. Garnerin. Lucerna 2 7 de Junio. r os diputados del Erickthai han tenido varias conferencias cotí el Ministro francés Verninac, y con los vocales dei Gónsejo pequeño. En</t>
  </si>
  <si>
    <t>Garrido, Pedro</t>
  </si>
  <si>
    <t>Pedro Garrido</t>
  </si>
  <si>
    <t>hristoba-l Nadal y B'. Gárlosr Ja&lt;?iiritítí;d« 'Mü3riéa:j áiTeniente de graiTadcros al de fusileros D. Pedro Garrido ; á Tenientes de fusileros á los Subtenientes D. Joseph Landaeta, D. Joseph Muxica, D. Manuel Párraga, D. Ramón Marvés y D. Francisco Antonio Malpica; á Subteniente de granaderos</t>
  </si>
  <si>
    <t>Garriga, Joseph</t>
  </si>
  <si>
    <t>Joseph Garriga</t>
  </si>
  <si>
    <t>ro' artículos: la religión, la moral, la política , y la jurisprudencia y cphiercio: traducidas por Don Joseph Garriga. Véndese en la librería de Castillo, frente á las gradasdeS. Felipe, en la de la viuda de Cerro, red de S. Luis, y en su puesto, cálle de Alcalá^ en pasta á 8 rs. y en pergamino á</t>
  </si>
  <si>
    <t>Garrjga, Joseph</t>
  </si>
  <si>
    <t>Joseph Garrjga</t>
  </si>
  <si>
    <t>Reales resoluciones expedidas en el afio pasado de 1801; y siguiendo el plan del autor lo continúa D. Joseph Garrjga, Abogado de los Reales Consejos, y urno de los del ilustre colegio de esta corte. Se hallará con los qnadernos de los anteriores años en la librería de Francés,frente á las gradas</t>
  </si>
  <si>
    <t>Garrote, Joseph</t>
  </si>
  <si>
    <t>Joseph Garrote</t>
  </si>
  <si>
    <t>a del Norte del Reyno de Nueva España al Teniente de granaderos del regimiento provincial de Celaya Don Joseph Garrote; y el de Ayudante Veterano del regimiento provincial de caballería de Querétaro á. D. Francisco Camunez, Teniente dei de infantería de Puebla. Por la audiencia del Sr. Teniente Co</t>
  </si>
  <si>
    <t>Garzón, Antonio</t>
  </si>
  <si>
    <t>Antonio Garzón</t>
  </si>
  <si>
    <t>. Luis de Cañete, D. Gerónimo Cañete de -Lemus, D. Juan de Mata Herrera y Oca, D. Antonio Manrique, D. Antonio Garzón, D. Juan Muñoz, D. Alfonso de Ortega, Don Juan Bautista del Caño , D. Rafael Sánchez de Sandino, Juan de Roxas, Francisco de Yera, Pedro Martin, Francisco de Montes y Juan Cobo; y</t>
  </si>
  <si>
    <t>Gascoigne, General</t>
  </si>
  <si>
    <t>General Gascoigne</t>
  </si>
  <si>
    <t>do que la del Lord Grenville, y le contestó el Lord Hawkesbury. A las tres de la madrugada pidió el General Gascoigne que se aplazára la disputa; y esta proposición fué adoptada por una mayoría de 48 votos. Se reparó que Mr. Fox no asistió á la Cámara. El discurso de Mr. Windham con este motivo,</t>
  </si>
  <si>
    <t>Gascón, Joseph</t>
  </si>
  <si>
    <t>Joseph Gascón</t>
  </si>
  <si>
    <t>ción con cargo de Sochantre ó Capiscol de Villanueva de la Huerva, en el arzobispado de Zaragoza, á D. Joseph Gascón: para un Beneficio Diaconii, llamado Mongía, de la parroquia de S. Pribat de Bas, obispado de Gerona , á D. NicolásCorominolas; y para otro, llamado Clavería, de la parroquia de S</t>
  </si>
  <si>
    <t>Gastambide, Félix</t>
  </si>
  <si>
    <t>Félix Gastambide</t>
  </si>
  <si>
    <t>ma j D. Miguel Plowes, D. Marcos Funguion, D. Bernardo■ Tacón, D. Joseph Tacón, D. Francisco Boneo, D. Félix Gastambide, y D. Antonio Cortada, Madrid 1$ de Octubre. E 1 Rey se ha dignado nombrar para la Vara de Alcalde mayor de I2 villa de Viar, en el Reyno de Valencia, á D. Julián de Relian y Brea</t>
  </si>
  <si>
    <t>Gaste</t>
  </si>
  <si>
    <t>mSUcK&gt;n,.se han reparttSo &lt;lós premios , el »no al mismo ciud. Eel^s, y #tro al ciud. Gaste. v V Moren 7 de Mayo. Don Francisco Rodríguez García « catedrático por S. M. de los Reaíe* «íudics de esta villa, conocido por su zUo í instrucción, y por la c</t>
  </si>
  <si>
    <t>Gastón y Navarrete, Miguel</t>
  </si>
  <si>
    <t>Miguel Gastón y Navarrete</t>
  </si>
  <si>
    <t>D. Joseph Quevedo y Cheza, D. Lino Truxiilo y Tacón, D. Antonio Miralles, D. Luis María de Salazar, D. Miguel Gastón y Navarrete, D. Antonio de la Torre Puebla, Don Francisco de Castro Navarro, D. Joaquín Zarauz, D. Joseph Calderón, D. Antonio García' de Quesada, D. Joseph Manuel de Goicoa, D. Miguel Irigoy</t>
  </si>
  <si>
    <t>Gatimies, Luis</t>
  </si>
  <si>
    <t>Luis Gatimies</t>
  </si>
  <si>
    <t>50. si. Id. Luis Gatimies....................... Josef, Teresa González. .... Toro.............. Toro............... 112. 26. Id. Santiago Saez....................... Manuel, Maria Plaza.:... Briones....... S</t>
  </si>
  <si>
    <t>GáTQWsíiD, Juañ Joseph</t>
  </si>
  <si>
    <t>Juañ Joseph GáTQWsíiD</t>
  </si>
  <si>
    <t>P. Antoriio Escaño^ D. Juan Vicente, Yáñe*, D. Baltasar Cisñeros.^ D¿ JoSeph Bustarhante y Guerra \ D. Juañ Joseph GáTQWsíiD^IJPSepkíSaJcjesloj yjAliaiíCo , yiDi To^ mas ligarte y Liaño.- ¿i . -•;&lt;íri vo &gt;i r.csaoX .Cí t oiosin’ít'.Ci-íi-.j-.• ■ .ü cb r..’a : » - y ■ pj.A .L D, Ramón Topete^Di Ju|# Mora</t>
  </si>
  <si>
    <t>Gaudard</t>
  </si>
  <si>
    <t>18 por la noche , al cabo de una hora de cañoneo, el qual causó poco efecto, el ciud. Gaudard, comandante en xefe de las tropas helvéticas en Berna, ajustó con autoridad para ello el convenio que sigue con el xefe de los insurgéñrtes que estaban en las</t>
  </si>
  <si>
    <t>Gaull</t>
  </si>
  <si>
    <t>do de 95. A uno y á otro los considera de una especie diferente de ios demas planetas conocidos. El Dr. Gaull ha determinado también los elementos de la órbita de Palas con tanta exactitud como lo permite su pequeñez. Según él, hace su revolución en 4 años y $ meses, que son dos meses mén</t>
  </si>
  <si>
    <t>Gauss</t>
  </si>
  <si>
    <t>Hamburgo 14 de Mayo. S egun las observaciones que ha hecho el Dr. Gauss, de Brunswick, sobre el astro recien descubierto en Brema por el Dr. Olbers, es un planeta cuya órbita se halla entre Marte y Júpiter: ya le han dado el nombre de Pilas. Ha§ta que</t>
  </si>
  <si>
    <t>Gáutheaume, Almirante</t>
  </si>
  <si>
    <t>Almirante Gáutheaume</t>
  </si>
  <si>
    <t>pública laBadine, de 32 cañones, que salió de Sto. Domingo el 7 de Marzo con la división del Contra-Almirante Gáutheaume, de la qual se separó durante una densísima niebla. .Parts 2j de Abril. E 1 primer Cónsul ratificó el dia 17 el tratado definitivo de paz? entre la República y S. M. Británica, y</t>
  </si>
  <si>
    <t>Gautier, Juan</t>
  </si>
  <si>
    <t>Juan Gautier</t>
  </si>
  <si>
    <t>a de Puerto Rico ha promovido S. M. á Comandante , con erado de Teniente Coronel, al Sargento mayor D. Juan Gautier; á esta resulta al Ayudante mayor, graduado de Teniente Coronel, D. Simón de Valencia; á Capitanes á D. Francisco Ximenez, D. Ignacio Padilla y D. Joseph del Toro, Tenientes de gr</t>
  </si>
  <si>
    <t>Gavilanes, Francisco</t>
  </si>
  <si>
    <t>Francisco Gavilanes</t>
  </si>
  <si>
    <t>.... , . 6. 30. Id. Francisco Gavilanes........ Tpmas , Paula Terrón...... Calumbrianos¡.Ponferrada... 473* 5. Licenciado. Antonio Fernandez........... .. Antonio, Catalina Búrgos.. Lagunilla.... Búrgos.....</t>
  </si>
  <si>
    <t>Gavino de Arana y Arrióla</t>
  </si>
  <si>
    <t>ano, D. Manuel Martínez Wintuysen , D. Manuel de Luengas y Orive, :D. Domingo Sarachaga y Z aval a, D. Gavino de Arana y Arrióla, D. Joseph Obando y Adorno , D. Joseph Romero y Uriraiz , D. Alvaro de la Sema, D. Garlos Rato y Ramírez, D. Ramón Enlate y Tovias, D. Martin Manuel Mathéo, D. Femando Dominicis ,</t>
  </si>
  <si>
    <t>Gavino de Echevarría y Gallo</t>
  </si>
  <si>
    <t>ento de .D-Antonio Sánchez, al Chantre de la misma D. Pedro de Almada: para la Chantría al Tesorero D. Gavino de Echevarría y Gallo: para la Tesorería á D. Antonio Miguel de Arcos y Matas, Canónigo de la propia; y parra «esta Canongía á Don Juan Baptista Quin de Valdovinos. Por Real cédula de 4 de este mes se</t>
  </si>
  <si>
    <t>Gavino Palacio</t>
  </si>
  <si>
    <t>Id. Gavino Palacio.................. Pedro, Toribia Villota........ Ribera de Folgoso............ León............... 487. Id. Manuel de la Torre............ Josef, María Viejo......... Folg</t>
  </si>
  <si>
    <t>Gavins</t>
  </si>
  <si>
    <t>bir del Gonmodoro Morris, Comartdante de la esquadra de los Estados-Unidos en el Mediterráneo, y de Mr. Gavins, nuestro Cónsul en Gibraltar , incluyen la desagradable noticia de Iiaber llegado á aquel puerto Mr. Sympson, Cónsul americano en Marruécos (que residía, como los demas Cónsules e</t>
  </si>
  <si>
    <t>Gaytan de Avala, Joseph</t>
  </si>
  <si>
    <t>Joseph Gaytan de Avala</t>
  </si>
  <si>
    <t>dirección de su maestro D. 'Rufino Espada, D. Francisco Necochea, D. Pedro Goosens, D. Fermín Cia, D. Joseph Gaytan de Avala, D. Agustín Duran y D. Alonso Alvarado. En humanidades y retórica, baxo la dirección de D. Pedro Fuertes, D. Iñigo Ortes de Velasco, D. Joseph Alaría Ortes de Velasco, D. Antonio</t>
  </si>
  <si>
    <t>Gaytan, Joseph</t>
  </si>
  <si>
    <t>Joseph Gaytan</t>
  </si>
  <si>
    <t>n Cía, D, tufe Verganza, D. Joseph Esquivfel, D.Blas tezo, D.JoaquinMedrano, P- Francisco Neeochea, D. Joseph Gaytan, D. Luí* Duran* D- .Manan®: Zapata, D.JEodngo y D. Pedro Tavíra, D. Leopoldo Menead», P- JosephTorres, D. Luis Vidarte, i D-Í'o¿qum del ÍÜo, D. Frabciscf» trespalaeios y D, JuanEa</t>
  </si>
  <si>
    <t>Gaza</t>
  </si>
  <si>
    <t>Manheim. En general todas las tropas del Elector están en movimiento, y se dirigen á varios puntos. Mr. Gaza mandará el cuerpo encargado de ocupar algunas ciudades, y países eclesiásticos de Suabia , en lugar del General Deroy, que actualmente manda el cuerpo que estaba baxo las órdenes</t>
  </si>
  <si>
    <t>Gáza, General</t>
  </si>
  <si>
    <t>General Gáza</t>
  </si>
  <si>
    <t>s. : Aquí se hacen grandes ¿acopios de víveres para el abasto de dichas tropas, .v • .M:- ■ •— 1 £1 General Gáza ha. salido de Aichach con todas las de su mando si</t>
  </si>
  <si>
    <t>Gaza, General</t>
  </si>
  <si>
    <t>General Gaza</t>
  </si>
  <si>
    <t>s de Ulm, Memmingen, Kemp-v ten &amp;C. Ha conferido el Elecior de Bavi'era el mando de estas tropas al General Gaza, que ha salido ya de Ulm para sentar su quartel en Scuthoifen. Londres so de Octubre. E 1 domingo últirtio llegó de Ja ni ayca á Tlimouth la embarcación nombrada el Conde de S. Vi</t>
  </si>
  <si>
    <t>Gazuila, Francisco</t>
  </si>
  <si>
    <t>Francisco Gazuila</t>
  </si>
  <si>
    <t>s : para otroy con cargo de Sochantre , dé la colegial de Alcañiz, en el arzobispado de Zaragoza, á D. Francisco Gazuila: para una Doma de la parroquia de Vulpellach,obispado de Gerona, á Don Antonio Sala y Gil; y para un oficio de Regidor de laclase de nobies.de la ciudad de Valencia á D. Pedro Caí</t>
  </si>
  <si>
    <t>Gcrgo</t>
  </si>
  <si>
    <t>: hacer de unía'yifeí'páf^yí'Príncipe «efeditaiidAu Jájo^Já qüe harecai- uol Ja oue ha recaí* do en Mr. Gcrgo , cuyas tareas en varios ramos, y en especial el buen éxito en la educación del Conde Kollouitz y defPríncipe JPajblo Íist.erhazy, que es:á casi concluida, han decidido lá confian</t>
  </si>
  <si>
    <t>Gcrónimo Gome</t>
  </si>
  <si>
    <t>que se incluyen:1 los de Ñuño Nuftex Rasura , Lain Calvo, Pedre Navaffo D¿ Juan Bautista Pe-1 rex, D. Gcrónimo Gome* de Huerta, y el Conde-Duque de Olivares. Véndese * con los antecedentes i &lt;Sqrs. cada uno con el epítome de sus vidas,y silr^hepítome á 50 en el despacho de ja calcografía de , l</t>
  </si>
  <si>
    <t>Gederstron, Almirante</t>
  </si>
  <si>
    <t>Almirante Gederstron</t>
  </si>
  <si>
    <t>uve en Túnez se presentaron allí dos fragatas: una era la sueca nombrada Freya, al mando ael Contra-Almirante Gederstron: saludó á la bandera de la República con 16 cañonazos, y le correspondimos con igual .número. La otra fné la fragata anglo-americana la Constelación: esta llegó dos veces á la rad</t>
  </si>
  <si>
    <t>Gelabert, Francisco</t>
  </si>
  <si>
    <t>Francisco Gelabert</t>
  </si>
  <si>
    <t>D. Pedro Roca, D. Tomas de Jáuregui, D. Marcelo Hstranio, D. Salvador del Toro, D. Joseph Ampudía, D. Francisco Gelabert, el Marques’de Viliadángos, el Conde Armildez, Marqués del Salar, D. Pedro Miguel Alvarez de Perea, D/Manuel Laguna y Moscoso, él Marques del Risco, D. Eugenio Duvermeill, D. Fran</t>
  </si>
  <si>
    <t>Gemeiner</t>
  </si>
  <si>
    <t>ndependencia, y asegurar una neutralidad ilimitada en caso de guerra. Con este motivo ha presentado Mr. Gemeiner, Síndico de Lubeck, una memoria muy importante relativa al influxo que las ciudades Ubres tienen sobre el comercio de los demas estados. Escriben de Ulm que la montaña llamada Gal</t>
  </si>
  <si>
    <t>Genaro Rézabal</t>
  </si>
  <si>
    <t>é Málaga á Sargento Mayor al Capitan de granaderos del propio cuerpo, graduado de Teniente Coronel, D. Genaro Rézabal. S. M. se ha servido nombrar Capellán del primer batallón del regimiento de Infantería de Soria al presbítero D. Julián dé Oliver y Copons. En AmSrica. Ei Rey se ha dignado confer</t>
  </si>
  <si>
    <t>Genaro Salazar, Joseph</t>
  </si>
  <si>
    <t>Joseph Genaro Salazar</t>
  </si>
  <si>
    <t>aya que tratar de algún asunto contencioso: que sigan componiendo esta Sala. D. Pedro, £ablo Pomar, D. Joseph Genaro Salazar, y el Secretario D. Félix Colon : que este entienda en solo lo gubernativo y. económico, ventilándose lo. contencioso por el Escribano de Cámara , deli Consejo: que se oiga ai Fis</t>
  </si>
  <si>
    <t>Genaro, Francisco</t>
  </si>
  <si>
    <t>Francisco Genaro</t>
  </si>
  <si>
    <t>do Jos dias&lt;6^ «7 M? ¿funciones del de sposorip de los perenísimas Sre s. ij o na; M aria Isabejl y D. Francisco Genaro, Príncipe heredero¿le,^SipUiai.» destinó,la .mañana del 6 par ra la entrada y audiencia pñblica del Sr. Embaxador á hacer la demanda solemne de la Sra. Infanta1 Doña María Isabel;</t>
  </si>
  <si>
    <t>Genaro, Francisco (príncipe)</t>
  </si>
  <si>
    <t>Príncipe Francisco Genaro</t>
  </si>
  <si>
    <t>los parentescos que median entre la Serení sima. Sra. Infanta Doña María Isabel y el Serenísimo Sr. Príncipe Don Francisco Genaro, heredero de las Dos Sicilias: como también el poder dado por dicho Sr. Príncipe D. Francisco al Príncipe Ntro. Sr. para desposarse en su nombre, y representando su persona. En vi</t>
  </si>
  <si>
    <t>GenaroSa, Joseph</t>
  </si>
  <si>
    <t>Joseph GenaroSa</t>
  </si>
  <si>
    <t>imo Verde, D. Juan Kindelan, D. Juan O-Neilie, el Conde de Castrillo y Orgaz, D. Joseph Casamayor , D. Joseph GenaroSa-? lazar, D. Gerónimo la Grúa* D. Joaquín Manuel de ViHena, D. Luis Idia-’ quez, D.' Manuel Továrv -D.!‘Pascual1 de la V egay 0. R aymundo Capece Minutólo, D. Joseph Zarauz , D. Fra</t>
  </si>
  <si>
    <t>General de la Martinica y Santa Lucía, Capitán</t>
  </si>
  <si>
    <t>Capitán General de la Martinica y Santa Lucía</t>
  </si>
  <si>
    <t>H a recibido y publicado el ministerio dé Marina la siguiente carta del Almirante Villaret-Joyéuse, Capitán General de la Martinica y Santa Lucía: su fecha en el Fuerte de Francia á 23 de Setiembre. ,,Ciudadano Ministro. La división destinada á tomar posesión de hi Matinica ancló en esta rada al cabo de 40 dias de vbge; y a</t>
  </si>
  <si>
    <t>General de la Real Armada, Capitán</t>
  </si>
  <si>
    <t>Capitán General de la Real Armada</t>
  </si>
  <si>
    <t>Juan Manuel Alvarez, caballero de la del Toyson : D. Juan de Lángara, Gran Cruz de la de Cárlos m ,Capitán General de la Real Armada: D. Pedro Cevallos, primer Secretario de Estado y del Despacho: D. Miguel Cayetano Soler, del Consejo de Estado, Secretario de Estado y del Despacho de Hacienda, y Superintendente</t>
  </si>
  <si>
    <t>General de los Reales, Capitán</t>
  </si>
  <si>
    <t>Capitán General de los Reales</t>
  </si>
  <si>
    <t>a, Gran Cruz de la de Carlos mf con honores.y goce de Sargento Mayor de Reales Guardias de Corps, y Capitán General de los Reales éxercitós : los Consejeros de Estadd Sres. Marques de ,Báxamar, Gran Cruz de la de Carlos iii. Gobernador del Consejo "de Indias: Marques Caballero , Decano del supremo de la Guer</t>
  </si>
  <si>
    <t>General Leclerc, Capitán</t>
  </si>
  <si>
    <t>Capitán General Leclerc</t>
  </si>
  <si>
    <t>cimientos en muchos puntos concernientes al cultivo y á las fabricas ? ‘ El -aviso publicado por el Capitán General Leclerc es perfectamente adaptado vá las circunstancias; porque ni se lo quita todo á los&gt;extrangeros* ni se' lo da todo á los franceses: sino que la diminución 1 concedida á estos de la im</t>
  </si>
  <si>
    <t>General Villaret, Capitán</t>
  </si>
  <si>
    <t>Capitán General Villaret</t>
  </si>
  <si>
    <t>alió de Brest el 1 de Agostó y llego á esta rada el 12 de Setiembre. Al diá siguiente desembarcó el Capitán General Villaret; el i4tóhio este posesión de la colonia, y el 15 me entregó el mándo en xefe de las fuerzas navales de este apostadero^ Tremolóse en todos lós fuertes la bandera de la República ,</t>
  </si>
  <si>
    <t>Generale Christóbal</t>
  </si>
  <si>
    <t>s personas y las propiedades. En conseqiiencia mando lo que sigue: Art. i.° Los Generales Santos y Christóbal han perdido todo derecho al beneficio de la ley: y se manda á todos los ciudadanos los persigan y los traten como rebeldes á la República francesa. 2.0 Desde e</t>
  </si>
  <si>
    <t>utelosamente desde el instante en que le perdonó. Si se entregó, fué porque los Generales Christóbal y Dessalines le deelaráron que ya conocian que los había engañado, y que habían resuelto no seguir la guerra; pero viéndose abandonado de ellos, intentaba mover y coordinar</t>
  </si>
  <si>
    <t>Generale Christophe</t>
  </si>
  <si>
    <t>que les previno con antelación y oportunamente de los atroces designios de los Generales Toussaint y Christophe: yestos infelices aprovechándose sin pérdida de momento de un aviso que tanto les interesaba, se refugiaron á los montes á buscar en sus espesuras un asilo. En</t>
  </si>
  <si>
    <t>Generale Clerveaux</t>
  </si>
  <si>
    <t>odrán conseguir del gobierno quf olvide lo pasado..Mas dignos son de elogio los Generales Clerveaux y Lap!ume * que qpando llegó la esquadra se uniéron á las Rrt^s jfrf^c^saR., p|n^ef^dq^Tlp^ ha confirmado en su grado. ——Se ha públicado, «*n Stp. jP^o.mingp,coñ Ja</t>
  </si>
  <si>
    <t>Generale Conde de Glimes</t>
  </si>
  <si>
    <t>es de Casteldosrius, Marques de la Vera, y Marques de Malferit; y los Capitanes Generales Conde de Glimes , y D. Joseph de Urrutia. . Concurrieron también el Sr. Cardenal Nuncio , y todo el cuerpo diplomático, convidado por oficio del primer Secretario de Estado; y</t>
  </si>
  <si>
    <t>Generale Dabrowsky</t>
  </si>
  <si>
    <t>inación general, y es de creer se repita en las siguientes. Han venido aquí los Generales Moncey y Dabrowsky: este último manda el cuerpo de polacos que está en Italia. París 16 de Enero. D el Havre ha salido estos días una división para Brest; en su travesía ha tocad</t>
  </si>
  <si>
    <t>Generale Daendels</t>
  </si>
  <si>
    <t>úbík:á!'feíjCesáíí-i-? y .■■■■-7 _ ; - Por ópdén deí^góbiefnO han venido aquí^b^Generales Daendels y Dumóncéáuá -dat tienta dé k éonducta que hahí'ténido de dos meses á esfa</t>
  </si>
  <si>
    <t>os cuyo contenido era igual al de los que recibió el ciud. Semoaville., _ &gt; Los Generales Daendels y Desmonceaux remitieron el dia 7 al gobier-, no una declaración en que afirman que no tienen ninguna parte en los es-* critos sediciosos que circulan en el público. Lausana</t>
  </si>
  <si>
    <t>Generale Debelie</t>
  </si>
  <si>
    <t>or dos fuertes de bastante consideración, construidos con mucba regularidad.Los Generales Debelie,Dugua, Devaux y Boudet saliéron heridos de esta refriega; al General Leclerc le dio una bala fría en la cintura, y fuéron heridos á su lado 4 Ayudantes suyos.</t>
  </si>
  <si>
    <t>Generale Desfourneaux</t>
  </si>
  <si>
    <t>des en varios puntos , las divisiones que despaché contra ellos al mando de los Generales Desfourneaux , Ilardy y Rochambeau , ocuparon el 18 y el 19 los puestos de Plasencia, Dondon, San Rafael, Mannetade y S. Miguel, En el distrito de Plasencia mandaba Juan Pe</t>
  </si>
  <si>
    <t>Generale Desmonceaux</t>
  </si>
  <si>
    <t>Generale Dessalines</t>
  </si>
  <si>
    <t>ercio nadonal, sin embargo de que no perdonaron diligencias para destruirle los Generales Louverture y Dessalines. Por su correspondencia interceptada , y por sus edecanes, que son nuestros prisioneros, hemos .sabido que habian dado orden general y absoluta estos dos caudi</t>
  </si>
  <si>
    <t>Generale Dumóncéáuá</t>
  </si>
  <si>
    <t>Generale Gardanne</t>
  </si>
  <si>
    <t>plenipotenciario francés, de los demas individuos del Cuerpo diplomático, délos Generales Gardanne y Spínola, de los oficiales de nuestras tropas, y de gran concurso de otras personas de todas clases; Luego que se formó el Senado, leyó el Secretario general en alta vo</t>
  </si>
  <si>
    <t>Generale Hardy</t>
  </si>
  <si>
    <t>l 2 de Marzo se pusieron en marcha por diferentes caminos las divisiones de los Generales Hardy, Rochambeau, Boudet y Debelle. La de Rochambeau derrotó en el camino un cuerpo de enemigos, de cuyos bagages se apoderó: sus soldados hiciéron un grandísimo bo</t>
  </si>
  <si>
    <t>as del rigor de la intemperie \ pero se cuentan con sentimiento entre ellas los Generales Hardy» Ledoyen» Clement» el Comandante deJngenieros Catoire» y oficiales del mismo cuerpo Jardín, Betourné y Rebert. Quando se escribió esta carta había disminuido m</t>
  </si>
  <si>
    <t>Generale Kleist</t>
  </si>
  <si>
    <t>se habían juntado para ellas mas de 36® hombres de infantería y caballería. Los Generales Moellendorf y Kleist mandaron las evoluciones, y las tropas las executáron á satisfacción del Rey. Los tres mencionados dias hubo grande orquestra en palacio, y el último bayle y c</t>
  </si>
  <si>
    <t>Generale Lap</t>
  </si>
  <si>
    <t>Generale Louverture</t>
  </si>
  <si>
    <t>Generale Moellendorf</t>
  </si>
  <si>
    <t>Generale Moncey</t>
  </si>
  <si>
    <t>Generale Moreau</t>
  </si>
  <si>
    <t>aña de 1 Sor,..en que fué teatro de las hostilidades entre los exércitos de los Generales Moreau y iCráy, se sienten ahora mucho mas los daños que ha causado esta tempestad. Manheim 25 de. Jimio. A exemplo del Rey de Prüsia hace el Elector de Baviera disposi</t>
  </si>
  <si>
    <t>Generale Murat</t>
  </si>
  <si>
    <t>, compuesta en gran parte de tropas del exército de oriente. Le acompañaban los Generales Murat, Duhesme, Bessieres, Duroc, sus Edecanes, y todos los Oficiales Generales de esta división. Habló con muchos granaderos, y elogió públicamente su valor y buena</t>
  </si>
  <si>
    <t>Generale Pablo Louverture</t>
  </si>
  <si>
    <t>desde qqe llegámos á Santo Domingo , el modo con que nos hemos portado cen los Generales Pablo Louverture, Clervaux, Maurepas , y sus compañeros de ^rmas, os habrán enseñado á estimar en su justo valor quanto ha inventado la malevolencia para desacreditar la pureza</t>
  </si>
  <si>
    <t>generale Príncipes Dolgorowsky</t>
  </si>
  <si>
    <t>comitiva consiste en el Mariscal de la corte Conde de Tolstoy, los 3 Ayudantes generales Príncipes Dolgorowsky y Wolkousky, y Conde de Lieven, el Ministro Conde de Kotsr,hubey, un Médico, y varios secretarios y criados. Al pasar per delante del campamento prusiano le hiciéron salva</t>
  </si>
  <si>
    <t>Generale Santos</t>
  </si>
  <si>
    <t>Generale Spínola</t>
  </si>
  <si>
    <t>Generale Toussaint</t>
  </si>
  <si>
    <t>generale Wolkousky</t>
  </si>
  <si>
    <t>Gensau</t>
  </si>
  <si>
    <t>la corte hizo la entrega del corazón del difunto Príncipe heredero de Badén, poniéndolo en manos de Mr. Gensau, primer Chambelán. S. A. S. el Margrave se habia transferido á Rastadt por no presenciar este doloroso acto. El corazón quedó expuesto en una sala de palacio hasta las 9 de la noc</t>
  </si>
  <si>
    <t>Geofíroy</t>
  </si>
  <si>
    <t>endée, en donde visitó á su familia; y el dia 4 salió de allí para Fontenai. El ciud. Geofíroy, profesor de zoología en el museo de historia natural, ha vuelto también de Egipto á Francia: trae muchos caxones de minerales, plantas y aves, que juntó en su</t>
  </si>
  <si>
    <t>Gerad</t>
  </si>
  <si>
    <t>dos horizontalmente, y qué allí - mismo se han vuelto carbono fía depositado el ciud. Gerad ea este museo de historia natural üineuras</t>
  </si>
  <si>
    <t>Gerard</t>
  </si>
  <si>
    <t>ero; los demas se salvaron en la embarcación inglesa el Comercfc&gt; de Pool. v El ciud. Gerard, Contralqr de las contribuciones del departamento dél Aisrte, acaba dé descubrir á: álgunasleguas de JLaon una mina dé sqccino &lt;5 ámbar , dél más hermoso'color</t>
  </si>
  <si>
    <t>Gerardo Moreno</t>
  </si>
  <si>
    <t>atricio Gómez, D. Manuel Martínez-, D. Dionisio Pinedo, D. HemeterioMdtetio* D. Anacleto Orbañanos, D. Gerardo Moreno, D. Braulio Martínez, Don Vicente Heras y D. Valentín Gutiérrez. Y en la tercera D. Valentín Sa^ cristas, D. Manuel Arjumariz, D. Joseph Ruiz y D. Estiban de Estefanía. Barcelona</t>
  </si>
  <si>
    <t>Gerardo Morphry Connan</t>
  </si>
  <si>
    <t>Juan Pascual y AyeL, D. Joseph de Posada* y Castilla^ D. MigüeldeVá-^ randicaylX Marcos Betancourt, D. Gerardo Morphry Connan, D. Pedro Fühés V Morillo, D: LoptfFtíúes ^í^íorifjló * D. ¡Andrbs Allende Salazar, D: Lorenzo dé Parra y VÚlalba-, D; Ramón Matsia y Páger* D. Antonio Carbonera y Masa, D. Jóseph</t>
  </si>
  <si>
    <t>Gerardo Robértone</t>
  </si>
  <si>
    <t>lo : los Gentileshombre^ de Boca dé S. M.; i caballo, y en medio de estos el Secretario de Embaxáda D. Gerardo Robértone’, y á sus lados los caballeros agregados á ella D. Leonardo Jobo y D. Francisco Carafa, en caballos de las Reales caballerizas. Seguía et Sr. Embaxador ¡acompañado por el Sr. Marqu</t>
  </si>
  <si>
    <t>Gerona, Melchor</t>
  </si>
  <si>
    <t>Melchor Gerona</t>
  </si>
  <si>
    <t>vido á Ingenieros en segundos de sus exércitos, plazas y fronteras á los ordinarios D. Tomas Costa, D. Melchor Gerona, D. Bernardino de Losa y D. Juan Iñiguez. En el de caballería del Rey á Comandante de esquadron al Capitán de Carabineros, graduado de Teniente Coronel, D. Joseph Gregorio de Toro</t>
  </si>
  <si>
    <t>Gerónima Figueroa</t>
  </si>
  <si>
    <t>mes se invacunasen 108 niños de ambos sexos , siendo la primera Doña Ines Chico y Figueroa, hija de Doña Gerónima Figueroa, la qual ha facilitado su casa repetidas veces para la operación. Don Gregorio Chico, tana</t>
  </si>
  <si>
    <t>Geronima Figueroa</t>
  </si>
  <si>
    <t>ban en este con la propagada vacunación, deseáron participar de igual beneficio, y para conseguirlo Doña Geronima Figueroa, de la villa de Zeliegin, mando á una niña de una labradora para que se vacunase, á fin de que por este medio pudiera comunicársele á su hija la vacuna; lo que en efecto consiguie</t>
  </si>
  <si>
    <t>Gerónimo Alonso</t>
  </si>
  <si>
    <t>82. „ 7. Id. Gerónimo Alonso... Francisco, Bernarda Rodríguez;,......... ........................Fuentes Otero. León.............. 201. ir. Id. Josef Gonzál</t>
  </si>
  <si>
    <t>Gervasio Fer</t>
  </si>
  <si>
    <t>, administrador que fué del citado catado de la Conquista , radicados en su jingadó y escribanía de D. Gervasio Fer</t>
  </si>
  <si>
    <t>Gervasio Fernández Izquierdo</t>
  </si>
  <si>
    <t>D. Juan Antonio Santa María, Teniente Corregidor de esta villa , y por la escribanía del número de D. Gervasio Fernandez Izquierdo, se es'tá subastando una casa sita en esta corte en la calle del Escurial , núm. ig , fttanz. 4Ú0, que contiene io8gf píes, tasada en 88,079 rs. 8 mrs. Quien quisiere hacer postur</t>
  </si>
  <si>
    <t>del Sr. D. Juan Antonio Santa María, Teniente Corregidor de esta villa, y escribanía del número de D. Gervasio Fernandez Izquierdo. Se abre subscripción á la Historia de los caballeros hospitalarios de S. Juan de Terusalen entendidos comunmente por Malteses : escrita en francés por el Abad Vertot del hábito d</t>
  </si>
  <si>
    <t>del Sr. D. Juan Antonio Santa María, Teniente Corregidor de esta.villa, y escribanía del número de D. Gervasio Fernandez Izquierdo, se está subastando una casa sita en esta corte , calle del Escurial, núm. ig, raasz, 4fio, que consta de ao8g pies, tasada en 88,079 rs. 8 mrs. Quien quiera hacer postyra á ella</t>
  </si>
  <si>
    <t>del Sr. D. Manuel Vicente de Torres , Teniente Corregidor de esta villa, y escribanía del número de D. Gervasio Fernandez Izquierdo, se está subastando una casa sita en esta corte, en la calle de Sta. Isabel, ndm 1, manz. ¿4, que tiene de sitio 6424^ pies/y ésta tasada en 133,049 rs. Quien quiera hacer postura</t>
  </si>
  <si>
    <t>Gervasio Feruax</t>
  </si>
  <si>
    <t>ipe Zapata , administrador que fué del estado de Conquista, radicados,en su juzgado y escribanía de D. Gervasio Feruax dez Izquierdo , y presenten el estado de ío que se les deba por dicha testamentaría : á,saber , al citado estado de la Conquista de resultas de su administración , que estuvo á cargo</t>
  </si>
  <si>
    <t>Gervasio Gandía</t>
  </si>
  <si>
    <t>144. 18. Id. Gervasio Gandía.................. Roque, Ignacia Paredo.... Recandio....... Búrgos........... 4* Id. Andrés Santos........ .. Alexo, Juana Turienzo....</t>
  </si>
  <si>
    <t>Gervasio Gasea</t>
  </si>
  <si>
    <t>Juan Macarti, 0. Dionisio Sánchez, D. Joseph Chardenoux, D. Joaquín de la Hoz, D. Mateo Rodrigue?, D. Gervasio Gasea, D. Joseph Metzguer; y áD. Ignacio Paino y Mateos, grado de Milicias. En América, D. Pedro Salcedo, D. Francisco de Torres, D. Cárlos Larras, D. Joseph del Castillo, D. César Baib</t>
  </si>
  <si>
    <t>Ghabot</t>
  </si>
  <si>
    <t>nsul ó ciudadano,solo viviré para la grandeza y la felicidad de la Francia.” El ciud. Ghabot» orador dé la diputación del Tribunado, dixo entre otras cosas: „Se convoca al pueblo francés para que dé su voto sobre sus snas preciosos intereses: y debe co</t>
  </si>
  <si>
    <t>Ghristóbal</t>
  </si>
  <si>
    <t>que se ha logrado con la vacunación el exterminio de la epidemia de viruelas. Conserva el expresado D. Ghristóbal buen fluido vacuno, y le ofrece ¿ quien quiera propagar esta útil operación. Madrid 2,4 de Agosto. E 1 Rey se ha servido nombrar para un Beneficio de la metropolitana de Tarragona</t>
  </si>
  <si>
    <t>Ghristóbal Fohn</t>
  </si>
  <si>
    <t>Jayme Stóffel, D. Joseph Chaqué, D. Jayme Steudinger, D. Juan Cristiano Bagnioud, D. Francisco Zey, D. Ghristóbal Fohn, D. Joséph Trax* ler, D. Francisco Joseph Márcos de Courten * D. Casimiro de Mendoza^ D. Baltasar Samitier, D. Joseph Plano, D. Camilo Arroyo , D. Rafael Mariano, D. Félix Zurbano</t>
  </si>
  <si>
    <t>Ghristóbal, General</t>
  </si>
  <si>
    <t>General Ghristóbal</t>
  </si>
  <si>
    <t>cunstancias que comunica en su carta el General Leclerc sobre lo ocurrido con el mulato Sangos y el General Ghristóbal, añade): ,,La fragata Sirena me traxo el dia 4 la noticia' de haberse hecho Felizmente el desembarco en la bahía de Manzanilla, y de haber entrado las tropas en Fuerte-Delfín. En</t>
  </si>
  <si>
    <t>Giiman, Antonio</t>
  </si>
  <si>
    <t>Antonio Giiman</t>
  </si>
  <si>
    <t>axo la dirección de D. Pedro Fuertes, D. Iñigo Ortes de Velasco, D. Joseph Alaría Ortes de Velasco, D. Antonio Giiman, Don Juan Bautista Cerain y D. Joaquín Fernandez Medrano. En gramática castellana, baxo la dirección de D. Francisco Aranzabal, D. Bernardino Echagfte, el Marques de Iranda, D. Lu</t>
  </si>
  <si>
    <t>Gil Antonio Laguna</t>
  </si>
  <si>
    <t>do y en que parroquia, para- comunicarles ciertas noticias. Quien las tuviese de e!! i dará aviso á D. Gil Antonio Laguna, que vive calle de ’a Ruda, mim. 1. quarto principal. Segunda edición del origen, desabrimiento y progresos de Ja inoculación de Ja vaccina ó vacuna, con arreglo á las últimas obs</t>
  </si>
  <si>
    <t>Gil de Olaun y Briones, Félix</t>
  </si>
  <si>
    <t>Félix Gil de Olaun y Briones</t>
  </si>
  <si>
    <t>imple servidero de las villas de Castro y Espejo , en la diócesis de Córdoba, vacante por muerte de D. Félix Gil de Olaun y Briones, á D. Román del Rey. S. JVL se ha servido promover en el regimiento de Reales Guardias Walonas á primer Teniente al segundo Teniente de granaderos D. Cárlos de Gravina. En el Real</t>
  </si>
  <si>
    <t>Gil de Santi, Joseph</t>
  </si>
  <si>
    <t>Joseph Gil de Santi</t>
  </si>
  <si>
    <t>ria Serrano : para otra de la de la Coruña, en el arzobispado de Santiago, vacante por promoción de D. Joseph Gil de Santi*bañez á otrade la catedral de Cuenca, á D. Francisco del Rio: para otra de la colegial de S. Martin de Helines, diócesis de Burgos, vacante por fallecimiento de D. Isidoro Meliton</t>
  </si>
  <si>
    <t>Gil de Tejada, Pedro</t>
  </si>
  <si>
    <t>Pedro Gil de Tejada</t>
  </si>
  <si>
    <t>. D. Isidoro García Plaza. En Jaén................D. Pedro y Juan Esponera. En León................ D. Pedro Gil de Tejada. En Málaga........... D.Antonio Mariano. En Murcia............Sres. Moreda y Ladalld. En Oviedo......... D. Manuel Rubiano. En Falencia.......... D. Nicolás Calonge. En Palma.....</t>
  </si>
  <si>
    <t>. Isidoro García Plaza. En Jaén...............D. Pedro v Juan Esponera. En L eon................... D. Pedro Gil de Tejada. En Atdlaga............ D. Antonio Mariano. En JMitrcia.............. Sres. Moreda y Ladalid. En Oviedo............... D. Manuel Rubiano. En Palenda........... D. Nicolás Calonge.</t>
  </si>
  <si>
    <t>ara. D. Isidoro García Plaza. En Jaén........... D. Pedro y Juan Esponera. En León................. D. Pedro Gil de Tejada. En Málaga.......... . D. Antonio Mariano. En Murcia............. Sres. Moreda y Ladalid. En Oviedo.............. D. Manuel Rubiano. En Palencia.......... D. Nicolás Calonge. En P</t>
  </si>
  <si>
    <t>.D. Isidoro García Plaza. En Jaén*...á......... D. Pedro y Juan Esponera. ; En León....... ........ D. Pedro Gil de Tejada. En Málaga.......... D. Antonio Mariano. En Murcia............Sres. Moreda y Ladalid. En Oviedo............. D. Manuel Rubiano. En Falencia....... D. Nicolás Calonge. En Palma....</t>
  </si>
  <si>
    <t>D. Isidoro García Plaza. En Jaén................ D. Pedro y Juan Esponera. En León.................D. Pedro Gil de Tejada. En Mdlag * • •••••• D. Antonio Mariano. En Murcia..... ..... Sres. Moreday Ladalid. En Oviedo........... D. Manuel Rubiano. En Patencia........ D. Nicolás Calonge. En Palma.....</t>
  </si>
  <si>
    <t>a. D. Isidoro García Plaza. En Jaén............... D. Pedro y Juan Esponera. En León............. . D. Pedro Gil de Tejada. En Málaga........... D. Antonio Mariano. En Murcia.......... Sres. Moreda y Ladalid. En Oviedo..... ...... D. Manuel Rubiano.</t>
  </si>
  <si>
    <t>a. D. Isidoro García Plaza. En Jaén.................D. Pedro y Juan Esponera. En León............ . D. Pedro Gil de Tejada. Én Mahon............. D. Jayme Moneada. En Malaga.......... D. Antonio Mariano. En Murcia.............Sres. Moreda y Ladalid. En Oviedo............. D. Manuel Rubiano. En Patenci</t>
  </si>
  <si>
    <t>. D, Isidoro García Plaza. • En Jaén................ D. Pedro y Juan Esponera. En %eon.¿.:.;~...... D. Pedro Gil de Tejada. En Mahon.i.......... D. Jayme-Moneada. 1 En Malaga......... D. Antonio Mariano.. r ;* kl Én Mtircia.......... Sres. Moreda y Xadalid.. f En Oviedo........... D. Manuel Rubiano. E</t>
  </si>
  <si>
    <t>Gil Santibañez, Joseph</t>
  </si>
  <si>
    <t>Joseph Gil Santibañez</t>
  </si>
  <si>
    <t>l: para una Canongía de la catedral de Cuenca , vacante por muerte de D. Francisco Antonio Fuero, á D. Joseph Gil Santibañez, Canónigo de la colegiata de la Coruña: para otra de la misma iglesia, vacante por fallecimiento de D. Juan Ramón Recarte, a D. Antonio Moreno Ximenez de Roxas, Canónigo de la cat</t>
  </si>
  <si>
    <t>Gil y Alheniz, Manuel</t>
  </si>
  <si>
    <t>Manuel Gil y Alheniz</t>
  </si>
  <si>
    <t>bril. I _ ntroducida la vaccina en esta ciudad por D. Francisco Sánchez en su hijo Nicasio, ze.loso D. Manuel Gil y Alheniz , su médico titular, de propagar-' la al resto de Us criaturas que no habían: tenido viruela natural ó inoculada, no, perdió tiempo en hacer la operación, á pesar de algunos que s</t>
  </si>
  <si>
    <t>Gil y Lem, Cayetano</t>
  </si>
  <si>
    <t>Cayetano Gil y Lem</t>
  </si>
  <si>
    <t>nado nombrar Ayudante veterano dél batallón de Pardos libres de Panamá al Subteniente de infantería D. Cayetano Gil y Lem &gt;s: Capitanes de i batallón fixo de Panamá al Ayudante D. Manuel Yuste y al Teniente de granaderos D. Joseph Antonio Kemon; Ayudante al Teniente D. Francisco Xavier de Arosemana;</t>
  </si>
  <si>
    <t>Gil, Ángel</t>
  </si>
  <si>
    <t>Ángel Gil</t>
  </si>
  <si>
    <t>....... no. 18. Id. Angel Gil.............................. Josef, Manuela Márcos.... Villasendino. Búrgos............ 24's. 25. Id. | Manuel Torres.................. Policarpo, Josefa Ruiz....... Benamariel.. P</t>
  </si>
  <si>
    <t>Gil, Antonio</t>
  </si>
  <si>
    <t>Antonio Gil</t>
  </si>
  <si>
    <t>stro D. J uan Castro, D. Joseph Kindelan , Don Ignacio Empatan, D. Pedro Tavira, D. Rodrigo Tavira, D. Antonio Gil-, mán, D. Fernando Adan de Yarza, D. Manuel de la Riva Agüero, D. Joseph Cia, D. Leopoldo Menendez, D. Joseph de Torres, D. Joseph Munive, D. Luis Verganza, D. Luis Vidarte, D. Joa</t>
  </si>
  <si>
    <t>Gil, Juan Manuel</t>
  </si>
  <si>
    <t>Juan Manuel Gil</t>
  </si>
  <si>
    <t>antería de Goatemala á Tos Capitanes D. Juan Sánchez, D. Simón de Ubau y D. Andrés Gil Taboada, y á D. Juan Manuel Gil, Ayudantes que eran de las propias milicias; y Sargentos mayores de las de dragones á los Capitanes D. Alexandro Carrascosa y D. Pedro Benedi, y á los Ayudantes D. Pedro de Campo</t>
  </si>
  <si>
    <t>Gil, Ramón</t>
  </si>
  <si>
    <t>Ramón Gil</t>
  </si>
  <si>
    <t>n.-segunMa fecfttá . r: . ...-i , Dv Miguel de la Puente y Aranguren , r 0. Juan Miyares y Mancebo^ D. Ramón Gil, 0. Antonio Costilla * .0. Antonio Fernandez, D. Martin de Asis, D. Gabriel Gutiérrez, ¿0* Manuel&lt; Herrera, D. Ramón García, D. Joseph Escario, 0. Joseph'de Sotó, D. Tomas Chacón,</t>
  </si>
  <si>
    <t>Gilmán, Antonio</t>
  </si>
  <si>
    <t>Antonio Gilmán</t>
  </si>
  <si>
    <t>En las humanidades y retórica, baxo la dirección de su profesor D. Pedro Fuertes, los seminaristas D. Antonio Gilmán, D. Iñigo Ortes de Velasco y D. Joseph María Ortés de Velasco. En matemáticas, baxo la dirección de sus dos profesores D. Joseph Antonio de Ojea, y el Subteniente D. Antonio Isido</t>
  </si>
  <si>
    <t>D. Manuel de la Riva Agüero, D. Manuel de Lardizabal y Montoya, D. Ignacio de Lardizabal y Altana, D. Antonio Gilmán, D. Joachín íernandez de Medrano, D. Rodrigo y D. Pedro Tavira, D. Ignacio de Emparan, X). Leopoldo Menendez, D. Joseph de Munive y D. Ramón de Zuloaga. Ln múrica vocal, al cargo</t>
  </si>
  <si>
    <t>Gines</t>
  </si>
  <si>
    <t>bien caballero de Calatrava y* Regidor perpetuo, hermano del D. Gines, ha hecho invacunar á una luja y dos nietos , procurando estos sugetos persuadir con su exemplo, y desvanecer los temores con que solian detenerse algunos padres por ignorar el fe</t>
  </si>
  <si>
    <t>rtillería del departamento de Canárias se~ha servido el Rey promover á Tenientes á los Subtenientes D. Gines de tCastro, ;D. Joseph Espinosa y Carribreleng y D. Agustín Márquez Rome=ró y /y Á Subtenientes a D, Joseph Cuezala Bignoni y D. Juan Leal y Vehjdugo:; habiendo igualmente conferido</t>
  </si>
  <si>
    <t>Gines Albadalejos</t>
  </si>
  <si>
    <t>a, D. Francisco Ezpeleta, D. Juan Albérni, D. Joaquín Puertolas, D, Vicente Pinzón, D. Félix Muñoz, D. Gines Albadalejos . D. Juan Pelayo Sánchez', D. Joseph María Crespo , D. Bartolomé Reselló, D. Miguel Valcarcel, D. Martin de la Carrera^ D. Jayme Garrofa, y D. Joseph Rich. En América. D. Joseph A</t>
  </si>
  <si>
    <t>Gines Antón</t>
  </si>
  <si>
    <t>9. 23. Muerto. Gines Antón......................... Antonio, Florentina Valero. Elche............. Valencia..'... 260. 12. Licenciado. Aiexandro Casal.................. Antonio, Paula Terra...... S. Verisimo.. S</t>
  </si>
  <si>
    <t>Gines Chico de Guzman</t>
  </si>
  <si>
    <t>no que no ha perdonado cuidado ni fatiga para hacer que sus compatriotas disfruten dicho beneficio. Don Gines Chico de Guzman, caballero de Calatrava y Regidor perpetuo de esta villa, ha proporcionado á tuerza de activas diligencias el pus vacuno á D. Manuel Fernandez Salinas , cirujano en ella ; ie ha f</t>
  </si>
  <si>
    <t>Gines López del Castillo</t>
  </si>
  <si>
    <t>Santiago Aldaó, D. Juan Piñeyro, D, Narciso Llaudes, D. Pedro Marsilla, D. Ni-' colas dél Castillo, D. Gines López del Castillo, D. Mariano de Lara,Dori' Manuel Fernandez Cortacero, D. Manuel Barrientos, D. Nicolás Povil, D, Juan de Robles, D, Rafael Seáis, D. Joseph Sotolongo, D. Juan Cirera, D. Joseph de</t>
  </si>
  <si>
    <t>Gines Marsilia</t>
  </si>
  <si>
    <t>n de Londoño, D. Ramón de Novoa, D. Francisco García Señeris, D. Tomas Seidel, D. Antonio Moragues, D. Gines Marsilia, D. Isidro Suquilvide , 0. Nicolás Angelí. Radovani, 0. Pedro Salas- , 0. Joseph Foraster, D. Francisco de PaulaiZayas, D. Francisco Tórdi, I&gt;. Joaquiti Ruiz, Don Ignacio Salazar</t>
  </si>
  <si>
    <t>Ginesta, Agustín</t>
  </si>
  <si>
    <t>Agustín Ginesta</t>
  </si>
  <si>
    <t>viuda de Cerro, red de S. Luis , y en su puesto, calle de Alcalá. El Conservador de los niños, por D. Agustín Ginesta, catedrático del Real colegio de S. Carlos de esta corte. Se hallará á 3 rs. en la librería de Castillo. Estampa nueva en papel de marquilla, que representa la preciosa Cruz de ca</t>
  </si>
  <si>
    <t>Girai, Joseph</t>
  </si>
  <si>
    <t>Joseph Girai</t>
  </si>
  <si>
    <t>os, en el Rey no de Nueva España, á D. Manuel Quimper, D. Francisco Rocha, D. Juan González Ferino, D. Joseph Girai de órame y Don Antonio Cumulat. Continuación del tratado de paz con S. M. Británica. Siguen las estipulaciones concernientes d Malta. j.° Se proclama la neutralidad permanente de la</t>
  </si>
  <si>
    <t>Giratdo, Ramón</t>
  </si>
  <si>
    <t>Ramón Giratdo</t>
  </si>
  <si>
    <t>promoción de D. Antonio Cano Manuel, i plaza supernumeraria de* Alcalde de lá;Reál casa y .corte, á D. Ramón Giratdo; y para úna supernumeraria de* Oidor dé iá Audiencia de Sevilla i D.- Antonio Vicente Yáñez. -/ El Rey se ha dignado nombrar para la Vara'de Alcalde mayor de ñu»* • va creación de</t>
  </si>
  <si>
    <t>Girau de Ciptat, Juan (capitán)</t>
  </si>
  <si>
    <t>Capitán Juan Girau de Ciptat</t>
  </si>
  <si>
    <t>carta de Medina de 3 de Agosto. ,, La tartana francesa nombrada la Virgen del Rosario, al mando del Capitán Juan Girau de Ciptat, fue asaltada el 10 de Junio por piratas cerca de las costas de Sicilia. Todas las personas que habiá en eUa fuéron pasadas á cuchillo. Sé apoderaron los piratas de los víveres, d</t>
  </si>
  <si>
    <t>Girón, Pedro</t>
  </si>
  <si>
    <t>Pedro Girón</t>
  </si>
  <si>
    <t>r á casa de la difunta, á la que también concurriéron el Teniente Cura^D. Pedro Mancheño, el Médico D. Pedro Girón, y el Cirujano D. Pascual Quartero, conocido por sus delicadas y hábiles operaciones; y apresurando los./instantes para la que convenía nacer en este caso, se executó diestramente</t>
  </si>
  <si>
    <t>Giroud de Villette, Pedro</t>
  </si>
  <si>
    <t>Pedro Giroud de Villette</t>
  </si>
  <si>
    <t>instrucciones que necesiten de D. Félix de Tabüega , que vive calle del Carmen, mím. 3 , quarto a.° Don Pedro Giroud de Villette , adornista de casa y cámara de S. M., dueño de Ja Real fábrica de papeles pintados establecida en Madrid junto al convento de las Comendadoras de Santiago , ha puesto , para mayo</t>
  </si>
  <si>
    <t>Gispert, Estéban</t>
  </si>
  <si>
    <t>Estéban Gispert</t>
  </si>
  <si>
    <t>se ha servido conceder Tenencia en el regimiento de infantería de la Corona fixo de Nueva-España á D. Estéban Gispert, Guardia de la Compañía Americana del Real cuerpo de Guardias de Corps. Igualmente se ha servido S. M. nombrar para la Regencia de la Audiencia de Filipinas, vacante por muerte de</t>
  </si>
  <si>
    <t>Gispert, Manuel</t>
  </si>
  <si>
    <t>Manuel Gispert</t>
  </si>
  <si>
    <t>eficio de Chinchilla, en la diócesis de Cartagena, vacante por fallecimiento del Cardenal Celada* á D. Manuel Gispert; y para la Capellanía Doctoral de la Real capilla, de S. Fernando de la ciudad de Sevilla, vacante por la promoción jde D..Manuel María de Arjona á la Canongía Penitenciaria de la</t>
  </si>
  <si>
    <t>Gjtonzálo Hurtado Vaidoyinos</t>
  </si>
  <si>
    <t>éste Principado D. Antonio dé Camjpa. y dé Ferrer; de la de Cace res al del exército de Extremadura D. Gjtonzálo Hurtado Vaidoyinos; de Alcalde del Crimen de la Chancilteríá de Grabada al Aüditor dé Marina del dépérta</t>
  </si>
  <si>
    <t>Glagau</t>
  </si>
  <si>
    <t>á luz. Memel 15 de Junio. E 1 9 del corriente pasáron el Rey y la Reyna de Prusia á ver la casa de Mr. Glagau en que ha de alojarse el Emperador Alexandro 1, y la halláron muy bien dispuesta. Deseando esta ciudad celebrar con pompa la llegada de los dos Soberanos, erigió dos arcos triunfale</t>
  </si>
  <si>
    <t>Glenhervie, Lord</t>
  </si>
  <si>
    <t>Lord Glenhervie</t>
  </si>
  <si>
    <t>esa, destinada á llevarle á su pais. . y Se h,a aprobado en el Parlamento un bilí presentado por el Lord Glenhervie &gt;. para anular jas órdenes que prohibían toda correspondencia por * escrito entre los habitantes de estos Reynos y los de .países extrangeros. ; . Hay varias apuestas, algunas de</t>
  </si>
  <si>
    <t>Gllzrnan, María</t>
  </si>
  <si>
    <t>María Gllzrnan</t>
  </si>
  <si>
    <t>a si ta en dicho lugar de Fllentan-aI perteneciente á Ja memoria fundada en dicho Real oratorio por Doña María Gllzrnan, tasada en J 3,S9 6 rs. ,que se esrá subastando ante el mismo Sr. Alcalde y escribanía, se ha señalado para su remate el lúnes 2'2 de este mes á las J"1. de su mafia""'!' na y en</t>
  </si>
  <si>
    <t>Glocester de Inglaterra, Príncipe</t>
  </si>
  <si>
    <t>Príncipe Glocester de Inglaterra</t>
  </si>
  <si>
    <t>cuerpo f executó diversas maniobras y evoluciones en ¿la plaza del jardín de veranó á presencia del Príncipe Glocester de Inglaterra y de un concurso numerosísimo.. Se ha publicado un ukase del Senado con fecha de 12 de Agosto, por el qual se previene á los tribunales despachen con mas prontitud las causas sobre let</t>
  </si>
  <si>
    <t>Geno* ral Michelson* Entre las-muchas peTsonasqueconcurriéroná ver estas evoluciones se hallaban el Príncipe Glocester de Inglaterra, el deWurtemberg, el de Badén y todos los Mihistro^extrangeros.-Como i causa del mal tiempó se Han suspendido loa demas excretorios» se ha transferidola Emperatriz madre de Xresno</t>
  </si>
  <si>
    <t>Gnillermo, Príncipe</t>
  </si>
  <si>
    <t>Príncipe Gnillermo</t>
  </si>
  <si>
    <t>l Soberano muy satisfecho de la hermosura del buque. . &lt;r Después de. un viage que hizo á Moskow el Príncipe Gnillermo de - Glocester , ha vuelto aquí pocos dias hace, y se propone salir en breve para Stockolmo. El Conde Juan Potocki, individuo de esta academia de ciencias, bien /conocido entré los s</t>
  </si>
  <si>
    <t>Gobernador Castagna</t>
  </si>
  <si>
    <t>sta. Dichos diputados son el Marques Testaferiata por la ciudad de Bormolo , el Gobernador Castagna por Seaglia, los Sres. Cachia por Zictura, Mullea, primer Senador, por Gozzo; y algunos eclesiásticos por Malra. Han baxado estos dias los fondos públicos, lo</t>
  </si>
  <si>
    <t>Gobernador Juez de Alzadas</t>
  </si>
  <si>
    <t>los de astronomía. Se tuvieron estos .actos en la casa consular, presidiendo el Gobernador Juez de Alzadas, con asistencia de varios individuos de la nobleza y xefes militares de esta plaza convidados por el Consulado, habiendo sido general la satisfacción que manif</t>
  </si>
  <si>
    <t>Gobernador Keppel</t>
  </si>
  <si>
    <t>l mulato Pelagio para cangear algunos prisioneros ; y escribe aquel caudillo al Gobernador Keppel que está pronto á entregar la colonia á qualquier persona enviada por Bonaparte, excepto al Almirante Lacrosse, á quien (dice) tuvo que echar de dicha isla por</t>
  </si>
  <si>
    <t>Gobernador Mr</t>
  </si>
  <si>
    <t>cha de especias ha sido abundantísima el año último en la isla de Ceylarr, cuyo Gobernador Mr. Federico North regaló al director .de los plantíos una medalla de, oró con caderiá del mismo metal, y repartió entre los subalternéis varios vestidos y gorros</t>
  </si>
  <si>
    <t>da ha causado mucha alegría á los habitantes de la isla de S. Bartolomé. _ . El Gobernador Mr. de WiHebrandt, que se habia embarcado aquí para Finlandia, pereció en la travesía de resultas de haber naufragado la embarcación en que iba, perdiéndose toda</t>
  </si>
  <si>
    <t>GodelUek</t>
  </si>
  <si>
    <t>que les sirve de reclamo para coger los; cierros. En la misma junta presentó el ciud. GodelUek dos enanos que ha traído k París, de los quates mereció principalmente la atención la llamada Stockeir. Esta .moza, que junt^ á una pequeñez extraordinaria de cuerpo</t>
  </si>
  <si>
    <t>Godfrido Ebertz, Juan</t>
  </si>
  <si>
    <t>Juan Godfrido Ebertz</t>
  </si>
  <si>
    <t>on Joaquín Zaragoza: en el regimiento Suizo de Rutimari.á Subteniente de granaderos al de fusileros D. Juan Godfrido Ebertz; y ha nombrado el Rey para la Capellanía del segundo batallón del regimiento Suizo de Betschairt á Fri Francisco Nétto. - En las compañías de milicias de Artillería del departamen</t>
  </si>
  <si>
    <t>Godina</t>
  </si>
  <si>
    <t>osada £ plazá de Ministro del mismo Consejo. La feria que se celebraba en la villa de la Almunia de Doña Godina, en Aragón, los dias'24, 2f y 26 de Setiembre, se ha trasladado con facultad Real al día'311'deiAgosto ;ydos 3 sucesivos i , 2 y-3 deSetiembré. fr En la rifa que se ha practicado</t>
  </si>
  <si>
    <t>Godinez de Paz, Antonio</t>
  </si>
  <si>
    <t>Antonio Godinez de Paz</t>
  </si>
  <si>
    <t>4'72 ... . : . ............................... crita por D. Antonio Godinez de Paz, cursante que fué en medicina en la universidad de Salamanca, habiendo exercido su profesión mas de ¿o años. Se vende á 8 rs. en la librería de Quiroga, calle.de las Carretas. Mem</t>
  </si>
  <si>
    <t>Goerta, Conde</t>
  </si>
  <si>
    <t>Conde Goerta</t>
  </si>
  <si>
    <t>llegarán á Ratisbona al mismo tiempo que Mí. Buhler, Enviado de Rusia, y pocos dias después que el Conde Goerta, Ministro prusiano. '~ - ■- ■ ‘-'r3 -* Los directores de los varios cantones de la nobleza inmediata de Suabia ; sehan convocado y celebran asamblea pára deliberar sobréc sus iote</t>
  </si>
  <si>
    <t>Goetz</t>
  </si>
  <si>
    <t>á la humanidad este hallazgo: se propuso (á pesar de algunas objeciones de los ciudadanos Goetz, Vaumes &amp;c.!) éL Ayudante1 dé cirugía del exército y Cirujano en está ciudad-D.-Vicente L\ibét, 'dafrprincipio á esta nueva inoculación en presencia dé D.- Bél</t>
  </si>
  <si>
    <t>Goiburu, Martín</t>
  </si>
  <si>
    <t>Martín Goiburu</t>
  </si>
  <si>
    <t>36. a6. Muerto. Martin Goiburu.................. Pedro , Francisca Aguirre . Mendaro. ..,. Bilbao........... 20. 21. Id. Sargento i.° Juan Antonio Arias.................................</t>
  </si>
  <si>
    <t>Golenitschef-Kutusoíf, Almirante</t>
  </si>
  <si>
    <t>Almirante Golenitschef-Kutusoíf</t>
  </si>
  <si>
    <t>e ellas no tardarán en publicarse. El 29 del mes próximo .pasado murió aquí en edad muy avanzada el Almirante Golenitschef-Kutusoíf, y ayer mañana se le dio sepultura con toda la pompa y honores militares. El Emperador siguió el entierro á pie, y acompañaban al cadáver muchas tropas con sus banderas y cañones,</t>
  </si>
  <si>
    <t>Gómez Avecia, Miguel</t>
  </si>
  <si>
    <t>Miguel Gómez Avecia</t>
  </si>
  <si>
    <t>Orille: también se mandó darles certificaciones, como igualmente á D. Félix de la Maza y Llaguno, y D. Miguel Gómez Avecia: habiéndose dado principio y concluido el acto con dos oraciones que leyéron el referido Beaumont y D. Juan del Campo y Valdes, alusivas al objeto de aquella lucida y numerosa con</t>
  </si>
  <si>
    <t>Gómez Barreda, Joaquín</t>
  </si>
  <si>
    <t>Joaquín Gómez Barreda</t>
  </si>
  <si>
    <t>Juan Ignacio Bustillos, D. Felipe Tcurneil, D. Pedro Esquível, D. Pedro de Mesa, D. Ignacio Olaeta, D. Joaquín Gómez Barreda, D. Benito Santacilia, D. Cosme- Carranza, D. Joseph Melendez, D. Antonio Pareja, D. Francisco Piedrola, D. Fernando Bustillo Cuéva,' D. Francisco Vízcarrondo, D. Santiago Irrisar</t>
  </si>
  <si>
    <t>Gómez Cuesta, Domingo</t>
  </si>
  <si>
    <t>Domingo Gómez Cuesta</t>
  </si>
  <si>
    <t>l Cadete D. Martin Hartmann. En el Real cuerpo de Artillería ha nombrado el Rey Capitán al Teniente D. Domingo Gómez Cuesta; y Teniente al Subteniente D. Joseph de Rey na. El Rey se ha servido nombrar al Sr. Marques de Fuerte-Híjar para una plaza de Ministro del Consejo Real, vacante por muerte del Sr.</t>
  </si>
  <si>
    <t>Gómez de la Puente, Gabriel</t>
  </si>
  <si>
    <t>Gabriel Gómez de la Puente</t>
  </si>
  <si>
    <t>o en la Congregación del oratorio de S. Felipe Neri de México D. Manuel Iturriaga que la obtenia, á D. Gabriel Gómez de la Puente; y para una Ración de idioma mexicano , vacante por ascenso de D. Joseph María Solano á la Canongía Penitenciaria de la colegiata de Ntra. Sra. de Guadalupe, extramuros de México</t>
  </si>
  <si>
    <t>Gómez de Salazar, Manuel</t>
  </si>
  <si>
    <t>Manuel Gómez de Salazar</t>
  </si>
  <si>
    <t>torio de S. Felipe Nefi de esta corte los limos. Sres. D. Manuel Cid y Monroy^Arzobispo de Bureos y D. Manuel Gómez de Salazar , Obispo de Avila ; fué. su consagrante el Excmo. é Umo. Sr. D. Ramón Joseph de Arce, Arzobispo .de Zaragoza, InqtV iclor generalv asistentes los limos. Obispos de Puerto Rico y C</t>
  </si>
  <si>
    <t>Gómez de Villaseñor, Joseph María</t>
  </si>
  <si>
    <t>Joseph María Gómez de Villaseñor</t>
  </si>
  <si>
    <t>al Sargento primero de granaderos D. Joseph Ramón Agraz. En América. El Rey se ha servido nombrar á D. Joseph María Gómez de Villaseñor, Canónigo Penitenciario de la catedral de Guadalaxara, para la Dignidad de Tesorero de la misma, vacante por fallecimiento de D. Manuel Domingo de la Fuente; y para la Canongía Ma</t>
  </si>
  <si>
    <t>Gómez Duran, Matías</t>
  </si>
  <si>
    <t>Matías Gómez Duran</t>
  </si>
  <si>
    <t>el Rio, Cirujano titular de esta villa, noticioso de los buenos efectos de la vacuna, acompañado de D. Matías Gómez Duran, Cura, y de D. Manuel Martin Ibañez, Capellán, pasó el 14 de Diciembre del año ultimo al pueblo del Molar, distante de aquí media legua, para inocular con ella á dos niños, sobrin</t>
  </si>
  <si>
    <t>Gómez García, Joaquín</t>
  </si>
  <si>
    <t>Joaquín Gómez García</t>
  </si>
  <si>
    <t>Joseph Orozco, y Herrera , D. Manuel Barruchi, D.Francisco Lafita, D.:Francisco Benitez y Antunez, Don Joaquín Gómez García, D.Pablo de la Puerta, D. Joseph Ruiz'Huidobrq, Di Francisco Sotómaycr, D. Matías- Bayoti; y Rayón, D. Juáp de $als¿ Bcxadórs J D. Manuel Nuñez Portocarrero, D; Ramón Losada y Quí</t>
  </si>
  <si>
    <t>Gómez Serrano, Francisco</t>
  </si>
  <si>
    <t>Francisco Gómez Serrano</t>
  </si>
  <si>
    <t>oción de D. Joseph de Aguíiar á una Canongía de la metropolitana de la reterida ciudad de Toledo, á D. Francisco Gómez Serrano: y para una Canongía de la colegial de Roa, diócesis de Osma, vacante por fallecimiento de D. Sebastian Pintado, á D. Domingo de Ortigúela, Racionero de la misma. S. M. se ha serv</t>
  </si>
  <si>
    <t>Gómez Toledano, Francisco</t>
  </si>
  <si>
    <t>Francisco Gómez Toledano</t>
  </si>
  <si>
    <t>ndan pondrán por sí ó por apoderado sus memoriales y documentos de idoneidad y conducta en manos de D. Francisco Gómez Toledano , en su tienda ca* lie de la Montera 5 quien los dirigirá á les patronos , y estos efectuarán el nombramiento el dia último de Enero próximo. Oraciones panegíricas en honor del gl</t>
  </si>
  <si>
    <t>Gómez y Fuentes, Manuel Jacinto</t>
  </si>
  <si>
    <t>Manuel Jacinto Gómez y Fuentes</t>
  </si>
  <si>
    <t>s Reales Caxas del puerto de Oinoa, Reyno de Goatemala, vacante por muerte de D. Ignacio Morales, á D. Manuel Jacinto Gómez y Fuentes, Oficial quarto de la Contaduría general de Alcabalas del propio Reyno; y esta resulta á D. Félix Castalio, Escribiente de la misma renta: y ha nombrado á D. Joseph Victoriano Cal</t>
  </si>
  <si>
    <t>Gómez, Andrés</t>
  </si>
  <si>
    <t>Andrés Gómez</t>
  </si>
  <si>
    <t>...... 757. 32. Id. Andrés Gómez............. Manquillos... Palencia,...-: 145. 33. Dispersos. Joaquín Merino......... V</t>
  </si>
  <si>
    <t>Gómez, Esteban</t>
  </si>
  <si>
    <t>Esteban Gómez</t>
  </si>
  <si>
    <t>Id. Esteban Gómez.......... Jacinto, Ignacia de Vara... Sta. María... Santiago............. 980. Id. Josef Domínguez....... Otero,</t>
  </si>
  <si>
    <t>Gómez, Estéban</t>
  </si>
  <si>
    <t>Estéban Gómez</t>
  </si>
  <si>
    <t>anca... 13, 13. Id. Estéban Gómez................... Josef,Francisca Albarran... Madrid........ Madrid............ 280. 30. Id. Francisco Martínez........... . Bartolomé, Maria Trincado. Castillo........ Quirog</t>
  </si>
  <si>
    <t>Gómez, Fernando</t>
  </si>
  <si>
    <t>Fernando Gómez</t>
  </si>
  <si>
    <t>...... 133. 13* Id. Fernando Gómez............... . Tomas* María Almetes... Castillo...... Toro*••■«*••* 72. i$. Id. Marcelo Aravaca.............. Alexo , Pol</t>
  </si>
  <si>
    <t>Gómez, Francisco</t>
  </si>
  <si>
    <t>Francisco Gómez</t>
  </si>
  <si>
    <t>Francisco Gómez.......... Sera pío, Teresa Fonseca... Villa mete.... León.............. 404. 22. Muerto. Matías Criado ....... Andrés, Pascuala Frade... Sta.Columba. Bañ</t>
  </si>
  <si>
    <t>Gómez, Joseph</t>
  </si>
  <si>
    <t>Joseph Gómez</t>
  </si>
  <si>
    <t>, D. Manuel Meneos, D. Joseph Imaz, D. Joseph Martínez, D. Rodrigo Medrano, D. Bartolomé Monta! ño, D. Joseph Gómez deLatorre, D. Antonio Sarmiento, D. Antonio Hermosiíla, D. Joseph Bonicelii, D. Joseph de León, D. Patricio Kindélan, D. Ignacio Husey, D. Ignacio Maraver, D. Manuel Eligió, D. Anton</t>
  </si>
  <si>
    <t>alenzueia Prado , Director de este cuerpo; D. Joseph Martínez de Mazas, Dean de esta santa iglesia; D. Joseph Gómez, Arcediano de Jaén; D. Ferrando de Aranda , Maestrante, y el esmero dél Secretario con loable caritativo zelo. Distribuyó el mismo Director los premios á las más benemérita'? jóve</t>
  </si>
  <si>
    <t>Gómez, Joseph Antonio</t>
  </si>
  <si>
    <t>Joseph Antonio Gómez</t>
  </si>
  <si>
    <t>compañía. Ejj Segovia........... Viuda de D. Joseph Manuel Ramiro y Martín. En Sevilla............ D. Joseph Antonio Gómez é hijo. En Soria............... D. Andrés Martínez de Aparicio.</t>
  </si>
  <si>
    <t>y compañía. En Segovia............. Viuda de D. Joseph Manuel Ramiro y Martin* En Sevilla.......... D. Joseph Antonio Gómez é hijo. En Soria................. D. Andrés Martínez de Aparicio. En Toledo................Sres. Chavarri y Posadíllo.</t>
  </si>
  <si>
    <t>* compañía. En Segovia............. Viuda de D. Joseph Manuel Ramiro y Martin# En Sevilla........ . D. Joseph Antonio Gómez é hijo. En Soria............. D. Andrés Martínez de Aparicio. En 2oledo............... Sres. Chavarri y Posadillo. En Toro...................D. Joseph Ligero. En Valencia.........</t>
  </si>
  <si>
    <t>compañía. • En Segovia............Viuda de D. Joseph Manuel Ramiro y Martín* i En Sevilla........ . D. Joseph Antonio Gómez é hijo. En Soria............. D. Andrés Martínez de Aparicio. : En Toledo............ Sres. Chavarri y Posadillo. En Toro.............. D. Jos/eph Ligero. , En Valencia.... . D. F</t>
  </si>
  <si>
    <t>o y compañía. En Segovia.......... Viuda de D. Joseph Manuel Ramiro y Martin* En Sevilla........... D. Joseph Antonio Gómez é hijo. En Soria................D. Andrés Martínez de Aparicio. En Toledo......... Sres. Ghavarri y Posadillo. En ^Toro.............. D. Joseph Ligero. En Valencia..........D. Fra</t>
  </si>
  <si>
    <t>compañía. En Segovia........... Viuda de D. Joseph Manuel Ramiro y Martín. En Sevilla............. D. Joseph Antonio Gómez é hijo. En Soria................ D. Andrés Martínez de Aparicio. En Toledo.............. Sres. Chavarri y Posadillo. En Toro................. D. Joseph Ligero. En Valencia........</t>
  </si>
  <si>
    <t>y compañía. En Segovia........ . Viuda de D. Joseph Manuel R ámiro y Martín. En Sevilla..'......... D. Joseph Antonio Gómez é hijo. •í En Soria...............D,. Andrés Martínez de Aparicio. En Toledo............ Sres. Chavarri y Posadillo. n To{ó.C...'.........i D» Joseph lastro.. :t y f n Valencia...</t>
  </si>
  <si>
    <t>Gómez, Juan</t>
  </si>
  <si>
    <t>Juan Gómez</t>
  </si>
  <si>
    <t>ntería del Príncipe se ha servido promover el Rey á Subteniente de granaderos al primer Subteniente D. Juan Gómez : en el de Saboya á segundo Teniente al Subteniente de granaderos. D. Joachín de VÜlena: en el de Mallorca á primer Subteniente al segundo Subteniente D. Silverio Menduiña ; y en</t>
  </si>
  <si>
    <t>Gómez, Manuel</t>
  </si>
  <si>
    <t>Manuel Gómez</t>
  </si>
  <si>
    <t>de 300 pesos , creación de Febrero , núm. 86,729, sin mas endoso que el de la Tesorería 3 favor de D. Manuel Gómez. Quien supiese de su paradero avisará ai referido D. Manuel, que vive en la calle del Ave María , núm. 3 , quarto baxo. Por providencia de 27 de Enero del Sr. D. Miguel Munarriz,</t>
  </si>
  <si>
    <t>Gómez, Pablo</t>
  </si>
  <si>
    <t>Pablo Gómez</t>
  </si>
  <si>
    <t>... 640. 4. Muerto. Pablo Gómez........... Luis, Ana Roxo............. . Campazas.... Valladolid... 29. 19. Id. Eugenio Antón........ Juan ,</t>
  </si>
  <si>
    <t>Gómez, Pédro</t>
  </si>
  <si>
    <t>Pédro Gómez</t>
  </si>
  <si>
    <t>ez, D. Martin Abel enda, D. Andrés Rodríguez, D« Luis Barrera y D. Joseph Fivadulla, en aritmética: D. Pédro Gómez y D. Rafael Cobian, en aritmética y geometría D. Agustín Mellon, Cadete de carabineros de María Luisa, en geometría: D. Pascual López Villapol y D. Joseph Antelo , en geometrías,, tri</t>
  </si>
  <si>
    <t>Gómez, Pedro</t>
  </si>
  <si>
    <t>Pedro Gómez</t>
  </si>
  <si>
    <t>...... 678. 11. Id. Cabo 2.“ Pedro Gómez....... Pedro, María López............. Alsacar.......... Granada........ 350. 31. Muerto. Domingo Barrero............ Antonio, María Prieto........Barrasas..... León</t>
  </si>
  <si>
    <t>Gómez, Ramón</t>
  </si>
  <si>
    <t>Ramón Gómez</t>
  </si>
  <si>
    <t>n, D. Patricio Kindélan, D. Ignacio Husey, D. Ignacio Maraver, D. Manuel Eligió, D. Antonio Mayone, D. Ramón Gómez, D. Diego Cortés, D. Juan O-Donovan, D. Joaquín 0-ReiUy\D. Joseph de la Piedra, D. Santiago Moreda , Don Gregorio Donayrej Dé Pablo Carbonell, D. Juan Antonio Martínez, Don Joaquí</t>
  </si>
  <si>
    <t>...... 234. as. Id. Ramón Gómez.................. Domingo , Nicolasa Martínez......... ........................... Alta Quinta na. Búrgos....,.. 8a. 28. Id. Domingo Deada................ . Simón, Manu</t>
  </si>
  <si>
    <t>10. 4. Id. Ramón Gómez................ .. Josef, Ana Corres........... Sta. Cruz.... Galicia........ 1. 25. Muerto, Alonso García.................. .. Josef, Fra</t>
  </si>
  <si>
    <t>Gómez, Simón</t>
  </si>
  <si>
    <t>Simón Gómez</t>
  </si>
  <si>
    <t>rra... 107..31. Id. Simón Gómez...................... Julián, Josefa Aedo.............Sagarrara.... Vitoria........... 99. 31. Licenciado. Pífano i.* Antonio Santos.. Bernardo, María Apia..... Ciudad-Rodri-Ciudad-</t>
  </si>
  <si>
    <t>Gomwallts, Lord</t>
  </si>
  <si>
    <t>Lord Gomwallts</t>
  </si>
  <si>
    <t>oñaparte , Plenipotenciario de la República; el caballero de Azara , Plenipotenciario de España; el Lord Gomwallts, Plenipotenciario de Inglaterra* Y el ciuíd. Shimmelpenoinck* Plenipotenciario de la República, bitava. No hay. mas Ministros eii él-congreso de Amteiis. s ^ i - ■ El dia ^a vinoa</t>
  </si>
  <si>
    <t>Goñi, Joaquín</t>
  </si>
  <si>
    <t>Joaquín Goñi</t>
  </si>
  <si>
    <t>ayoti; y Rayón, D. Juáp de $als¿ Bcxadórs J D. Manuel Nuñez Portocarrero, D; Ramón Losada y QuíVos, D. Joaquín Goñi y&gt; San Juan ¿D. Mahuel Agüero y Ruiz, D.'Joaquín de Salas y Falces, D. Marcos Gtirnceta, D. Rafael Sequeira, 0. Migsel Moreno y $abét¡a v D¡¡Ratael SetsaíFe, í). Frátórscó beránje^^</t>
  </si>
  <si>
    <t>Gonzaíez Calderón, Juan Francisco Xavier</t>
  </si>
  <si>
    <t>Juan Francisco Xavier Gonzaíez Calderón</t>
  </si>
  <si>
    <t>promoción también de D. Juan Antonio Inguattzo á otra de Alcalde dé la propia Real casa y corte, á D. Juan Francisco Xavier Gonzaíez Calderón , Alcaide del Crí* men mas.antiguo de lá misma : para la de Oidor de Valenda, vacante por jubilación de D. Manuel Máhamud, á D. Francisco Toribio de Ugarte, Alcalde del Crímen^de</t>
  </si>
  <si>
    <t>Gonzale, Antonio</t>
  </si>
  <si>
    <t>Antonio Gonzale</t>
  </si>
  <si>
    <t>o Teniente al Alférez D. Manuel Arjona: en el de Borbon á primer Teniente al segundo de Carabineros D. Antonio Gonzale?: en el de Alcántara á segundo Teniente ü Alférez D. Joseph Barrachina: en el de Calatrava á Capitán ai Ayudante D. Joaquín de los Ríos, y á primer Teniente al segundo D. Rafael d</t>
  </si>
  <si>
    <t>González Calderón, Francisco</t>
  </si>
  <si>
    <t>Francisco González Calderón</t>
  </si>
  <si>
    <t>yor , D. Joaquín Bóupmaii y Román, D. Agustín; Mqnzon,D. Francisco deja Torre, D. Joseph deí Camino,D. Francisco González Calderón, D. Luis Cavaleri y Ponce, Don Orberto Michelena, D. Alipio de Roda y Duran, Di Aiexandro Marín Na.4 yarro, D. Vicente Camino, D. Joseph deQcio, y SalJzar , D. Miguel Triarte, í).</t>
  </si>
  <si>
    <t>González Calderón, Juán Francisco Xavier</t>
  </si>
  <si>
    <t>Juán Francisco Xavier González Calderón</t>
  </si>
  <si>
    <t>ría Guerrero: .para la del Crimen-de la Audiencia de Extremadura, vacante por. asceaso del referido D. Juán Francisco Xavier González Calderón á Oidor de ella, á D. Vicente García Cavero ; y .para la de. Alcaide delGonsejo deíNavarra, vacante por la promoción de D* Pascual Rodríguez de Arellano ¿ á D. Juan Angel Morales</t>
  </si>
  <si>
    <t>González Calderón, Pedro</t>
  </si>
  <si>
    <t>Pedro González Calderón</t>
  </si>
  <si>
    <t>Sr. Marques de Fuerte-Híjar para una plaza de Ministro del Consejo Real, vacante por muerte del Sr. Don Pedro González Calderón. Asimismo ha concedido S. M. honores de Ministro del Consejo de Hacienda á D. Agustín Betancourt , Inspector general de caminos ; y de Oidor de la Chanciliería de Granada al Tenie</t>
  </si>
  <si>
    <t>González Castañon, Joseph</t>
  </si>
  <si>
    <t>Joseph González Castañon</t>
  </si>
  <si>
    <t>ín Obándo y Adorrtoy D. Martin Uria y Navea, D. Ramón Pówert y Guirát, D. Jiiari Fernández Aiarcon, D. Joseph González Castañon, D. Francisco García Sala, .D. Ramón Bermudez Valledor, D. Alexandro Boni la y San Juan, D. Juan Uztariz y Valenciano, D. Manuel Martínez Wintuysen , D. Manuel de Luengas y Orive,</t>
  </si>
  <si>
    <t>González de la Vega, Francisco</t>
  </si>
  <si>
    <t>Francisco González de la Vega</t>
  </si>
  <si>
    <t>Nestares, D. Joaquín Ruiz, D. Miguel Aguirre, Don JuanNuñez , D. Juan Navarro , D. Anselmo Plaza , D. Francisco González de la Vega, D. Joseph Antonio de Terán, D. Vicente Vázquez, Don Juan Vázquez, D. Manuel Quiroga y Cornide, D. Gonzalo4H¿1 Lema, D. Xavier García Flores, D. Rosendo Abal, D. Juan Joseph. Nava</t>
  </si>
  <si>
    <t>González de Roxas, Marcos</t>
  </si>
  <si>
    <t>Marcos González de Roxas</t>
  </si>
  <si>
    <t>tallón de la propia clase de las Quatro Villas á los Subtenientes D. Agustín Diaz, de granaderos, y D. Marcos González de Roxas; Subtenencia de granaderos al de fusileros D. Joseph Manuel de Neyra; Subtenencias al Sargento segundo de granaderos D. Plácido Rodríguez , y al Cadete D. Fernando del Valle; y Su</t>
  </si>
  <si>
    <t>González de Villanueva, Ángel</t>
  </si>
  <si>
    <t>Ángel González de Villanueva</t>
  </si>
  <si>
    <t>la imprenta Real. El 13 de Febrero D. Manuel Cebrian é hijo, de Valencia, remitieron y endosaron á D. Angel González de Villanueva, de Cádiz, 6 vales Reales de á &lt;5oo pesos,de r.° de Mayo, con los nums. 399,173,399,11$, 396,01$, 391,738,39t,$o&lt;5 y 389,044 , los quales se han extraviado. Quien tuviese noticia</t>
  </si>
  <si>
    <t>González Elias, Joseph</t>
  </si>
  <si>
    <t>Joseph González Elias</t>
  </si>
  <si>
    <t>Laborda, y á Subtenientes de bandera á los Cadetes D. Manuel Oñate v D. Joseph González Elias; y en el de dragones de México á Capitán al Teniente D. Juan Rendon; á Teniente al Alférez D. Francisco Hernández, y á Alférez ai Portaguión D. Joseph Malo. Ei Rey se ha servido c</t>
  </si>
  <si>
    <t>González Ferino, Juan</t>
  </si>
  <si>
    <t>Juan González Ferino</t>
  </si>
  <si>
    <t>achuca, Acapulco y Bolarños, en el Rey no de Nueva España, á D. Manuel Quimper, D. Francisco Rocha, D. Juan González Ferino, D. Joseph Girai de órame y Don Antonio Cumulat. Continuación del tratado de paz con S. M. Británica. Siguen las estipulaciones concernientes d Malta. j.° Se proclama la neutralid</t>
  </si>
  <si>
    <t>González Roxo, Juan de Dios</t>
  </si>
  <si>
    <t>Juan de Dios González Roxo</t>
  </si>
  <si>
    <t>ido de S. Antonio de Huatusco á D. Nicolás González: para Administrador del partido de Ometepeque á D. Juan de Dios González Roxo: para Administrador del partido de Chilapa á Don Joseph Fernandez de Molina; y para Administrador de Rentas-Unidas de la Colonia del Nuevo Santander á D. Ramón Martínez de Pinillo</t>
  </si>
  <si>
    <t>González Ssez, Julián</t>
  </si>
  <si>
    <t>Julián González Ssez</t>
  </si>
  <si>
    <t>isiere hacer postura acuda ante dicho Sr. Juez comisionado y escribanía del número de esta villa de D. Julián González Ssez. A voluntad de su poseedor se venden unas tierras al sitio que dicen de Valcelada , tituladas de los Altos ¿ en el término de la villa de Mejorada del Campo, su caber 417 fanegas</t>
  </si>
  <si>
    <t>González y Ortiz, Joseph</t>
  </si>
  <si>
    <t>Joseph González y Ortiz</t>
  </si>
  <si>
    <t>Retamar, D. Ramón Blanco Criado, D. Pedro Valencia, D. Tomas rando, D. Antonio Aguirre y Villalba, D. Joseph González y Ortiz, D. Antonio. Aguilera, D. Ciríaco de Plano y GarayyD.1 Pedro Albarracin Quero’/D. 'Antonio Albarracin y Quero, D¿ Igiácio Basabe, Joseph Póncé de Leonj DI Joseph QueVedo y Hoyos,</t>
  </si>
  <si>
    <t>González, Alonso</t>
  </si>
  <si>
    <t>Alonso González</t>
  </si>
  <si>
    <t>144* 8. Id. Alonso González.................. Sebastiip , Ana Sánchez... Carrasca........ Carrasca..... 327. 21. Id. Manuel Pedregal.......... . Juan, Josefa Rodríguez...</t>
  </si>
  <si>
    <t>González, Ángel</t>
  </si>
  <si>
    <t>Ángel González</t>
  </si>
  <si>
    <t>..... 19. 22. Id. Angel González................... Angel, Isabel Alonso......... Puentes...... Búrgos........ 70. 21. Id. Juan Blasco................ . Santiago, Luisa Palac</t>
  </si>
  <si>
    <t>González, Antonio</t>
  </si>
  <si>
    <t>Antonio González</t>
  </si>
  <si>
    <t>...... s»5. 24. Id. Antonio González............. Francisco, Agustina Perez. Santibafio.... León...'.......... 529. 17* Id. Manuel Fernandez.............. Francisco, María S. Josef.. Valladolid.... VaHadolid.</t>
  </si>
  <si>
    <t>González, Bernardo</t>
  </si>
  <si>
    <t>Bernardo González</t>
  </si>
  <si>
    <t>........ 453. 7. M. Bernardo González.............. Tamara........... Palencia...... xo. 10. Id. Luis González......................</t>
  </si>
  <si>
    <t>González, Blas</t>
  </si>
  <si>
    <t>Blas González</t>
  </si>
  <si>
    <t>n Pinedo, D. Antonio Cordero,. D. Pedro Villaescusa, D. Miguel Emparan , D. Francesco Alburquerque, D. Blas González, D. Juan María de Soto, D. Francisco Caballero, D. Ignacio Merlos, Don Lorenzo Burgos^, D. .Joseph Arata,p. Ildefonso Larrauri ,D. Tomas ligarte, D. Ignacio de; la Luz, D. Francis</t>
  </si>
  <si>
    <t>González, Diego Benigno</t>
  </si>
  <si>
    <t>Diego Benigno González</t>
  </si>
  <si>
    <t>l Sr. D. Manuel Vicente de Torres y Cónsul, Teniente Corregidor de esta villa, por la escribanía de D. Diego Benigno González, donde se admitirán las posturas que se hicieren en moneda metálica sonante; en inteligencia que no se rematarán en ménos de la referida cantidad, estimada por justo valor, según</t>
  </si>
  <si>
    <t>tasada en 64,260 rs. Quién quiera hacer postura á dichas fincas acuda i la escribanía del número de D. Diego Benigno González. ^ Los Subscriptores al Compendio de los libros históricos de la santa Biblia, dedicado á la Reyná Ntra. Sra. por el P. Fernando de'Scio, acudirán £ recoger i*$ entregas 36 y 31 d</t>
  </si>
  <si>
    <t>jT(&gt;rres, delConse-jo da S. M., Teniente Corregidor en esta villa ,pbr la escribañii trumeraria di; D. Diego Benigno González, donde se admitirán las posturas qu' sst hicieren «un moneda metálica sonarte; aunque no sé rematará en ménos de if^ferida castidad estimada por justo"*valor , según se contiene é</t>
  </si>
  <si>
    <t>González, Fernando</t>
  </si>
  <si>
    <t>Fernando González</t>
  </si>
  <si>
    <t>l regimiento de caballería de la Reyna se lia servido promover el Rey á segundo Teniente al Alférez D. Fernando González&lt; en el del Príncipe á Portaestandarte al Cadete del de Carabineros de la Reyna María Luisa D. Manuel Puche y Cote: en el de España á Alférez al Portaestandarte D. Juan Cruz de Ilz</t>
  </si>
  <si>
    <t>González, Francisco</t>
  </si>
  <si>
    <t>Francisco González</t>
  </si>
  <si>
    <t>ado promover en el regimiento de infantería de Nueva España á Teniente al Subteniente de granaderos D. Francisco González; á Subteniente de granaderos al de fusileros D. Marcos Laborda , y á Subteniente de bandera al Sargento primero de granaderos Don Joseph Moreno: y en el batallón de infantería pro</t>
  </si>
  <si>
    <t>ervido el Rey promover á Brigadier al Sub-Br»gadier D. Vicente Iglesias ; á Sub-Brigadier al Cadete D. Francisco González ; á Cadete de número al supernumerario D. Francisco Manrique, y á Cadete supernumera-r rio al Guardia D. Antonio Ortesa. __ _ En el regimiento de Reales Guardias Españolas se ha s</t>
  </si>
  <si>
    <t>las, y á segundos Subtenientes al Cadete Don Dionisio de Piedra y al Sargento primero de granaderos D. Francisco González, como también á D. Ignacio de Gally, Cadete del primer batallón de Voluntarios de Barcelona: en el de cazadores Voluntarios de la Corona á Subteniente á D. Gerónimo Anaya, segundo</t>
  </si>
  <si>
    <t>74. 8. Id. Francisco González........ Josef, María Saiz.......... Logroño..........Logroño........... ~i6. Id. Manuel Catalina................ Josef, María Calleja........</t>
  </si>
  <si>
    <t>González, Francisco Xavier</t>
  </si>
  <si>
    <t>Francisco Xavier González</t>
  </si>
  <si>
    <t>pitán de fusileros al Ayudante D. Martin de Lazaro*. en el de Asturias á primer Teniente al segundo D. Francisco Xavier González: en el de la Princesa á segundo Teniente al Subteniente de granaderos D. Juan Bautista Moure: en el de Cazadores Voluntarios de la Corona á Subteniente al segundo del de Hibernia</t>
  </si>
  <si>
    <t>González, Gabriel</t>
  </si>
  <si>
    <t>Gabriel González</t>
  </si>
  <si>
    <t>promover en el regimiento de infantería de Saboya á segundo Teniente de granaderos al dé fusileros D. Gabriel González* én el de Granada á primer Subteniente al segundo D.-Joseph Garcini: en e’l de Aragón á Ayudante al primer Teniente D. Joaquín Aparici: en el dé la Princesa á primer Subteniente a</t>
  </si>
  <si>
    <t>González, Juan</t>
  </si>
  <si>
    <t>Juan González</t>
  </si>
  <si>
    <t>18, 45. Id. Juan González..................... Pedro, Ines Alvarez........... S. Román.... León............... SOI. 8. Id. Vicente González................ Martin, Manuela Fernandez.............. ..........</t>
  </si>
  <si>
    <t>González, Juan Gerónimo</t>
  </si>
  <si>
    <t>Juan Gerónimo González</t>
  </si>
  <si>
    <t>e en las librerías de Tieso y de Ranz; en Logroño en la de Miguel Aliñar, y en Arnedillo en casa de D. Juan Gerónimo González. Compendio de la Historia universal: quaderno 18 (á.° del tomo ¿.°) con sus &lt;5 estampas correspondientes. Se hallará á 10 rs. por espacio de dos meses, y después á 14 rs., en la l</t>
  </si>
  <si>
    <t>González, Luis</t>
  </si>
  <si>
    <t>Luis González</t>
  </si>
  <si>
    <t>xo. 10. Id. Luis González...................... .Medina del Campo.............. 27. Licenciado, Tomas Sainz..................</t>
  </si>
  <si>
    <t>González, Manuel</t>
  </si>
  <si>
    <t>Manuel González</t>
  </si>
  <si>
    <t>ComP p‘n 'América El Rey ha nombrado Subteniente de bandera del regimiento de infantería de Cuba á D. Manuel González, Sargento primero del mismo cuerpo. • « M nombrar para la plaza de Regente de la J£¿ZSttZS££ renuncia P*ue ha hecho de ella D. Joseph</t>
  </si>
  <si>
    <t>1023 En América. D. Roque Abarca, D. Joan Leonart,D. Manuel González, D. Ignacio de la Quintana, D. Agustín Lasala, D. Pedro Nolasco dei Rio, Don Joseph Sabido de Vargas, D. Joseph Salvador, D. Francisco Muñoz y San Clemente , D. Juan Antonio de la</t>
  </si>
  <si>
    <t>43. 31. Licenciado. Manuel González.............. . Benito , Juana Luna.......... Ponferrada.. . Ponferrada... 331.■... Id. Blas Lector..................... . . . Martin, Alfonsa López.... Fuenlabrada. Madrid.</t>
  </si>
  <si>
    <t>134. 33. Id. Manuel González................ Lúeas, Jacinta Amor...... S. Salvador..Orense............ 108. 5. Id. Gregorio Barreyro.............. Josef, Antonia Codesido... S. Pedro Corderos.......... S</t>
  </si>
  <si>
    <t>González, Nicolás</t>
  </si>
  <si>
    <t>Nicolás González</t>
  </si>
  <si>
    <t>e Valladolid á D. Joseph Ignacio Gracia: para Administrador del partido de S. Antonio de Huatusco á D. Nicolás González: para Administrador del partido de Ometepeque á D. Juan de Dios González Roxo: para Administrador del partido de Chilapa á Don Joseph Fernandez de Molina; y para Administrador de</t>
  </si>
  <si>
    <t>46. 33. Id. Nicolás González................Pedro, Polonia Márcos.... Arriagas........ Segovia.......... 90. 31. Id. Juan Bautista López.......... Josef, Josefa Agruno....</t>
  </si>
  <si>
    <t>González, Pedro</t>
  </si>
  <si>
    <t>Pedro González</t>
  </si>
  <si>
    <t>...... 500. 33. Id* Pedro González................. Josef, Antonia Valcarcel.. S. Román.... León.............. 140. 4. Id. Ildefonso Alonso................. Estéban, Francisca Diez... Garrafe......... León.....</t>
  </si>
  <si>
    <t>7. 23. Id. Pedro González.................... Pedro , María García....... . S. Pedro Vinos.Santiago,.... 21. 23. Id. Juan Bravo......................... Jacinto, Agueda Diez......... Villasaracinos.Búrgos.</t>
  </si>
  <si>
    <t>X09. 33* Muerto* Pedro González......... Pascual, Francisca Conda.. Condado de Naves............. Orense.</t>
  </si>
  <si>
    <t>. 86. 28. Id. Pedro González................ . , Antonio, Manuela Sacristán. . Segovia,...., Segovia......... 49. 3. Muerto. p.oque Cortes................. . , Juan , Fran</t>
  </si>
  <si>
    <t>........ no. 6. Id. Pedro González................ Juap , Angela Pedrosa...... Hormazas.... Burgos............ 122. 24. Id. Melchor Melchan............ Eugenio, Antonia Castro... Vi</t>
  </si>
  <si>
    <t>González, Ramón</t>
  </si>
  <si>
    <t>Ramón González</t>
  </si>
  <si>
    <t>463. 16. Id. Ramón González................ Josef, Manuela Baylla....... Oviedo........... Oviedo....... '458. *3- Id. Simón Casado............... .. Cornelio, Josefa Martin... Tarazona.....</t>
  </si>
  <si>
    <t>González, Santiago</t>
  </si>
  <si>
    <t>Santiago González</t>
  </si>
  <si>
    <t>...... 410. 39. Id. Santiago González......... Juan , María Diez.......... Robles............ Búrgos........... 363. 30. id. Ciríaco Fernandez............... Josef,Catalina Mendoza... Bañares......... Sto</t>
  </si>
  <si>
    <t>... 300. 8. Muerto. Santiago González........ Esteban.,' Joseía Rosa......... Rio-Vega.... León* 4■•&gt;••** 330. ... Id. Juan Lino Poyatos........ Juan, Maria Pastor............ Valverde....... Cuenca.......</t>
  </si>
  <si>
    <t>González, Tomás</t>
  </si>
  <si>
    <t>Tomás González</t>
  </si>
  <si>
    <t>35. 7. Id. Tomas González.................. Gabrie¡] * María Madalena Sta. María de Priego,............................... Vide....... Salvatierra...</t>
  </si>
  <si>
    <t>..... 1150. 14. Id. Tomas González................... Gabriel, María Prieto......... Sta. María de Salvatierra... 9. 23. Muerto. Gines Antón......................... Antonio, Flore</t>
  </si>
  <si>
    <t>González, Vicente</t>
  </si>
  <si>
    <t>Vicente González</t>
  </si>
  <si>
    <t>....... SOI. 8. Id. Vicente González................ Martin, Manuela Fernandez.............. ...................... Poza.............. Búrgos....... . 515. 8. Id. Manuel Matachana........ Pedro, Catalina Ro</t>
  </si>
  <si>
    <t>Gonzt'ez, Antonio</t>
  </si>
  <si>
    <t>Antonio Gonzt'ez</t>
  </si>
  <si>
    <t>349- 13- Id. Antonio Gonzt'ez.............. Francisco , María Ibañez... Jaén.............. Jaén.............. 426. 15- Id. Pantaleon Priria «............. Gaspar, Manuela Laso.... León...........</t>
  </si>
  <si>
    <t>Goosens, Pedro</t>
  </si>
  <si>
    <t>Pedro Goosens</t>
  </si>
  <si>
    <t>o Carrillo. En sintaxis , baxo la dirección de su maestro D. 'Rufino Espada, D. Francisco Necochea, D. Pedro Goosens, D. Fermín Cia, D. Joseph Gaytan de Avala, D. Agustín Duran y D. Alonso Alvarado. En humanidades y retórica, baxo la dirección de D. Pedro Fuertes, D. Iñigo Ortes de Velasco, D. J</t>
  </si>
  <si>
    <t>Goossens, Pedro</t>
  </si>
  <si>
    <t>Pedro Goossens</t>
  </si>
  <si>
    <t>maestro Dw Rufino Espada, D. Joachín Fernandez de Medrano, D. Francisco Necocheay D. Agustín Duran, D. Pedro Goossens, D. Joseph Cia y D. Joseph Gaitan de Avala. En las humanidades y retórica, baxo la dirección de su profesor D. Pedro Fuertes, los seminaristas D. Antonio Gilmán, D. Iñigo Ortes de</t>
  </si>
  <si>
    <t>Gordo, Francisco</t>
  </si>
  <si>
    <t>Francisco Gordo</t>
  </si>
  <si>
    <t>341. 36. Id. Francisco Gordo......... Juan, María Bargañon.... Leyva............ ' Sto. Domingo. 240. 39. Id. Julián Mdendez..... i .Francisco, Marí</t>
  </si>
  <si>
    <t>Gorjon, Miguel</t>
  </si>
  <si>
    <t>Miguel Gorjon</t>
  </si>
  <si>
    <t>iene en. la misma iglesia : para la Media-Ración que obtenía el referido D. Ignacio López de Ánsó á D. Miguel Gorjon, Cura párroco dél lugar de V"éntósa, enia diócesis de Salamanca: para el Arciprestazgo de Tovalina, en la diócesis de Burgos, vacante por muerte de D. JosepnConde de Vallejo, á Do</t>
  </si>
  <si>
    <t>Gorjy</t>
  </si>
  <si>
    <t>n casa del autor. Victorina, ó la joven desconocida: obrita traducida de la que escribió en francés Mr. Gorjy, de mucho interes y embeleso, que mueve á amar las acciones virtuosas, y á detestar el vicio con la terrible pintura de sus funestas conseqüencias: un tomo en 16 marquilla, con un</t>
  </si>
  <si>
    <t>Goróstizá, Pedro Ángel</t>
  </si>
  <si>
    <t>Pedro Ángel Goróstizá</t>
  </si>
  <si>
    <t>. Joseph.de VatioosteronuY en el regimiento de infantería del Príncipe Compañía á su Caballero Page D. Pedro Angel Goróstizá. " ; ^ * • ....... - r r.' " ; V í -: " ° En América.' El Rey se ha servido nombrar para una Radon de idioma Matzahua de la colegiata de Ntra. Sra. de Guadalupe de México , vacant</t>
  </si>
  <si>
    <t>Gorsiní, Príncipe</t>
  </si>
  <si>
    <t>Príncipe Gorsiní</t>
  </si>
  <si>
    <t>das ¡operaciones? en . cada uno de dichos ramos. • m o -..i - . i El Rey de Etrurta ha nombrado al Príncipe Gorsiní para residir en esta corte en calidad de Embaxador, , : ■ • ; ' El ciud. Diesbach ,. Ministro, de Suiza , ha hecho su primera visita de ceremonia á los demas Ministros extranjeros</t>
  </si>
  <si>
    <t>Gortázar, Joseph Antonio</t>
  </si>
  <si>
    <t>Joseph Antonio Gortázar</t>
  </si>
  <si>
    <t>D. Manuel Larra-zabal, D. Vicente Segura y D. Ramón Tapia: para Administrador del partido deTlapa á Don Joseph Antonio Gortázar: para la de Cabo del Resguardo de la Factoría de Puebla á D. Joseph María Pazos: para la' plaza de Teniente de Visitador del de la de Veracruz á D. Juan Joseph Valderrama: para la</t>
  </si>
  <si>
    <t>Goser, Ramón</t>
  </si>
  <si>
    <t>Ramón Goser</t>
  </si>
  <si>
    <t>n Lledó, á D. Luciano Gabanes: para otra de la de Manresa, diócesis de Vique, vacante por muerte de D. Ramón Goser, á D. Joseph Alsina, Canónigo de la de Calaf: para una Ración penitenciaria de la parroquia de AHllanueva de la Huerva , en el arzobispado de Zaragoza., á D. Joseph Buil: para el</t>
  </si>
  <si>
    <t>Gourdoíi, Capitán</t>
  </si>
  <si>
    <t>Capitán Gourdoíi</t>
  </si>
  <si>
    <t>damente perverso , y está detestado en la parte española. — Hé recibido hoy el pliego siguiente del Capitán Gourdoíi,* Comandante dé'la&amp; fuerzas navales en el Puerto de la Paz. ,, Confórme á las órdenes* que me traxo de parte vuestra el Capitán Gourrege, despaché la fragata Furiosa para el Muell</t>
  </si>
  <si>
    <t>Gourrege, Capitán</t>
  </si>
  <si>
    <t>Capitán Gourrege</t>
  </si>
  <si>
    <t>fuerzas navales en el Puerto de la Paz. ,, Confórme á las órdenes* que me traxo de parte vuestra el Capitán Gourrege, despaché la fragata Furiosa para el Muelle de S. Nicolás, con instrucciones conformes á lo que me habéis prescrito. Quando iba á partir llegó aquí uná numerosa diputación de los</t>
  </si>
  <si>
    <t>Govantes y Valdivia, Fernando</t>
  </si>
  <si>
    <t>Fernando Govantes y Valdivia</t>
  </si>
  <si>
    <t>o , D. Juan v.anz, D.Franciscó Matheus, D. Angel Laborde y Navarro, D. Gabriel Antolinez y Salazar, D. Fernando Govantes y Valdivia,.D..Joaquín de Arce y Fronce-, da , D. Toaquin Mella y Barbeyto, D. Joíeph Manuel Bilbao, D. Tuis; Tabón v Ro&lt;icme, D. Juan Dameto y,Sureda, D. Santiago Hurtado de Mendoza, Marque</t>
  </si>
  <si>
    <t>Goy, Joseph</t>
  </si>
  <si>
    <t>Joseph Goy</t>
  </si>
  <si>
    <t>tán del regimiento de infantería de la Havana , y i Teniente Veterano, con funciones de Ayudante, á D. Joseph Goy, Sargento primero con grado de Teniente: en el batallón de milicias disciplinadas de las Quatro Villas á Coronel al Capitán del misino cuerpo D. Joseph Fernando Muñoz; á Ayudante</t>
  </si>
  <si>
    <t>Goya y Muniain, Joseph</t>
  </si>
  <si>
    <t>Joseph Goya y Muniain</t>
  </si>
  <si>
    <t>á loannelriarteeiusdem custode;un tomo en folia±=;El arte poética de Aristóteles en castellano, por D. Joseph Goya y Muniain: un tomo en 4.0—Ioannis Cbristophori Calveti Stellae de Aphrodisio.expugnato, quod vulgo Aphricam vqeant, commentarius cu ni scholiis Bartholomaei Barrienti llliberitani; editio l</t>
  </si>
  <si>
    <t>Goyeneche, Joaquín</t>
  </si>
  <si>
    <t>Joaquín Goyeneche</t>
  </si>
  <si>
    <t>la Piedra, D. Santiago Moreda , Don Gregorio Donayrej Dé Pablo Carbonell, D. Juan Antonio Martínez, Don Joaquín Goyeneche j D. Vicente de Campos, D. Vicente Pallas, D. Manuel Herrero, D. Jóaquin Egaña, D. Alexandro Antonio Ojéá, D. Gaspar Barón de Rocreusse, D. Joseph María Lambí, D. Joseph Villaiba,</t>
  </si>
  <si>
    <t>Graá, Archiduque</t>
  </si>
  <si>
    <t>Archiduque Graá</t>
  </si>
  <si>
    <t>segurar las indemnizaciones que la Francia y el Irherio habían prometido solemnemente á S. A. R. el Archiduque Graá E laque. Conforme á esto fué autorizado Mr. de Hugel para proponer un &amp;óñvenio, en virtiid del qual Habían dé abstenerse las dos cortes de¡ toda ocupación hasta que lá diputación -del</t>
  </si>
  <si>
    <t>Gracia, Joseph Ignacio</t>
  </si>
  <si>
    <t>Joseph Ignacio Gracia</t>
  </si>
  <si>
    <t>misma Renta, á D. Joseph Fernandez Salvador: para Teniente Visitador de la Factoría de Valladolid á D. Joseph Ignacio Gracia: para Administrador del partido de S. Antonio de Huatusco á D. Nicolás González: para Administrador del partido de Ometepeque á D. Juan de Dios González Roxo: para Administrador d</t>
  </si>
  <si>
    <t>Gragera, Francisco</t>
  </si>
  <si>
    <t>Francisco Gragera</t>
  </si>
  <si>
    <t>o de Toro y Albarado. El dia 20 de Febrero falleció en esta corte, á los años de edad , el Exc. Sr. D. Francisco Gragera, Teniente General de los Reales exércitos, honorario del Consejo de Estado, y Presidente de la Junta suprema de la caballería del Reyno. Sirvió á S. M. 46 años, empezando de Cadet</t>
  </si>
  <si>
    <t>Gran Diique, Archiduque</t>
  </si>
  <si>
    <t>Archiduque Gran Diique</t>
  </si>
  <si>
    <t>que ©irlos, Se confirma que las fuerzas austríacas van i tomar ¡ posesión de los nuevos estados dél Archiduque Gran Diique* Parece qué' se na resuelto así dé resultas rdé varias conferencias entré el Ministró ae Estado Conde dé Cobéntzel y ¿i ciüd* Champagni; Embaxador francés , y 'que por consiguient</t>
  </si>
  <si>
    <t>Gran Duques, Archiduque</t>
  </si>
  <si>
    <t>Archiduque Gran Duques</t>
  </si>
  <si>
    <t>151 Archiduque Gran Duques tenia 8 años y medio. El día 8 je deposito Ku cadáver con el correspondiente aparato en el panteón dei convento de Capuchinos. ' • . v . ; -;v . *v.. : , r Se han traído aquí de L</t>
  </si>
  <si>
    <t>Granados, Joseph</t>
  </si>
  <si>
    <t>Joseph Granados</t>
  </si>
  <si>
    <t>promovido S. M. á segundo Subteniente al Sargento primero del de Cazadores Voluntarios de la Corona D. Joseph Granados: en el de Sevilla á segundo Teniente de granaderos al de fusileros D. Joseph Argamasilla: en ei de Granada á Capitán de fusileros al primer Teniente de granaderos D. Agustín Teald</t>
  </si>
  <si>
    <t>Granados, Luis</t>
  </si>
  <si>
    <t>Luis Granados</t>
  </si>
  <si>
    <t>gundo D. Joseph Gutiérrez. El Rey ha nombrado Teniente del Real cuerpo de artillería al Subteniente D. Luis Granados. En el Real cuerpo de Ingenieros del exército ha promovido S. M. á ordinario á D. Juan de Retz, Ingeniero extraordinario, y á empleos de esta •dase á los Ayudantes D. Luis Laviña</t>
  </si>
  <si>
    <t>Granados, Miguel</t>
  </si>
  <si>
    <t>Miguel Granados</t>
  </si>
  <si>
    <t>ez , y al Cadete D. Fernando del Valle; y Subtenencias de bandera ál Sargento segundo de granaderos D. Miguel Granados, y al Cadete J). Joseph Antonio Gbpzaleztde Rozase Compañfe én el esquadrón montado del regimiento de Milicias disciplinadas de dragones de Matanzas al Teniente D. Antonio Molina;</t>
  </si>
  <si>
    <t>Grandallana, Domingo</t>
  </si>
  <si>
    <t>Domingo Grandallana</t>
  </si>
  <si>
    <t>neralísimo de mis Exérci;os y Armada al Príncipe de la Paz ; antes sí es mi- voluntad que el citado D. Domingo Grandallana continúe los encargos que como á Xefe del Estado mayor de la Armada, creado con el fin que señalo en mí decreto, le haya hecho et Generalísimo de mis armas , hasta que concluidos</t>
  </si>
  <si>
    <t>áis á su puntual cumplimiento. 2= Señalado de la Real mano. = En Aranjuez á 18 de Abril de 1802.= A D. Domingo Grandallana." * En el regimiento de infantería dei Príncipe se ha servido promover el Rey á primer Subteniente ai segundo Subteniente D. Ambrosio del Gallo: en el de Saboya á Subteniente de g</t>
  </si>
  <si>
    <t>éis los avisos que corresponden. = Señalado de la Real mano.= En Aranjuez á i.° de Mayo de 1802.= A D. Domingo Grandallana.” En el regimiento de infantería de la Corona se ha servido S. M. promover á primer Teniente de granaderos al de fusileros D. Antonio de Oyarzabal: en el de Zamora á segundo Subte</t>
  </si>
  <si>
    <t>sejo de Estado, Secretario de Estado y del Despacho de Hacienda, y Superintendente general dé ella: D. Domingo Grandallana, del Consejo de Estado, Secretario de Estado, y del Despacho de Marina; y D. Joseph Eustaquio Moreno, Ga¿&gt; bernador del Consejo Real: el Arzobispo de Zaragoza, Gran Cruz de la de</t>
  </si>
  <si>
    <t>GránDuque, Archiduque</t>
  </si>
  <si>
    <t>Archiduque GránDuque</t>
  </si>
  <si>
    <t>tria cpñseguira también los Obispados de Passau y SaltzburgQ, que aí principiose destináron para el Archiduque GránDuque y y que á este Principé se le indemnizará con (as dos Galitzias, de que le hace cesión el Emperador^ RlElector de Baviera tendrá por su parte todas las posesiones austríacas de Suabia</t>
  </si>
  <si>
    <t>Granviile</t>
  </si>
  <si>
    <t>n inducirle á rebelión. Al otro dia de nuestra llegada á Ennery se presentó, el ciudadano Granviile con el tercer hijo de Santos , que tenia de pupilo en su casa, y que venia á ver y abrazar á sus hermanos. Después de medio dia se volvieron uno y otro á los G</t>
  </si>
  <si>
    <t>Granville</t>
  </si>
  <si>
    <t>tiese su carta por una persona de satisfacción. Y teniendo yo buena opinión del ciud. Granville, y de su afecto á la Francia, determiné á Santos á que le confiriese esta comisión importante. Cumplió puntualmente la palabra que me dió de hacerlo: y su men.</t>
  </si>
  <si>
    <t>Grapen</t>
  </si>
  <si>
    <t>calidad de correo, y va despachado de Petersburgo á Paris. Pía entregado de parte de su Soberano á Mr. Grapen.giesver una preciosa sortija en premio de los adelantamientos que ha hecho en el galvanismo. El cuerpo de milicia urbana del arrabal de esta ciudad llamado de Coeln, recibió hace</t>
  </si>
  <si>
    <t>Grasveld</t>
  </si>
  <si>
    <t>holandesa Daphne llegó á aquel puerto el 16 de Febrero, llevando á su bordo el ciud. Grasveld , Ministro plenipotenciario bátavo cerca de S. M. Fidelísima. Asimismo escriben de Cádiz que el Rey de Marruecos ha intimado á los Oónsules de Suecia y Holanda</t>
  </si>
  <si>
    <t>Graulle, Joseph</t>
  </si>
  <si>
    <t>Joseph Graulle</t>
  </si>
  <si>
    <t>éá, D. Gaspar Barón de Rocreusse, D. Joseph María Lambí, D. Joseph Villaiba, Don Julián de Sequera, D. Joseph Graulle, D. Gerónimo Valladares, D. Rafael Cravallo, D. Guillermo Chicheri, D. Pedro Saenz, D. Angel de Lana, D. Felipe de la Mar, D. Angel Mijáres, D. Gerónimo Marco , D. Francisco Marcó</t>
  </si>
  <si>
    <t>Gravina, Almirante</t>
  </si>
  <si>
    <t>Almirante Gravina</t>
  </si>
  <si>
    <t>orías en materia de gobierno. La esquadra española nos ha servido con un zelo por el qual merece el Almirante Gravina un agradecimiento especial de parte del primer Cónsul. No puedo ménos de quejarme amargamente del cuerpo de Ingenieros, dei qual no tengo aquí siquiera un oficial superior. El Min</t>
  </si>
  <si>
    <t>los españoles el brillante testimonio que el honor y la verdad exigen á su favor. Especialmente el Almirante Gravina se ha portado en todas sus comunicaciones con nosotros con la lealtad , franqueza y firmeza que forman el carácter de un perfecto militar. La pasmosa celeridad con que hizo repara</t>
  </si>
  <si>
    <t>t hace mil elogios de la franqueza y cordialidad del gobierno español, y de la constante fineza del Almirante Gravina, que no pierde ocasión de sernos útil. Despacharé mañana á la Havana el S. Genaro , que hace 15 pulgadas de agua por hora , y la fragata la Libre: exhorto al Gobernador español á</t>
  </si>
  <si>
    <t>Gravina, General</t>
  </si>
  <si>
    <t>General Gravina</t>
  </si>
  <si>
    <t>e .46 dias de yiage. Aquella misma mañana se incorporaron con ella el navio Neptuno, mandado por el General Gravina, la división de Rochefort, y todas las naves españolas y francesas que se habían separado, excepto las nombradas Duquesne, Cornelia &gt; Rinoceronte, y dos avisos , que., tuvieron qu</t>
  </si>
  <si>
    <t>Greatbead</t>
  </si>
  <si>
    <t>in de construir en varias partes de la costa dé Inglaterra barcos semejantes ¿ los que ha inventado Mr. Greatbead para socorrer y salvar á ios náufragos. El Parlamentó le há premiado ya, y la compañía de seguros de dio también una recompensa. La seguridad de . estos barcos estriba en la const</t>
  </si>
  <si>
    <t>Green, General</t>
  </si>
  <si>
    <t>General Green</t>
  </si>
  <si>
    <t>^de desarmarse deben quedar en -la rada de Washington. 5;.0 Que las ^s?frág2tas ripmbradas Adarn¿:y General Green 9 atendida su maláconsfnicckm ¿seyénderáñ ,"y lo que produzcan se empleará en construida 'com~ ,.;^|ar..b0¿as:!3 4.Í3 r.' v ■■ .■&gt; 7. 7/;;:&gt; b t£-í-i^,;4 Por las noticias de Europ</t>
  </si>
  <si>
    <t>Grenet, Capitán</t>
  </si>
  <si>
    <t>Capitán Grenet</t>
  </si>
  <si>
    <t>adáS v qué salió de. Burdeos p*ra Sto. Domingo en Diciembre ', ha vuelto aquí con carga de café. El Capitán Grenet, su comandante , refiere que salió del Cabo' el 19 de Abril, cua4# tro dias después de la salida de la división del Almirante Villaret ; que el estado de aquella colonia es el que</t>
  </si>
  <si>
    <t>Grenier, General</t>
  </si>
  <si>
    <t>General Grenier</t>
  </si>
  <si>
    <t>enidas de este invierno, y se espera que á principios de Mayo esten ya enxutos todos/los prados. El General Grenier, qué fue el primer Teniente de Bonaparte en la última campaña de Italia, y ahora es Inspector general, pasó el día 23 revisa tá al batallón de la media brigada de infantería franc</t>
  </si>
  <si>
    <t>Grenville</t>
  </si>
  <si>
    <t>l Montañés de Escocia ha entrado en Spithead. En una de las últimas sesiones de la Cámara baxa dixo Mr. Grenville que tenia que hablar sobre un objeto de tal importancia que podia infundir muchos rezelos. Reproduxo quanto había anteriormente expuesto sobre los preliminares de paz : y declaran</t>
  </si>
  <si>
    <t>Grenville, Lord</t>
  </si>
  <si>
    <t>Lord Grenville</t>
  </si>
  <si>
    <t>rancia todos los prisioneros franceses. Los diputados de la compañía de levante , presididos por el Lord Grenville su director, se presentaron el dia 7 á Mr. Sidney-Smith para entregarle la patente en que se le confieren los privilegios de dicha compañía. El hijo de Mr. Henrique Strachey, empl</t>
  </si>
  <si>
    <t>13 se ventiló en ambas Cámaras la.: qüestion del tratado de • paces. En la ;de ios Pares propuso el Lord Grenville que se hiciera una representación al Rey, eñ la quai , después de confesar el derecho que tiene de ajustar la paz, y la necesidad de mantener la fe pública, se le manifestasen los</t>
  </si>
  <si>
    <t>ba de Mr. Pitt.) ^ En la Cámara de los Cnmunes se explicó Mr. Windham en los mismos términos que el Lord Grenville en la alta. Mr. Fox peroró á favor de la paz, desvaneciendo quanto otros vocales habian dicho sobre ei poder exorbitante de la Francia. — Al fin se aprobó unánimemente en ambas Cáma</t>
  </si>
  <si>
    <t>Grespo, Juan</t>
  </si>
  <si>
    <t>Juan Grespo</t>
  </si>
  <si>
    <t>ía, aritmética, é historia sagrada, á D. Joseph Blanco, Di,Mateo Quintanilla, D. Agustín Rodríguez, D. Juan Grespo y D. Vicente Pérandones. En la clase de menores á D. Manuel García Zorrilla y D. Hipólito Diez Serrano. En ia de sintaxis al seminarista Don Ramón de la Torre, D. Victoriano Fernandez</t>
  </si>
  <si>
    <t>Grey</t>
  </si>
  <si>
    <t>a,: la* extensión de su comercio , como también el que se havá conservado íntegra* su constitución. Mr. Grey peroró contra esta propuesta, diciendo entre otras razones que era incompatible con los usos observados en el Parlamento; pero el Presidente y Mr. Wiberforce opinaron de un modo c</t>
  </si>
  <si>
    <t>es, la mitad vivos, la mitad salados. * Deseando la junta dé comerciantes de Stbckolmo manifestar á Mr. Grey, individuo del Parlamento británico, su agradecimiento por el zelo con qué defendió y sostuvo en la Cámara báxá’los derechos de las naciones y la libertad de la návegációh (quándo</t>
  </si>
  <si>
    <t>británico ei .ii de Febrero de 1801/ Los comerciantes de Stockolmo.” Se ha enviado. esta medalla á Mr. Grey por manos dei Cónsul general de Suecia en Londres. , ' .&lt; : - V. : .1 V -SP v , J .¿f. S egun las últimas noticias de Turquía se ha puestOj en-marcha Baswaa-í Óglow para Belgrado-</t>
  </si>
  <si>
    <t>Gri, Antonio</t>
  </si>
  <si>
    <t>Antonio Gri</t>
  </si>
  <si>
    <t>se ha dignado nombrar para la Vara'de Alcalde mayor de ñu»* • va creación de la villa dé Almadén á D. Antonio Gri jal va y Verdes. Atendiendo él Rey á los méritos y recomendables servicios queha contraído D. Antonio García de Roa, Administrador general de todas rentas de lá provincia dé Madri</t>
  </si>
  <si>
    <t>Grosin</t>
  </si>
  <si>
    <t>lará en la librería de Arribas, calle de las Carretas. Discurso teológico moral, probando contra el Dr. Grosin que no hay precepto que prohiba recibir por la primera ínisa del dia de difuntos todo el estipendio que voluntariamente den los fieles. == Discurso libertando á los sexagenarios d</t>
  </si>
  <si>
    <t>Grundy Consejero</t>
  </si>
  <si>
    <t>ente estuviesen pensionadas. 4.* Señalarle una renta anual de 363 florines., V-7*’-- • 4 ¿ a ---r • Mr. Grundy Consejero de. Corte del,Obispos ^e Strasbujgo yAbogado de Regencia del Príncipe Obispo de Ratisbona, presento á la diputación del Iniperio ,* eñ nombre de los judíos de Alemania, una memoria c</t>
  </si>
  <si>
    <t>Gtirnceta, Marcos</t>
  </si>
  <si>
    <t>Marcos Gtirnceta</t>
  </si>
  <si>
    <t>osada y QuíVos, D. Joaquín Goñi y&gt; San Juan ¿D. Mahuel Agüero y Ruiz, D.'Joaquín de Salas y Falces, D. Marcos Gtirnceta, D. Rafael Sequeira, 0. Migsel Moreno y $abét¡a v D¡¡Ratael SetsaíFe, í). Frátórscó beránje^^D^.Miguel '«ardo.de' Lopezde [uéz de Figueroa,</t>
  </si>
  <si>
    <t>Gtto</t>
  </si>
  <si>
    <t>a corte por el Maestro de ceremonias el General Andreosi» á quien acompañaba el ciud. Gtto.» y en una audiencia particular que el primero tuvo del ¡Rey» presentó. §us credencia^ les.—_ El pueblo 9 que mira la llegada del Embaxadór -francés como una p</t>
  </si>
  <si>
    <t>Guadafia, Gregorio</t>
  </si>
  <si>
    <t>Gregorio Guadafia</t>
  </si>
  <si>
    <t>Se hallará en la librería de Jayme Vida') , caHe angosta de Peligros. EJ siglo pitagórico y vida de D. Gregorio Guadafia. Se baIlará en las librerías de Castillo, frente á S. FeJipe 01 Real, y en Ja de Cerro, red de S. Luis. Es obra apreciable, , de mucho gusto y entretenimiento para toda clase de g</t>
  </si>
  <si>
    <t>Guarda, Ignacio</t>
  </si>
  <si>
    <t>Ignacio Guarda</t>
  </si>
  <si>
    <t>o.de Aragón , D. Andrés Ximenez, Doti Tomas de Figueroa, D. Juan Francisco Sánchez, D. Juan Sayers, D. Ignacio Guarda, D. Joseph ParboyD. Pedro Joseph de Benavente, D. Antonio Salcedo-, D. Gregorio Escamilla, D. Joaquín Velazqyez, D. Manuel</t>
  </si>
  <si>
    <t>Guardia, Vicente</t>
  </si>
  <si>
    <t>Vicente Guardia</t>
  </si>
  <si>
    <t>abrdináribs dea ¿5 pesos a í). Francisco Godoy y D. Joseph Guillen; y con libros de la; facultad- á D. Vicente Guardia: siendo de la mayor satisfacción de íá junta' ver desempeñadas cumplidamente las piadosas intenciones de $. M., y los frutos de tan interesante establecimiento. ~ - ‘ -= ■- '-¡i ■</t>
  </si>
  <si>
    <t>Guardian Ramón Piñón</t>
  </si>
  <si>
    <t>sobre su proa, salto á él valerosamente acompañado del Contramaestre, el primer Guardian Ramón Piñón, natural de Ferrol, el segundo de su clase y un muchacho. Este se reembarco al instante, y quedaron los 4 sobre la cubierta del corsario ingles , peleando solos contra su numerosa tripulac</t>
  </si>
  <si>
    <t>Guarnan, María</t>
  </si>
  <si>
    <t>María Guarnan</t>
  </si>
  <si>
    <t>4a en 13,&lt;96 rs. , perteneciente á la memoria que fundó ep el oratorio de^ S. Fejipe Neri'la citada Doña María Guarnan. Quien quisiere hacer postura á dichas fincas acuda ante el citado Sr. Alcalde y por la misma escribanía. En virtud de providencia del Sr. D. Juan Antonio Santa María, del Consejo</t>
  </si>
  <si>
    <t>Guerra, Dionisio</t>
  </si>
  <si>
    <t>Dionisio Guerra</t>
  </si>
  <si>
    <t>..... . 514. 8. Id. Dionisio Guerra............... .. Vicente, Teresa Sánchez... Almagro...... Almagro.... . 55. 26. Licenciado* Casimiro Alonso............. .. Juan, Agata Cabre</t>
  </si>
  <si>
    <t>Guerra, Juan Bautista</t>
  </si>
  <si>
    <t>Juan Bautista Guerra</t>
  </si>
  <si>
    <t>promover S. Ai. á Tenientes al Subteniente de granaderos Don Aíanuel Torrescano, y al de fusileros D. Juan Bautista Guerra ; á Subteniente de granaderos al de fusileros D. Manuel Muñiz, y á Subtenientes á D. Joseph Buenaventura Herrera y D. Aíanuel Mayo y Camaño, el primero Sargento del mismo cuerpo.</t>
  </si>
  <si>
    <t>Guerra, Pablo</t>
  </si>
  <si>
    <t>Pablo Guerra</t>
  </si>
  <si>
    <t>51. 5. Id. Cabo i." Pablo Guerra.... Manuel, Maria Guerra.... Palencia........Palencia...... 4. 3. Licenciado. Basilio Santa María.......... Padres</t>
  </si>
  <si>
    <t>Guerra, Pedro</t>
  </si>
  <si>
    <t>Pedro Guerra</t>
  </si>
  <si>
    <t>rvido promover el Rey á Subrigadier al Cadete D. Diego Oviedo; á Cadete de número al supernumerario D. Pedro Guerra; y á Cadete supernumerario al Guardia de la propia compañía D. Antonio Pascual Barradas. * También ha promovido S. M. en el regimiento de infantería de Saboya á segundo Subtenient</t>
  </si>
  <si>
    <t>...... 147, *8. Id. Pedro Guerra...................... Domingo, Pascuala Correa. Quintanilla... Villa nueva... 88. 43&gt; Id. Pablo Ramos....................... Bartolomé, María Huert</t>
  </si>
  <si>
    <t>Guerrero, Andrés</t>
  </si>
  <si>
    <t>Andrés Guerrero</t>
  </si>
  <si>
    <t>la catedral de Tuy; y para otra déla colegial de Santa Fe de Granada , vacante por fallecimiento de D. Andrés Guerrero á D. Joseph Zarate y Vargas, Colegial en el de Santa Cruz de aquella ciudad. Kl Consejo, i consulta de la Comisión gubernativa,y con aprobación de S. M., ha acordado la trigesimat</t>
  </si>
  <si>
    <t>Guerrero, Antonio</t>
  </si>
  <si>
    <t>Antonio Guerrero</t>
  </si>
  <si>
    <t>an sido adjudicadas en la forma siguiente: Primera cíate. Medallas de oro de tres onzas. Pintura, á D. Antonio Guerrero: escultura, á D. Argel Monasterio: arquitectura, ¿ D. Manuel Machuca. Segundos premios. Medallas dé oro de dos onzas. Pintura* á %</t>
  </si>
  <si>
    <t>Guerrero, Francisco</t>
  </si>
  <si>
    <t>Francisco Guerrero</t>
  </si>
  <si>
    <t>hallarán en las librerías de Escribano y de Quiroga. Viage que hizo á la ciudad santa de Jerusalen D. Francisco Guerrero , Racionero y Maestro de capilla de la santa iglesia de Sevilla : da noticia de todos los santuarios, sitios y lugares en que nuestro Redentor Jesuchristo estuvo, donde nació y mu</t>
  </si>
  <si>
    <t>Guerrero, Joseph</t>
  </si>
  <si>
    <t>Joseph Guerrero</t>
  </si>
  <si>
    <t>de Arévalo, en dicho obispado de Avila : para otra de la catedral de Málaga, vacante por muerte de D. Joseph Guerrero, á D. Antonio Jayme de Oliver : para la Prestamera de Rus, en la diócesis de Jaén, vacante por fallecimiento de D. Simón Baldazo, á D. Manuel Antonio Escudero: para otra de la nut</t>
  </si>
  <si>
    <t>Guerrero, Luis María</t>
  </si>
  <si>
    <t>Luis María Guerrero</t>
  </si>
  <si>
    <t>acante por prbmocion del citado Francisco Xóribio de ligarte á plaza de Otdoi de la1 de Valencia, £ D. Luis María Guerrero: .para la del Crimen-de la Audiencia de Extremadura, vacante por. asceaso del referido D. Juán Francisco Xavier González Calderón á Oidor de ella, á D. Vicente García Cavero ; y .</t>
  </si>
  <si>
    <t>Guerrero, Miguel</t>
  </si>
  <si>
    <t>Miguel Guerrero</t>
  </si>
  <si>
    <t>67. 13. Licenciado. Cabo i." Miguel Guerrero.. Espinardo.... Murcia....... . 470. 24. y. Pedro Agustín.........</t>
  </si>
  <si>
    <t>Guevara, Joseph</t>
  </si>
  <si>
    <t>Joseph Guevara</t>
  </si>
  <si>
    <t>la clase de humanidades. El examen abrasaba las primeras letras , y baxo la dirección de su maestro D. Joseph Guevara, fuéron examinados los seminaristas O. Luis Berganza y O. Luis Vidarte; en rudimentos de latinidad, baxo la dirección de su maestro D. Andrés de Beistegui, lo fueron.!). Luis D or</t>
  </si>
  <si>
    <t>GuiHermo Pitt</t>
  </si>
  <si>
    <t>éron ayer á aTmorzar y comer á la quinta llamada Highfield-Park, en el Hampshire , 'perteneciente ¿ Mr. GuiHermo Pitt , primo del oüe ha sido Ministró* ;/■ V! Este gobierno, despacho 9 coino :el de Francia , dos buques de guerra^ á Argel para pedir la restitucion de 3 barcos mercantes. Aun no han</t>
  </si>
  <si>
    <t>Guillelmo Xaramillo</t>
  </si>
  <si>
    <t>ue de Híjar, á quien estaba dedicado. Los alumnos, en las preguntas que les hicieron su catedrático D. Guillelmo Xaramillo, los examinadores el Dr. D. Lucas Hiscio Fernandez y el Lie. D. Mariano Beaumont y Bretón, y algunos de los que asistieron , acreditaron su instrucción y progresos en ambos ramos</t>
  </si>
  <si>
    <t>Guillen de Toledo, Joseph</t>
  </si>
  <si>
    <t>Joseph Guillen de Toledo</t>
  </si>
  <si>
    <t>. Jlndtíxar 8 de Febrero. M ovídp« del zelo por la instrucción pública el Corregidor de esta ciudad D. Joseph Guillen de Toledo, y los individuos de su Ayuntamiento Don Lorenzo de Lemus y D. Doroteo Gómez, comisarios de las Reales escuelas costeadas de cuenta de S. M., determinaron (en desempeño de sus res</t>
  </si>
  <si>
    <t>Guillen y Busaran, Vicente</t>
  </si>
  <si>
    <t>Vicente Guillen y Busaran</t>
  </si>
  <si>
    <t>Gabilla , t). Pedro Quevedo y Hoyos, D. Joseph Ruiz de la Madrid, D. Agustín Wauters y Donesteves, D. Vicente Guillen y Busaran, D. Antonio Leal de Ibarra, D. Juan de Vivero y Silva, D. Angel Texeyro y Zafra, D. Joseph María Autran, D. Joseph de Varas Barnóla, D. Bartolomé Pose Valledor, D. Juan Orozco y H</t>
  </si>
  <si>
    <t>Guillen, Antonio</t>
  </si>
  <si>
    <t>Antonio Guillen</t>
  </si>
  <si>
    <t>cio su última voluntad. Moratalla, en el Rey no de Murcia, de Marzo. E I Dr. D. Antonio Guillen, médico y cirujano de exército , titular de esta villa, deseoso, de propagar la vacunación á fin de evitar los grandes estragos de la viruela natural entre sus compatriotas, hizo traer de</t>
  </si>
  <si>
    <t>Guillen, Diego</t>
  </si>
  <si>
    <t>Diego Guillen</t>
  </si>
  <si>
    <t>1047 Antonio Benavides, D. Joseph del Calvó, D. Martin de Tompson, D. Juan de Hevia , D. Diego Guillen, D. Julián Henriquez , D..Pedro Marín Fernandez , D. Vicente García y Navarro, y D. Hipólito Souvirao. • -i Em tercera :}echa.\ :-ú]&gt; .• -.r* un P. Joseph-de Sesma y San Juan , D.</t>
  </si>
  <si>
    <t>Guillen, Joseph</t>
  </si>
  <si>
    <t>Joseph Guillen</t>
  </si>
  <si>
    <t>por lo que consigno la gratificación o premios extrabrdináribs dea ¿5 pesos a í). Francisco Godoy y D. Joseph Guillen; y con libros de la; facultad- á D. Vicente Guardia: siendo de la mayor satisfacción de íá junta' ver desempeñadas cumplidamente las piadosas intenciones de $. M., y los frutos de</t>
  </si>
  <si>
    <t>nte al segundo D. Mariano Díaz Capilla: en el ^dé Malaga^1 sé¿undo Subténiénté; al Sargento primero D. Joseph Guillen* y én él batallón dé .cazadores Voluntarios dé Barbastro á segundo Subteniente aP Cadete D. Manuel Mendez Benesasi: y ha nombrado el Rev en el oeToIeao jjarael empleo d^Capellán a</t>
  </si>
  <si>
    <t>Guillen, Manuel</t>
  </si>
  <si>
    <t>Manuel Guillen</t>
  </si>
  <si>
    <t>i86 Rey á segundo Teniente al Subteniente de granaderos D. Manuel Guillen: en el de Córdoba á Ayudante al primer Teniente D. Francisco Montano: en el de España á primer Subteniente al segundo Subteniente D. Joseph Valcarcel; y en el batallón de cazadore</t>
  </si>
  <si>
    <t>Guillen, Pedro Martín</t>
  </si>
  <si>
    <t>Pedro Martín Guillen</t>
  </si>
  <si>
    <t>Muerto, Pedro Martin Guillen......... Francisco, María Mateo... Garrobillas... Cáceres......... 108. 3. Id. Angel Perez......................... Manuel, María Blanco.... Antigua......... León......</t>
  </si>
  <si>
    <t>Guillermo</t>
  </si>
  <si>
    <t>ementeras de su jurisdicción y distrito , y escribanía del número y Ayuntamiento de dicha, villa de D. Guillermo</t>
  </si>
  <si>
    <t>Guillermo Alcover</t>
  </si>
  <si>
    <t>agones de Villavicíosa, graduado de Teniente Coronel, D. Francisco Pastor, y á Ayudante al Teniente D. Guillermo Alcover; y en el de dragones de Pavía á Ayudante al Teniente, graduado de Capitán, D. Joseph Azlor. El Rey se ha servido conferir el gobierno militar y político de la plaza de Tarragona a</t>
  </si>
  <si>
    <t>Guillermo Bettinch, Lord</t>
  </si>
  <si>
    <t>Lord Guillermo Bettinch</t>
  </si>
  <si>
    <t>ospechan que el primero lleva el tratado de paz casi ajustado. 1 Ha pasado por Nancí para Amiens el Lord Guillermo Bettinch , Coronel de los exércitos de S. M. Británica, y uno de los empleados en la legación de Mr. Sidney-Smith en Constantinopla. El Comandante de la plaza de París ha publicado una ord</t>
  </si>
  <si>
    <t>Guillermo Bosichi y Moyano</t>
  </si>
  <si>
    <t>ingo García Cíñeris, D. Rafael Trillo, D. Pedro Palacio y Santibañezj D. Joseph Riiiz de Corrazar, -D. Guillermo Bosichi y Moyano, D. Ildefonso de Roxas y Róx2s, D. Nicolás Otero y Figueroa, D. Joseph Seydel y Sada, D. Francisco Cortés y Posada, ©. Francisco. Antolinez y Salazar , D. Joseph de la Cresta, D.</t>
  </si>
  <si>
    <t>Guillermo Chicheri</t>
  </si>
  <si>
    <t>eph Villaiba, Don Julián de Sequera, D. Joseph Graulle, D. Gerónimo Valladares, D. Rafael Cravallo, D. Guillermo Chicheri, D. Pedro Saenz, D. Angel de Lana, D. Felipe de la Mar, D. Angel Mijáres, D. Gerónimo Marco , D. Francisco Marcó del Pont, D. Juan Martí Mofa, D. Alonso Morales, D. Nicolás de Mor</t>
  </si>
  <si>
    <t>Guillermo de Baviera, Príncipe</t>
  </si>
  <si>
    <t>Príncipe Guillermo de Baviera</t>
  </si>
  <si>
    <t>era izqiHerdádéPRhlBt Én ésta disposición están comprehendidas ía DuqueSa' viuda dé Dos-Puentes, él Príncipe Guillermo de Baviera., la Duquesa de Brunswick-Bevem, la Marquesa, de Soyecour.t, y otros. ¿ ^ ? Bawberg ’ii de Setiettibre. JtlM diputación Jdel Iinp erio turó él día 8 su tercera;Sésion,á la que cón</t>
  </si>
  <si>
    <t>Guillermo de Brunswick, Príncipe</t>
  </si>
  <si>
    <t>Príncipe Guillermo de Brunswick</t>
  </si>
  <si>
    <t>los éxercidos miiitáre^dekíf^ñQVj^Icuyo efecto han llegado ya aquí muchos Generales, entre ellos el Príncipe Guillermo de Brunswick, y Mrs. Kalkreuth y Kleisit-s ... r _____ _ _ Acaba S. M. de señalar una suma considerable para establecer Caños de m2r en Collberg. Mr. Abramson , medallistá de la corte, ha acuñ</t>
  </si>
  <si>
    <t>Guillermo de Glocester, Príncipe</t>
  </si>
  <si>
    <t>Príncipe Guillermo de Glocester</t>
  </si>
  <si>
    <t>casa consistorial. Le acompañaban sus hermanos los Duques de Cumberland, de Cíarence y de Kent, el Príncipe Guillermo de Glocester, el Conde de Moira y Mr. Erskine, su canciller. Entre los platos que se sirviéron á la mesa había un pedazo de vaca de .170 libras, en el qual tremolaba el estandarte Real. Encima</t>
  </si>
  <si>
    <t>sferidola Emperatriz madre de Xresno-Seto. á Gatscluna.. ; i v El Emperador ha regalado a! referido Príncipe Guillermo de Glocester varios objetos curiosos y ricos trabajados en las fábricas de Rusta ; y i todas las personas de su comitiva les tocaron también regalos, ;&gt; .Seminal* de Setiembre. S; &gt; \-'v-; -’f</t>
  </si>
  <si>
    <t>Guillermo de Inglaterra, Príncipe</t>
  </si>
  <si>
    <t>Príncipe Guillermo de Inglaterra</t>
  </si>
  <si>
    <t>niobrarán hasta el 30; y luego volverán los Príncipes á Schleswig. ' Quando llegó á esta capital el Príncipe Guillermo de Inglaterra, Duque de Glocester, hijo 6.° de S. M. Británica, encontró un coche del Rey para llevarle á la habitación que por orden de S. M. le habían puesto en el palacio de Friedrichsberg;</t>
  </si>
  <si>
    <t>Guillermo de Kettler, Barón</t>
  </si>
  <si>
    <t>Barón Guillermo de Kettler</t>
  </si>
  <si>
    <t>rreo de Amiens con el tratado definitivo de paz. Munster 2j? de Marzo. H an vuelto aquí de Viena el Barón Guillermo de Kettler, Canónigo de esta catedral, y Mr. de Gruban, Consejero del Príncipe Obispo de Paderbo rn. Queda en aquella capital el Conde Christóbal de Kesselstadt, que en compañía de estos dos</t>
  </si>
  <si>
    <t>Guillermo de Luna</t>
  </si>
  <si>
    <t>nte D. Francisco, Pastor: en el de la Princesa á Subteniente de granaderos ai primer Subte-, ñiente D. Guillermo de Luna ; y en ei de Suizos de Rutiman á Subteniente al Cadete D. Tomas Metzger. Él día 28 de Julio próximo se execntará la quema de ios Vales de 300. pesos de Febrero de 179?, y de los d</t>
  </si>
  <si>
    <t>Guillermo de Wurtemberg, Príncipe</t>
  </si>
  <si>
    <t>Príncipe Guillermo de Wurtemberg</t>
  </si>
  <si>
    <t>ague /ó" de Diciembre. E 1 dia iy se hizo el bautismo del hijo que acaba de dar á luz la esposa del Príncipe Guillermo de Wurtemberg: fueron sus padrinos el Rey, el Príncipe heredero , y SS. AA. RR. el Duque y la Duquesa de Augustemburgo; y se le pusieron los nombres de Christierno Federico Guillermo Alexandro.</t>
  </si>
  <si>
    <t>Guillermo de Zarate</t>
  </si>
  <si>
    <t>e Arcediano de la catedral de la Paz , vacante por fallecimiento de D. FeKpé Antonio de Ajtieda , á D. Guillermo de Zarate, Canónigo Doctoral de la misma: para la Chantría de la propia, vacante por muerte de D. Nicolás Muñoz y Borjas, al Magistral D. Manuel. Ignacio de Uria y Llames *. para</t>
  </si>
  <si>
    <t>Guillermo Eduardo, Príncipe</t>
  </si>
  <si>
    <t>Príncipe Guillermo Eduardo</t>
  </si>
  <si>
    <t>deshacerse. ? ,■ Ayer llegó de Francia el Príncipe heredero de Nassau-Dietz.r Parece cierto que el Príncipe Guillermo Eduardo, Duque de Glocester, hijo 6.° del Rey , se casa con una Princesa dé Rjisia; y á esto se atribuye el viagé quecasi repentinamente ha emprendido en una fragata para Petersburgo. En</t>
  </si>
  <si>
    <t>Guillermo Elliot</t>
  </si>
  <si>
    <t>ción resultarían mayores ventajas para el comercio de Francia que para el de Inglaterra. Ayer pidió Mr. Guillermo Elliot en la Cámara de los Comunes, formada en junta de subsidios, se señalasen 130$ hombres' para servir en la marina por término de dos meses, desde 25 de Marzo hasta 24 de Mayo, y se de</t>
  </si>
  <si>
    <t>Guillermo Eton</t>
  </si>
  <si>
    <t>eración dé que goza éntre las naeiorves.” 7 t c-jr^ur-i ¿riiblu ni otík.j vb? ; I , Acabade llégar .Mr. Guillermo Eton. con pliegos de?Egipto y de iMalta para él gobierno. Dícese, que su cu atenido es ¿le la mayor importancia^ pé</t>
  </si>
  <si>
    <t>Guillermo Gimel</t>
  </si>
  <si>
    <t>critos por un médico anciano en los últimos dias de su vida: publicados por X&gt;. Guillermo Gimel, médico de la junta de sanidad del puerto de Málaga. Se hallará en la librería de Claros , calle del Arenal , y en Málaga en la de Carreras. Oda.á la paz, por D. F. * *. Esta oda, cuyo as</t>
  </si>
  <si>
    <t>Guillermo Glocester de Inglaterra, Príncipe</t>
  </si>
  <si>
    <t>Príncipe Guillermo Glocester de Inglaterra</t>
  </si>
  <si>
    <t>os Ministros extrangeros concurrieron, habiendo precedido convitf. Ha salido de aquí para Moskow el Príncipe Guillermo Glocester de Inglaterra. En la gazetade la corte se ha-publicado un ukase muy extenso sobre las prerogativas del Senado, al qual se le declara por tribunal supremo del Imperio y conservador de las leyes:</t>
  </si>
  <si>
    <t>Guillermo Hámilton</t>
  </si>
  <si>
    <t>junta pública el grado de Doctor honorário en leyes al Lprd Nelson, á su padre el Rdo. Nelson, y á Mr. Guillermo Hámilton. *'•' V f El comercio que los Estados-Unidos Hacen en lá India adquiere tal aumento, qué empieza á dar rézelos á los ingleses. Mas de 200 embarcaciones se han despachado este añor</t>
  </si>
  <si>
    <t>Guillermo López Bustamante</t>
  </si>
  <si>
    <t>un tomo en 4.°=:Exámen de las medallas antiguas, atribuidas á la ciudad de Manda eii la Bétlca, por D. Guillermo López Bustamante,bibliotecario de S. M.: un tomo en folio. = Directorio catequístico, glosa universal de la doctrina christiana, ilustrada con erudición de letras sagradas y humanas sobre el catec</t>
  </si>
  <si>
    <t>Guillermo Otto, Luis</t>
  </si>
  <si>
    <t>Luis Guillermo Otto</t>
  </si>
  <si>
    <t>ber; el primer Cónsul de la República francesa en nombré del pueblo francés, al ciud. Luis Guillermo Otto, Comisario encarga do.del cange de:prisioneros franceses en Inglaterra; y S. M. Británica al Sr. Roberto Banks Jenkinson, Lord Hawkesbury, del Consejo privado</t>
  </si>
  <si>
    <t>Guillermo Ravvlier</t>
  </si>
  <si>
    <t>a cumplimentarle con motivo del recobro de la paz: besaron láReal mano.; y S. M. nómbro caballero á Mr. Guillermo Ravvlier , uno de jos individuos de dicho Ayuntamiento. En él cafó de. Lioyd se ha Abierto subscripción para erigir una estatua ú Mr. Viít y en premio.de los,serviéios importantes que ha h</t>
  </si>
  <si>
    <t>Guillermo Roo</t>
  </si>
  <si>
    <t>ustín Arenas, D. Juan Amaro Pestaña, D. Manuel Fernandez, D. Miguel Texedor, D. Joseph de los Ríos, D. Guillermo Roo, IX Juan Antonio Heredia, D. Joseph de Chastre, D. Manuel Astor, Don Ramón Mijares, D. Francisco Alegría, D. Francisco Arnedo, D. Joseph de Zúñiga, D. Alberto Maynes, D. Joseph. d</t>
  </si>
  <si>
    <t>Guillermo Scott</t>
  </si>
  <si>
    <t>obado por S. M..__.Reunidos en la baxa todos los vocales trataron al instante de nombrar el orador. Mr. Guillermo Scott propuso para esta dignidad á Mr. Abbot, que ya ja obtuvo otra vez.. Apoyó Mr, Lascelles la proposición dé Mr. Scott»: y.quedó elegido. Mr. Abbot por unanimidad de votos. Pronunció</t>
  </si>
  <si>
    <t>Guillermo Simó</t>
  </si>
  <si>
    <t>el Beneficio vacante en la parroquial dé S. Miguel de la ciudad de Palma de Mallorca por muerte de D. Guillermo Simó ,á D. Pedro Canet. El 28 de Setiembre del afio último remitió D. Domingo de Ventades , vecino de esta corte, á D. Tomas de Orue, del comercio de Bilbao , 2 vales de 300 pesos de i</t>
  </si>
  <si>
    <t>Guillermo, Príncipe</t>
  </si>
  <si>
    <t>Príncipe Guillermo</t>
  </si>
  <si>
    <t>án hasta las revistas de primavera. El Rey ha nombrado Capitán de Guardias de Corpa á su hermano e4 Príncipe Guillermo. Uatisbona i.° de Enera de 1802. H a tenido el Barón de Hugel,' co-Comisario del Emperador en la Dieta, orden de su Soberano’ para, ir á Viena. Créese que no volverá aquí. Habiend</t>
  </si>
  <si>
    <t>uerzos y artillería, ha re¿brzádo también el General Deroy su exército con parte del regimiento del Príncipe Guillermo. El del Príncipe heredero y el cuerpo de Guardias irán al mismo-destino. Tres días há que el General austríaco Stranch, que manda en Passau, hizo un gran reconocimiento hacia Strá</t>
  </si>
  <si>
    <t>Guinea, Antonio</t>
  </si>
  <si>
    <t>Antonio Guinea</t>
  </si>
  <si>
    <t>leros D. Dionisio Cortés: en el de Mallorca á segundo Subteniente al Sargento primero de granaderos D. Antonio Guinea ; y en el de Jaén á Subteniente de granaderos al de fusileros D. Carlos Sevilla, y á segundo Subteniente al Sargento primero de granaderos D. Joseph Ramón Agraz. En América. El Re</t>
  </si>
  <si>
    <t>Guinea, Manuel</t>
  </si>
  <si>
    <t>Manuel Guinea</t>
  </si>
  <si>
    <t>duado de Teniente Coronel, D. Rafael de Arce y Albalá, y el de Teniente ai Subteniente de minadores D. Manuel Guinea. En América. S. M. se ha servido conferir el gobierno de las islas Marianas al Capitán D. Alexandro Parreño , Ayudante del regimiento de infantería de Granada. S. M. á consulta de</t>
  </si>
  <si>
    <t>Guisado, Pedro</t>
  </si>
  <si>
    <t>Pedro Guisado</t>
  </si>
  <si>
    <t>60. 6* Id. Pedro Guisado........... Celeyros........ Salvatierra... 100. 28. Id. Josef Estébez............</t>
  </si>
  <si>
    <t>Guixá y Planas, Pedro</t>
  </si>
  <si>
    <t>Pedro Guixá y Planas</t>
  </si>
  <si>
    <t>alle de las Carretas , y de Barco , carrera de S. Gerónimo. Papel pautado con máquina inventada por D. Pedro Guixá y Planas, y arreglada con exactitud á los &lt;j tamaños de la letra bastarda de la enseñanza de D. Torquato Torio de la Riva, mandada establecer de orden de S. M. en las escuelas del rey no.</t>
  </si>
  <si>
    <t>Gunderrode, Barón</t>
  </si>
  <si>
    <t>Barón Gunderrode</t>
  </si>
  <si>
    <t>al la solicitud del Landgrave de Hesse- Cassel sobre un aumento de indemnizaciones, ha entregado él Barón Gunderrode , su Ministro cerca de la Dieta, una representación al ciud. Laforet y al Barón de Buhler, en que repite su instancia, ó por mejor decir parece que pide que la Francia le indemnic</t>
  </si>
  <si>
    <t>Gunderson, Capitán</t>
  </si>
  <si>
    <t>Capitán Gunderson</t>
  </si>
  <si>
    <t>• Li dia 8 salió Napper-Tandi de Wicklow para Burdeos en la fragata nombrada la Favorita de Nancí, Capitán Gunderson. Refieren las cartas de la isla de la Granada de 7 de Enero que los negros de ella se sublevaron; pero ei gobierno, con sus acertadas disposiciones , consiguió cortar la insurrecc</t>
  </si>
  <si>
    <t>Gustavo Adolfo de Renterholin, Barón</t>
  </si>
  <si>
    <t>Barón Gustavo Adolfo de Renterholin</t>
  </si>
  <si>
    <t>r la perdida de sus posesiones de la izquierda del Rhin. Ha salido de aquí para el Haya» y Paris el Barón Gustavo Adolfo de Renterholin con el caballero Alix, Consejero de S. A. S. el Duque de $axonia-Meimengen y un secretario. Lóndres 1 de Enero de 1802. L a esquadra que el Almirante Metchell mandaba en la bahía</t>
  </si>
  <si>
    <t>Gutierres Bueno, Pedro</t>
  </si>
  <si>
    <t>Pedro Gutierres Bueno</t>
  </si>
  <si>
    <t>es, se especifican por menor en eí librito intitulado Análisis de las aguas de Arnedillo, hecha por D. Pedro Gutierres Bueno, catedrático de química del colegio de S. Carlos de esta corte, aprobada por el Real Proto-Medicato, y exáminada de órden del Consejo Real. Dicha obrita, en la qual constan las ut</t>
  </si>
  <si>
    <t>Gutiérrez Bueno, Pedro</t>
  </si>
  <si>
    <t>Pedro Gutiérrez Bueno</t>
  </si>
  <si>
    <t>as de Castillo, Barco, Illera y Bayio. Nomenclatura química , que para el uso de su escuela publica D. Pedro Gutiérrez Bueno, catedrático de química en el Real colegio de S. Cárlos : segunda edición mas cómoda para los profesores del arte de curar : en esta se refieren las voces técnicas de'las leccione</t>
  </si>
  <si>
    <t>berá dirigir su solicitud el que cuisier* pretenderle. . Con motivo de comenzar su curso de química D. Pedro Gutiérrez Bueno paa la enseñanza de los alumnos pensionados del Real colegio de S. Carlos, imprimirá' sus lecciones que se irán entregando con anticipación de unas para otras. Esta? lecciones , c</t>
  </si>
  <si>
    <t>atrón. Curso de química, dividido en lecciones para la enseñanza del Real colegio de S. Cárlos: por D. Pedro Gutiérrez Bueno. Se hallará en la librería de Tieso, calle de las Carretas, y en-la de Ranz, «alie de la Cruz. Los que hayan tomado los primeros pliegos podrán acudir á recoger los úitimos para a</t>
  </si>
  <si>
    <t>lle de Horta’eza, ha construido varios aparatos galvánicos por dirección del catedrático de química D. Pedro Gutiérrez Bueno: con ellos se han repetido nuevas observaciones para curarlof sordos y restablecer la vista, así en esta corte como en Cádiz « adonde conduxo un médico uno de estos aparatos hecho</t>
  </si>
  <si>
    <t>Gutiérrez de Escotar, Francisco</t>
  </si>
  <si>
    <t>Francisco Gutiérrez de Escotar</t>
  </si>
  <si>
    <t>is Joseph de Artajona y Eslava , á D. Joseph de Toledo, Medio-Racionero de la propia; y para esta á D. Francisco Gutiérrez de Escotar, Cura Párroco de Guarina, en el mismo obispado. El Rey se ha dignado conceder agregación de Subteniente en el regimiento fixo de Puerto Rico á D. Juan brancisco Capdevila, Soldado</t>
  </si>
  <si>
    <t>Gutiérrez de Ibs Ríos, Joseph</t>
  </si>
  <si>
    <t>Joseph Gutiérrez de Ibs Ríos</t>
  </si>
  <si>
    <t>Conde de Trastamara, Marques de Villafranca, Conde de VÜlámonte, D. Joseph de . Silva y Palafox, y D. Joseph Gutiérrez de Ibs Ríos : los Gentileshombres de Cámara del Príncipe Ntro. Sr. Conde de Castrillo y Orgaz, Marques de Ayetbe, Conde de Torrejon, Marques de Casteldosrius, Marques de la Vera, y Marques de</t>
  </si>
  <si>
    <t>Gutiérrez de Piñeres, Juan Francisco</t>
  </si>
  <si>
    <t>Juan Francisco Gutiérrez de Piñeres</t>
  </si>
  <si>
    <t>as mismas i Manuel Vivanco y Francisco León. / El 7 de Octubre último falleció en esta corte el Sr. D. Juan Francisco Gutiérrez de Piñeres, caballero de la Real y distinguida-orden Española de Carlos ni, Ministro togado en el supremo Consejo de las Indias , Asesor general de Cruzada y de Azogues y Minas. Sirvió á S.</t>
  </si>
  <si>
    <t>Gutiérrez de Rubalcava, Alexo</t>
  </si>
  <si>
    <t>Alexo Gutiérrez de Rubalcava</t>
  </si>
  <si>
    <t>eph María Autran, D. Joseph de Varas Barnóla, D. Bartolomé Pose Valledor, D. Juan Orozco y Herrera, D. Alexo Gutiérrez de Rubalcava, D. Martin Olavidey Andrade,D. Fernando Zambrano,D. Joseph Vertizveria, Don Joaquín Nuñez Falcon, D. Manuel Borroeta y Ozaeta, D. Antonio Piédrola y Verdugo,©. Pedro Mosti y Arram</t>
  </si>
  <si>
    <t>Gutiérrez de Vegas, Francisco</t>
  </si>
  <si>
    <t>Francisco Gutiérrez de Vegas</t>
  </si>
  <si>
    <t>Juan Manzano: para otra de la colegial de? Soria, en la diócesis de Qsiúa, vacante por renuncia de D. Francisco Gutiérrez de Vegas, á D. Manuel Arquiaga: para la segunda Ración1 de la villa- de la Hinojosa j én 'la.dióé'esis de Ciudad-Rodrigo , vacante por muerte de D. Jadobó* dé NaVia p z- :D.V;Vicente Marti</t>
  </si>
  <si>
    <t>Gutiérrez del Rivéro, Joseph</t>
  </si>
  <si>
    <t>Joseph Gutiérrez del Rivéro</t>
  </si>
  <si>
    <t>4$ 2 go Romero y Montero, á D. Joseph Gutiérrez del Rivéro , Abogado de los Reales Consejos. El Rey se ha dignado nombrar para el empleo de Administrador principal de Alcabalas de la provincia de Comayagua, Reyno de Goatemala, vacante por</t>
  </si>
  <si>
    <t>Gutiérrez Leal, Domingo Antonio</t>
  </si>
  <si>
    <t>Domingo Antonio Gutiérrez Leal</t>
  </si>
  <si>
    <t>a dé Toledo, vacante por la promoción á Racionero de la misma iglesia de D. Luis Alfonso Vázquez, á D. Domingo Antonio Gutiérrez Leal. : S. M. se ha dignado promover á Brigadier de la Compañía Italiana del Real cuerpo de Guardias de Córps al Subrigadier de ella D. Nicolás Bierna; á Subrigadier al Cadete D. Franc</t>
  </si>
  <si>
    <t>Gutiérrez Teran, Manuel</t>
  </si>
  <si>
    <t>Manuel Gutiérrez Teran</t>
  </si>
  <si>
    <t>l mismo Director los premios á las más benemérita'? jóvenes y niñas, y los aumentó en el mismo acto D. Manuel Gutiérrez Teran, ccmirionado por S. M. Concluyese la junta con aplauso del concurso, dardo gracias al Todopoderoso y á nuestros amados augustos Soberaros. Barcelona ,14 de Noviembre. H abiéndóse</t>
  </si>
  <si>
    <t>Gutiérrez Varona, Blas</t>
  </si>
  <si>
    <t>Blas Gutiérrez Varona</t>
  </si>
  <si>
    <t>el arzobispado de Búrgos, vacante por muerte de D. Luis Xavier de Pinedo , á D.Blas Gutiérrez Varona, Canónigo de ella: para una Canongía de la misma colegial, vacante también por muerte del propio Pinedo, á D. Antonio Zamiano y Francés, Racionero de la referida colegial: para otra de la m</t>
  </si>
  <si>
    <t>Gutiérrez, Gabriel</t>
  </si>
  <si>
    <t>Gabriel Gutiérrez</t>
  </si>
  <si>
    <t>an Miyares y Mancebo^ D. Ramón Gil, 0. Antonio Costilla * .0. Antonio Fernandez, D. Martin de Asis, D. Gabriel Gutiérrez, ¿0* Manuel&lt; Herrera, D. Ramón García, D. Joseph Escario, 0. Joseph'de Sotó, D. Tomas Chacón,D. Carlos Abaxo, O..Julián de Altana* 0. Antonio de Parga^ 0. Pascual Martínez* Don</t>
  </si>
  <si>
    <t>Gutiérrez, Gregorio</t>
  </si>
  <si>
    <t>Gregorio Gutiérrez</t>
  </si>
  <si>
    <t>6. 32. Id. Gregorio Gutiérrez............ . Santos, Catalina González. Cenas............. León.............. rs4* B. Id. Luis Abadin...................... . Francisco,</t>
  </si>
  <si>
    <t>Gutiérrez, Joseph</t>
  </si>
  <si>
    <t>Joseph Gutiérrez</t>
  </si>
  <si>
    <t>rtpierque; á Capitán segundo al primer Teniente D. Isidro Azcura, y á primer Subteniente ai segundo D. Joseph Gutiérrez. El Rey ha nombrado Teniente del Real cuerpo de artillería al Subteniente D. Luis Granados. En el Real cuerpo de Ingenieros del exército ha promovido S. M. á ordinario á D. Juan d</t>
  </si>
  <si>
    <t>stación inoculó inmediatamente 4 un hijo suyo, de edad de 5 años: y á su exemplo lo executó también D. Joseph Gutiérrez, Médico de la misma ciudad, con una hija suya; siguiendo progresivamente la vacunación en los niños de los sugetos mas distinguidos del pueblo y demas vecinos , hasta ¿i número de</t>
  </si>
  <si>
    <t>Gutiérrez, Joseph Lorenzo</t>
  </si>
  <si>
    <t>Joseph Lorenzo Gutiérrez</t>
  </si>
  <si>
    <t>e la catedral de Sta. Cruz de la Sierra, vacante por íallecimiento de D. Pedro Joseph de Urtubey, á D. Joseph Lorenzo Gutiérrez, Canónigo Lectoral de la misma : para una Ración de la catedral de la Paz, vacante por ascenso de D. Luis Joseph de Artajona y Eslava , á D. Joseph de Toledo, Medio-Racionero de l</t>
  </si>
  <si>
    <t>Gutiérrez, Joseph Marcos</t>
  </si>
  <si>
    <t>Joseph Marcos Gutiérrez</t>
  </si>
  <si>
    <t>mpuso D. J&lt;jseph Febrero , y ha reformado en su lenguage, estilo, método y muchas doctrinas el Lie. D. Joseph Marcos Gutiérrez , ilustrándola con varias notas y adiciones, para que se han tenido presentes las Reales órdenes modernas: tomo 3.0 que trata de particiones , y en que á costa de un sumo y muy mo</t>
  </si>
  <si>
    <t>ompuso D. Joseph Febrero, y ha reformado en su lenguage , estilo, método y muchas doctrinas el Lie. D. Joseph Marcos Gutiérrez, ilustrándola y enriqueciéndola con varias notas y adicionas, para que se han tenido presentes las Reales órdenes modernas : tomo 4.0 en que concluye el importante tratado de part</t>
  </si>
  <si>
    <t>ndola con notas y adiciones, para que se lian tenido presentes las Reales órdenes modernas, el Lie. D. Joseph Marcos Gutiérrez : tomo g.° que comprehende los tres juicios, ordinario, ejecutivo y de concurso de</t>
  </si>
  <si>
    <t>ndola con notas y adiciones, para que se lian tenido presentes la*.Reales órdenes modernas, el Lie. D. Joseph Marcos Gutiérrez. En el tomo tiitimo se ha incluido el índice general y alfabético, que se da suelto á loa que tienen ejemplares de la primera edición. El pqblico ha acogido tan favor»* blemente e</t>
  </si>
  <si>
    <t>Gutiérrez, Juan</t>
  </si>
  <si>
    <t>Juan Gutiérrez</t>
  </si>
  <si>
    <t>de la Corona al Cadete D, Francisco Xavier de Arcos: á primer Teniente en el de Granada al segundo D. Juan Gutiérrez: á segundo Teniente en el de infantería de Borbon al Subteniente de granaderos D. Pedro D'Auture; y ha nombrado para las capellanías del primer batallón del regimiento de Voluntar</t>
  </si>
  <si>
    <t>Gutiérrez, Manuel</t>
  </si>
  <si>
    <t>Manuel Gutiérrez</t>
  </si>
  <si>
    <t>sitador del de la de Veracruz á D. Juan Joseph Valderrama: para la de Guarda de la de Guadalaxara á D. Manuel Gutiérrez: para iguales'destinos en la de Córdoba á D. Francisco Alcega y I). Joseph Miguel de Soza: para la de 2.0 Pagador de la Fábrica de puros y cigarros de México á Don Mariano Hurtado</t>
  </si>
  <si>
    <t>.. 270. xo. Muerto. Manuel Gutiérrez.. ........... Diego, Manuela Corro. Orho.................. Búrgos.............. 222. Id. Alexo Laguna......................</t>
  </si>
  <si>
    <t>14. 33* Licenciado. Manuel Gutiérrez.............. Manuel, Juana González... Marazuela... Segovia_____ 213. 11. Id. Alexandro Paulucho......... Domingo, María Milié.... Rivello en... la Calabria.. 108. 3. Id. M</t>
  </si>
  <si>
    <t>Gutiérrez, Miguel</t>
  </si>
  <si>
    <t>Miguel Gutiérrez</t>
  </si>
  <si>
    <t>.Velazquez; á Capitán dé fusileros al Ayudante mayor D. Joaquín Cerezo ; ál empleo que este dexa á D. Miguel Gutiérrez, Teniente de gra</t>
  </si>
  <si>
    <t>Gutiérrez, Tomás</t>
  </si>
  <si>
    <t>Tomás Gutiérrez</t>
  </si>
  <si>
    <t>18. Id. Tomas Gutiérrez.............. . Manuel, Teresa Reynales.. Fuembellida. Palencia..... , . 6. 30. Id. Francisco Gavilanes........ Tpmas , Paula Terrón...... Calumbrianos¡.Ponferrada... 473* 5</t>
  </si>
  <si>
    <t>Guyton</t>
  </si>
  <si>
    <t>rceles, propuso las fumigaciones ácidas, atnbuyendo la primera idea de ellas al ciud. Guyton. {Memorias de la academiay año dé 1780 ,pdg. 421.) En 1794 él Consejo de Sanidad formó una Instrucción sobre los medios de purificar el ayre de las salas en lb</t>
  </si>
  <si>
    <t>ul el Sena á liado formados en batalla y con trenes de campaña. .: • :* t:ir El ciud. Guyton^ miembro del instituto, y director de la escuela polytécnicay leyó en.la junta del instituto de 3 de Agosto una . memoria intitulada: Investigaciones sobre ¡ap</t>
  </si>
  <si>
    <t>Guyton-Morveau</t>
  </si>
  <si>
    <t>incontestable, bastará recordar algunos hechos. El'año de 1773 dió á conocer el ciud. Guyton-Morveau el efecto feliz de las fumigaciones del ácido muriáíico para purificar él ayre corrompido. La primera-experiencia se hizo el 6 de</t>
  </si>
  <si>
    <t>stilenciales , y recomendó las fumigaciones acidas , de las [quales dice que el ciud. Guyton-Morveau fué el primero que las usó. ( v. Instrucciones y Avisos fe'O.) El.año de 1780 la academia de Ciencias, consultada sobre los medios c(e corregir la insalubridad</t>
  </si>
  <si>
    <t>Guzmaa, AntOnio</t>
  </si>
  <si>
    <t>AntOnio Guzmaa</t>
  </si>
  <si>
    <t>D. Ramón De. loves, D. Joseph Sartorio, D. Juan Desloves, D.: Bernardo González, D. Joaquín Guzman, D. AntOnio Guzmaa^y Cárrion j D. Alonso Maiin Navarro, 0. .Diego dé'AléssonyBueno, D* BernarddBosco,D. Felipe de Borja VÍ¿e«^íNuiiitcrola.- ':i:or:,fU /saqpA :;:.v ... a.</t>
  </si>
  <si>
    <t>Guzman, Joaquín</t>
  </si>
  <si>
    <t>Joaquín Guzman</t>
  </si>
  <si>
    <t>D. Diego Ochando, D. Ramón De. loves, D. Joseph Sartorio, D. Juan Desloves, D.: Bernardo González, D. Joaquín Guzman, D. AntOnio Guzmaa^y Cárrion j D. Alonso Maiin Navarro, 0. .Diego dé'AléssonyBueno, D* BernarddBosco,D. Felipe de Borja VÍ¿e«^íNuiiitcrola.- ':i:or:,fU /saqpA :;:.v ... a.</t>
  </si>
  <si>
    <t>Guzman, Manuel</t>
  </si>
  <si>
    <t>Manuel Guzman</t>
  </si>
  <si>
    <t>la Hacha á D. Domingo Nieto, Oficial mayor de las caxas matrices .de Stá. Fe : para esta plaza , a D. Manuel Guzman, Oficial segundo de ellas: para esta resulta, al .Ohcial tercero</t>
  </si>
  <si>
    <t>Guzman, María</t>
  </si>
  <si>
    <t>María Guzman</t>
  </si>
  <si>
    <t>no dej lugar de Fuencarral , pertenecientes á la memoria que fundó en el oratorio de S. Felipe Neri Doña María Guzman. Una casa sita en el mismo lugar , comprehensiva de 33¿4 P*es be sitio, tasa-r 4a en 13,&lt;96 rs. , perteneciente á la memoria que fundó ep el oratorio de^ S. Fejipe Neri'la citada</t>
  </si>
  <si>
    <t>Gwidir, Lord</t>
  </si>
  <si>
    <t>Lord Gwidir</t>
  </si>
  <si>
    <t>, en donde prestó juramento. Le acompañaban el Duque de Norfolck en calidad de Conde Mariscal, y el Lord Gwidir como Gran Chambeland de Inglaterra; y llevaba por asistentes á sus hermanos los Duques de Yorck y de Clarence. De la esquadra que está en Corck saldrán 7 navios de línea para las</t>
  </si>
  <si>
    <t>Gyldenpam</t>
  </si>
  <si>
    <t>Federico Guillermo Alexandro. Ha nombrado este Soberano por Secretario de embaxada en Inglaterra á Mr. Gyldenpam, que actualmente es Secretario del Cónsul general de Dinamarca en París.</t>
  </si>
  <si>
    <t>Habert, General</t>
  </si>
  <si>
    <t>General Habert</t>
  </si>
  <si>
    <t>rmo en Marsella , ha salido de aquella ciudad para esta, habiéndole precedido su primer Ayudante el General Habert. Ya han llegado aquí los caballos árabes de Menou. La esposa de este conserva los usos de Egipto, y no sale á la calle sin cubrirse el rostro con un velo. Una carta de la Isla de</t>
  </si>
  <si>
    <t>Hachette</t>
  </si>
  <si>
    <t>Hagwitz</t>
  </si>
  <si>
    <t>e, y se cree que se resolverán en el congreso de Amiens. En quanto á sus resarcimientos se dice que Mr. Hagwitz, Ministro prusiano, presentará una nota sobre ello al Conde de Stadion: y que las dos cortes principales de Alemania se concertarán sobre este particular, al paso que se ajuste el</t>
  </si>
  <si>
    <t>cés. Créese generalmente que las negociaciones entabladas entre la Prusia y el Austria por medio de Mr. Hagwitz y el Conde de Stadion, Plenipotenciario austríaco en esta corte, no han producido el efecto que esperaba el ministerio de Viena. Mr. Stadion hacia proposiciones harto ventajosas para</t>
  </si>
  <si>
    <t>Haiter</t>
  </si>
  <si>
    <t>adelanté azul. ‘ í Ha Uegádo á'Báth la Princesa de Orange, y acompaña mucho á la Duquesa de Yorck. Mr. Haiter, que ha ido á Ñapóles Comisionado por el Príncipe de Gáles para éxámiriár los manuscritos hallados en las ruinas del Herculano, ha descubierto un tratado de Epicuro intitulado: De</t>
  </si>
  <si>
    <t>Hakenszmit</t>
  </si>
  <si>
    <t>Markoff, Embaxador de Rusia ért ésta República, haJ sido vacunada aquí por Mr. Colon á presencia de Mr. Hakenszmit, médico ruso , que vino á París con dicho Embaxador. Este facultativo ibtentó la nueva inoculación en los gobiernos dé Podolia y Volhinia, v vacunó jo- personas1’; gefó como le qu</t>
  </si>
  <si>
    <t>Hallegg, Martín</t>
  </si>
  <si>
    <t>Martín Hallegg</t>
  </si>
  <si>
    <t>gimiento de infantería Suizo de Rutiman se ha, servido S. M. promover á,Capitán segundo *1 Ayudante D, Martin Hallegg: ¿ Subtenientes en el de Reding ilds Cadetes D. Amonio Ignacjo Bauman y D. Nicolás Tywaz : á Teniente en el de ^anm¿alf-Sqbt$ni*9te de--granaderos Don Fdlix Obersteg ; y ha nombra</t>
  </si>
  <si>
    <t>Hallowell, Capitán</t>
  </si>
  <si>
    <t>Capitán Hallowell</t>
  </si>
  <si>
    <t>bierno de Francia y el gabinete de Lisboa. En la gazeta de la corte se publicó ayer la relación del Capitán Hallowell, que mandaba el navio Swiftsure quando lo apresó el Contra- Almirante Gantheaume. Concluye la noticia de aquel combate diciendo que el Almirante francés y toda su oficialidad trat</t>
  </si>
  <si>
    <t>Hamelin, Capitán</t>
  </si>
  <si>
    <t>Capitán Hamelin</t>
  </si>
  <si>
    <t>del Capitán Baudin. El 19 de Maj o llegó al puerto jackson el navio el Naturalista , mandado por el Capitán Hamelin. Se habia separado del Geógrafo por los malos temporales; y estaba resuelto el Capitán, si no parecía en algunas semanas , á hacer vela hacia la Isla de Francia. El 3 de Junio eíc</t>
  </si>
  <si>
    <t>Hamhirrgó</t>
  </si>
  <si>
    <t>neur, han ido á parar hacia Malmoe; y cerca de Fiasterboe encalló un barco ingles nombrado el Gato. D, Hamhirrgó 8 de Febrero. ' le Stockolmo escriben que el Sr. Correa-, Agénte de S. M. Fidelísima en aquella corte, se restituye á Lisboa por orden de su Soberano. { En ía gazeta de Petersburg</t>
  </si>
  <si>
    <t>Hammarfelt, Capitán</t>
  </si>
  <si>
    <t>Capitán Hammarfelt</t>
  </si>
  <si>
    <t>yacte Ésplandian , mandado por el Capitán Nordberg; y luego se transfirió el Rey al yacte Ainadis, Capitán Hammarfelt, en el qual se tremoló al instante la bandera real: el castillo la saludó con 128 cañonazos; y á las 11 zarparon todos los buques. Al pasar SS. MM. por delante de dicho castillo r</t>
  </si>
  <si>
    <t>Hammer</t>
  </si>
  <si>
    <t>s oficiales de marina de todos grados no se ausenten de noche de sus respectivos buques. Dícese que Mr. Hammer ha encontrado en Egipto un manuscrito árabe, que contiene la clave ó explicación de los geroglíficos grabados en algunas pirámides y edificios de aquel pais, y que está ocupado en</t>
  </si>
  <si>
    <t>Hanuel Cofredez</t>
  </si>
  <si>
    <t>á D. Joseph Bernardino de Herrera : para Teniente Visitador de la E'actoría deí tabaco de Puebla á Don Hanuel Cofredez : para la de Cabo del Resguardo de la misma Factoría ;í B. Matías Madrid : para Guarda del propio Resguardo á D. Felipe Montero : para Visitador de la propia Factoría á D. Manuel</t>
  </si>
  <si>
    <t>Harcourt, Coronel</t>
  </si>
  <si>
    <t>Coronel Harcourt</t>
  </si>
  <si>
    <t>costas de la América septentrional quando el terrible terremoto de Quito¿ Ha llegado de la India el Coronel Harcourt con pliegos muy importan-* tes del Gobernador general Marques de Wellesley. Parece que se ha mo</t>
  </si>
  <si>
    <t>Hardí, General</t>
  </si>
  <si>
    <t>General Hardí</t>
  </si>
  <si>
    <t>istóbal se habia apostado con sus tropas en el morro de los Ingleses, á media legua de nosotros. El General Hardí con su división se dirigió á aquel punto, y á media legua del Cabo encontró á los incendiarios que iban á quemar las habitaciones. Durante este tiempo el Almirante mandó acercar m</t>
  </si>
  <si>
    <t>Hardy, General</t>
  </si>
  <si>
    <t>General Hardy</t>
  </si>
  <si>
    <t>General Rochambeau , que igualmente los ha arrojado de S. Miguel de la Atalaya. Al mismo tiempo el General Hardy se hacia dueño de la Mermelade y de Ennery, que era el quartel general de los rebeldes, y al qual penetraba el General Desfourneaux por Plasencia. Hallábanse estas tres divisiones</t>
  </si>
  <si>
    <t>marineros , que. contribuyeron altamente á la defensa del Cabo .hasta la llegada de la división del General Hardy. Se pusiérón barcos anhádo^ en' lá bahíapeqúeña, en. el rio Gatiffet y eni todos los 'puntos -dué,podían Mi¡j?^méflbMdds; yfpérmaneciéron allí iníeñáras1 dufd ’ el peligro. Dueño</t>
  </si>
  <si>
    <t>Pierrot. Fuéron destrozados por los nuestros, que no les diéron quartel. Se puso luego en camino el General Hardy con su división para la llanura del norte y las inmediaciones del Cabo; y llegó á reunirse, después de unas jornadas muy trabajosas, con el General Boyer. Durante estas operacione</t>
  </si>
  <si>
    <t>de ancho y 3 de alto, nos ceñimos á estrechar el bloqueo y á cañonear aquel reducto. Entre tanto el General Hardy encontró en el morro de Nolo al General Dessalines., que había salido de noche de la Crete-á-Pierrot, para acometerle. por la retaguardia. El General de brigada Desplanques, que man</t>
  </si>
  <si>
    <t>eqiientes salidas, y á lo ménos el Cabo no padeció daño ninguno. Hoy salió de la Crete-á-Pierrot el General Hardy para acantonarse en el departamento del Norte; y el General Rochambeau se ha puesto en marcha hácia el distrito de Gonaives, en el qual se halla Santos. Aunque hace 40 dias que es</t>
  </si>
  <si>
    <t>Harrand, Coronel</t>
  </si>
  <si>
    <t>Coronel Harrand</t>
  </si>
  <si>
    <t>Spira; pero hasta ahora están guardadas las puertas de Bruchsal por tropas de Spira y de Badén. El Coronel Harrand se ha puesto en marcha coñ otro cuerpo para tomar igualmente posesión del obispado de Constanza. . Francfort 28 de Setiembre, P or cartas de Ratisbona del 20 de Setiembre consta q</t>
  </si>
  <si>
    <t>Hartmann, Martín</t>
  </si>
  <si>
    <t>Martín Hartmann</t>
  </si>
  <si>
    <t>ulta al segundo Teniente D. Marcos Aragonés; y en el de Suizos de Betschart á Subteniente al Cadete D. Martin Hartmann. En el Real cuerpo de Artillería ha nombrado el Rey Capitán al Teniente D. Domingo Gómez Cuesta; y Teniente al Subteniente D. Joseph de Rey na. El Rey se ha servido nombrar al Sr.</t>
  </si>
  <si>
    <t>Hartsing, Almirante</t>
  </si>
  <si>
    <t>Almirante Hartsing</t>
  </si>
  <si>
    <t>iendas: de suerte que por esta, parte nada/perderán. En el Texel entró el dia 13 la esquadradelVice-Almirante Hartsing , el qual se presentó hoy al gobierno ,-y este l.ediólos elogios que merece por el buen* desempeño de ¡su expedición. Los buques d'é sú mando se repararana uanto antes , y. saldrá</t>
  </si>
  <si>
    <t>Hartsinh, Almirante</t>
  </si>
  <si>
    <t>Almirante Hartsinh</t>
  </si>
  <si>
    <t>n manifestado en varias ocasiones. Haya 28 de Agosto. P arece que se desarmará la esquadra del VÍce-Almirante Hartsinh recien Mecada de las Indias occidentales. Un solo navio de línea quedará armado,, y los demas buques de la República que están en viage sejdesárinarán según fueren llegando á Hola</t>
  </si>
  <si>
    <t>Hartsink, Almirante</t>
  </si>
  <si>
    <t>Almirante Hartsink</t>
  </si>
  <si>
    <t>tados de comercio que ha de concluir allí con Francia é Inglaterra. La división mandada por el Vice-Almirante Hartsink, surta en Flesinga , espera sus últimas ordenes á fin de hacerse á la vela con tropas francesas para Santo Domingo. Igualmente, del Texel saldrá en breve un convoy para el Mediter</t>
  </si>
  <si>
    <t>Hartsinzk, Almirante</t>
  </si>
  <si>
    <t>Almirante Hartsinzk</t>
  </si>
  <si>
    <t>icación del Mediterráneo con el Océano. El dia 12 zarpó de Brest la división holandesa al mando del Almirante Hartsinzk con el navio francés el Zeloso de 74 cañones, mandado por el ciud. Dufay. En esta división destinada para Sto. Domingo van de 2 á 3® hombres de tropas. lia llegado á Bruselas el l</t>
  </si>
  <si>
    <t>Hartzink, Almirante</t>
  </si>
  <si>
    <t>Almirante Hartzink</t>
  </si>
  <si>
    <t>á aquel establecimiento varios empleados del gobierno. También se ha hecho á la vela de Flesinga el Almirante Hartzink; va mandando una fragata francesa de guerra y otras 3 holandesas, en las quales se ha embarcado la media brigada francesa núm. 7 de infantería. Por hallarse enfermo el ciud. Bever</t>
  </si>
  <si>
    <t>Harvey Morris</t>
  </si>
  <si>
    <t>ra que no se permita que desembarquen oficiales franceses.. Con fecha del 10 escriben de Dublin que Mr. Harvey Morris, que. fué" preso en Hambrrgo con Tsapper Tandy, lia conseguido 'su libertad Haxo fianza; y que Napper irá desterrado por toda £-u vida á Bahía-Botánica. El Lord Keith y.el General</t>
  </si>
  <si>
    <t>Haussman, Miguel</t>
  </si>
  <si>
    <t>Miguel Haussman</t>
  </si>
  <si>
    <t>e de barcas del Rhin ; y de resultas queda cortada la comunicación con Kell. El ciud. Miguel Haussman, establecido cerca de Colmar, ha encontrado el modo de iixar y hacer permanentes en las telas de algodón y lino varios colores delicados , como el morado claro</t>
  </si>
  <si>
    <t>Hauterive</t>
  </si>
  <si>
    <t>se halla ausente el Ministro de Estado Talleyrand , quedó encargado de ellas el ciud. Hauterive, primer oficial de su secretaría. Ilay esperanzas de que las fronteras septentrionales de esta República se restablecerán según estaban ántes de la guerra; y a</t>
  </si>
  <si>
    <t>ado particular entre la Francia y aquella potencia: y se firmó el dia 19 por el ciud. Hauterive, uno de los xefes de la Secretaria de Relaciones exteriores, y el Barón de Normann, Vice-Presidente de la Regencia de Wirtemberg, nombrados al efecto Ministros</t>
  </si>
  <si>
    <t>Hauterive y Mr</t>
  </si>
  <si>
    <t>Duque; y las ratificaciones se can— geáron enParis el 31 de dicho mes entre el ciud. Hauterive y Mr. de Normano , Consejero íntimo y Vice-Presidente de la Regencia , nombrados á este efecto Ministros plenipotenciarios por los dos gobiernos. Este acto es segur</t>
  </si>
  <si>
    <t>Hav, Lord</t>
  </si>
  <si>
    <t>Lord Hav</t>
  </si>
  <si>
    <t>1.0 vo de dicha dilación.-—Muy extraña -pareció semejánte solicitud .al Lord Hav/kesbury. En las presentes circunstancias : dixo-este Ministro y es :impo*. sible contestar á tales preguntas ; y én caso que las negociaciones- se pro-, longasen inútilmente, tien</t>
  </si>
  <si>
    <t>Hawkesbury</t>
  </si>
  <si>
    <t>de un gobierno vicioso, con la firmeza de la intrepidez y la energía de la prudencia.” Le reconvino Mr. Hawkesbury de que sus expresiones no eran conformes con los principios de reconciliación que importa observar con Francia quando se está negociando una paz tan ardientemente deseada por toda la</t>
  </si>
  <si>
    <t>Hawkesbury, Lord</t>
  </si>
  <si>
    <t>Lord Hawkesbury</t>
  </si>
  <si>
    <t>as: el mas viejo tiene 97 años, y el mas mozo 19; Londres t.° de Diciembre. J E n la secretaría del Lord Hawkesbury, Ministro de Negocios extrangeros, ha habido un consejo, al que parece asistió Mr. Pitt, y el qual se celebró con motivo de los últimos pliegos que el Marques de Cornwallis envió</t>
  </si>
  <si>
    <t>del cange de:prisioneros franceses en Inglaterra; y S. M. Británica al Sr. Roberto Banks Jenkinson, Lord Hawkesbury, del Consejo privado de S. Británica, y su principal Secretario de Estado y del despacho de negocios. extrangeros: los quales, habiéndose debidamente comunicado sus plenipotencias</t>
  </si>
  <si>
    <t>de oro ni de plata en sus tocados ni en sus chales. Londres 15 de Diciembre. E n la secretaría del Lord Hawkesbury se ha celebrado un consejo de gabinete con motivo de haberse recibido pliegos del Lord Cornwallisi Asistieron á dicho consejo varios Ministros extrangeros, entre* ellos el de la c</t>
  </si>
  <si>
    <t>ue, y se tiráron 58 cañonazos: número igual á los años que cumplió S. M. Mr. Hervey, secretario del Lord Hawkesbury, salió de aquí el 16 para Amiens, adonde lleva instrucciones y explicaciones importantes sobre varios puntos que retardan el ajuste de las negociaciones. De aquella ciudad y de Pa</t>
  </si>
  <si>
    <t>ar y objeto determinado; y que sus resultas no pueden perjudicar á la Gran Bretaña. Por su parte el Lord Hawkesbury respondió en la otra Cámara á Mr. Elliot, el qual habia concluido su discurso diciendo: ,,Pido y encargo á mi pais que viva con cuidado. La potencia con quien actualmente tenemos</t>
  </si>
  <si>
    <t>confirmación de esta noticia. El ciud. Otto luego que leyó dichos pliegos fué a conferenciar con el Lord Hawkesbury, y despachó -la misma tarde el correo con su respuesta. Mañana tiene este Ministro francés un convite para 'los principales individuos del cuerpo diplomático. Ha entrado en Pórtsm</t>
  </si>
  <si>
    <t>tropa y marinería de la esquadra de Cork. Ayer se recibieron cartas de Amiens en la secretaría del Lord Hawkesbury. El Marques de Córnwallis ha dado una espléndida comida á los Plenipotenciarios del congreso , sus secretarios , y algunas señoras de la ciudad. Se han leído en la Cámara, de los</t>
  </si>
  <si>
    <t>s de Amiens y París, y se celebran asimismo muchos consejos de gabinete , unos en la secretaria del Lord Hawkesbury, y otros en la de Mr. Addington. Ayer murió en Woburn-Abbey el Duque de Bedford , á ios 37 años de edad. Era muy celebrado no menos en su patria que fuera de ella por el buen uso</t>
  </si>
  <si>
    <t>n se rompan las negociaciones de paz , quedaron desvanecidas con quanto dixéron en sus discursos el Lord Hawkesbury, Mr. Addington y otros.</t>
  </si>
  <si>
    <t>no francés ha desechado toda proposición sobre un tratado de comercio con Inglaterra. Contestóle ei Lord Hawkesbury en estos términos: ,, Ja</t>
  </si>
  <si>
    <t>a y España; y con este motivo se detuvo ep hacer crítica del tratado definitivo. Quejóse de ello el Lord Hawkesbury, y también de los rodeos á que apelan ciertos vocales para hablar del tratado de paz ántes del dia convenido. „Sopretexto, de pedir que se comuniquen ciertos documentos, dixo, se</t>
  </si>
  <si>
    <t>del l ord f iinto fuéron atendidas...— En la sesión de la Cámara baxa de ántes dé ayér presentó el Lord Hawkesbury copia del tratado de Badajoz, el artículo adicional al convenio coir Rusias firmado el ao de Octubre én Mós</t>
  </si>
  <si>
    <t>Windhám propuso una representación en el propia sentido que la del Lord Grenville, y le contestó el Lord Hawkesbury. A las tres de la madrugada pidió el General Gascoigne que se aplazára la disputa; y esta proposición fué adoptada por una mayoría de 48 votos. Se reparó que Mr. Fox no asistió á</t>
  </si>
  <si>
    <t>os pensamos de nuestra propia causa;, sino de lo que piensa la nación con la qual hémos tratado. El Lord Hawkesbury se ha presentado como otro Ayax en medio de un rebaño tímido é indefenso, que tomó al principio por una legión de troyanos ; pero- hubiera sido mejor que reservase su artillería p</t>
  </si>
  <si>
    <t>nuestra verdadera situación, que no tardará en manifestarse el peligro.” . . # :t Liiíí o vi- : £1 Lord Hawkesbury en una dilatadísima, respuesta füé contestando á todos estos cargos, y desvaneciéndolos con razones fandadas. Hablárondu go otros vocales en pro y en contra del tratado; y quanto un</t>
  </si>
  <si>
    <t>é74 tuvo el día 12 una conferencia sobre ello con el Lord Hawkesbury, y ambos quedaron, satisfechos de lo que trataron. Bl Lord Corregidor ha enviado de regalo á SS. MM. un esturión de extraordinario tamaño, cogido el sábado último por unos pescado</t>
  </si>
  <si>
    <t>os ingleses que quieran ir á Francia necesitan llevar pasaportes firmados por el Ministro de Estado Lord Hawkesbury, y por el ciud. Otto, Ministro francés en Londres. Una carta de Gibraltar de 31 de Mayo recibida aquí el 23 del corriente refiere que la fragata portuguesa nombrada el Cisne» de 4</t>
  </si>
  <si>
    <t>n á V compañía á retirar las mercancías y efectos que tiene en íós dominios turcos. Respondióles el Lord Hawkesbury que por ahora no había motivo de temer por la seguridad de las pro** piedades inglesas que hay en ios estados de Turquía; pero supuesto había en levante algunas naves dé guerra in</t>
  </si>
  <si>
    <t>asó á visitarle el ciud. Otto. Un poco después comunicó de oficio el General Andreosi su llegada al Lord Hawkesbury, Secretario de Estado , á cuya'secretaría pasó luego el Embaxador con el ciud. Otto, quien le presentó al Ministro. Era grandísimo el.gentío que acudía á ver al nuevo Embaxador. S</t>
  </si>
  <si>
    <t>Hawkesburypara, Lord</t>
  </si>
  <si>
    <t>Lord Hawkesburypara</t>
  </si>
  <si>
    <t>esta capital, interesada en el comercio de*Turqtiía&gt; envío el dia 28 diputados ai Mioistrode Estado Lord Hawkesburypara tomar informes sobre las turbulencias del Impero otomano, y pedir Ies concediesen algunos buques de guerra para el caso en que los progresos de aquellos desórdenes obligasen á V c</t>
  </si>
  <si>
    <t>Haydn</t>
  </si>
  <si>
    <t>petuo de la sociedad Real de Londres, por socio extrangero en la de ciencias fúico-matemáticas; y á Mr. Haydn por socio en la de literatura y bellas artes. Según noticias de Italia varias embarcaciones genovesas, que durante el sitio de Porto-Ferrayo fuéron apresadas por los ingleses y co</t>
  </si>
  <si>
    <t>278 La academia de música de esta capital ha acordado dar tina medalla á Mr. Haydn, como prueba del aprecio que ha hecho de su célebre oratorio de la creación del mundo. Este mismo compositor recibió anteriormente otra medalla acuñada en París con el propio moti</t>
  </si>
  <si>
    <t>He, General</t>
  </si>
  <si>
    <t>General He</t>
  </si>
  <si>
    <t>y Ministro plenipotenciario de la República francesa cerca del Emperador de Rusia está nombrado el General He— douville: por primer Secretario el ciud. Chateau Girón, y por segundo el ciud. Maximiliano Rayneval. Habiéndose movido dudas en algunos puertos sobre si podía permitirse la intro</t>
  </si>
  <si>
    <t>Hedouville, General</t>
  </si>
  <si>
    <t>General Hedouville</t>
  </si>
  <si>
    <t>dia, y á proporción en las demás universidades de Alemania. Espérase quanto antes en esta ciudad al General Hedouville, Ministro de la República francesa; hasta su llegada permanecerá aquí el Coronel Caulincourt. Los Consejeros íntimos Lapuchin y Neindiskoi-Meleskoi, que de orden de S. M. fueron á</t>
  </si>
  <si>
    <t>os , que siguen correspondencia con el observatorio general de Píamente. strasburgo 7 de Marzo. E 1 General Hedouville, que va á Petersburgo en calidad de Embaxador de Francia , llegó aquí, se detuvo dos dias, y el 4 salió para su destino. Al tiempo de su partida le hiciéron salva de artillería. C</t>
  </si>
  <si>
    <t>despedirse del Rey le nombró S. M. caballero de la orden Real del Aguila meara. Ha llegado aquí el General Hedouville, que va á Petersburgo en calidad de Ministro plenipotenciario, de la República francesa. Al dia siguiente le convidó á comer el Ministro de Estado Conde de Haugwitz, y le acompaña</t>
  </si>
  <si>
    <t>ZETA DE MADRID DEL MARTES i.° DE JUNIO DE 1802. "' Petersburgo 14 de Abril. E I dia 8 llegó aquí el General Hedouville, Ministro plenipotenciario de fa República francesa, y el 11 tuvo audiencia particular del Emperador y de la Emperatriz madre. En breve se espera á la esposa de este Ministro, s«t</t>
  </si>
  <si>
    <t>Hedouvillee, General</t>
  </si>
  <si>
    <t>General Hedouvillee</t>
  </si>
  <si>
    <t>n se llevará de Suecia á Alemania. De Rig ¡seriben que el 2 del corriente llegó á aquella ciudad el General Hedouvillee, Ministro plenipotenciario de Francia cerca del Emperador</t>
  </si>
  <si>
    <t>HedouviUe, General</t>
  </si>
  <si>
    <t>General HedouviUe</t>
  </si>
  <si>
    <t>ado académico honorario al Archiduque Carlos. Berlín 2 t de Marzo. A, ntes de ayer salió de aquí el General HedouviUe con su familia y los empleados de su embaxada para Petersburgo, adonde se propone llegar en 14 dias de viage. Ei Encargado de Negocios de Holanda residente en esta corte ha sido p</t>
  </si>
  <si>
    <t>Heimesv Hubo</t>
  </si>
  <si>
    <t>Elector Cirios Teodoro, fS. A., revestido del paUoenlaeapilla. de palacio por mano del Gran AyQario^Mr. Heimesv Hubo aquel diacn la ^coríéori espléndido banquete^ á que asistieron vatios extranjeros distinguidos^ entré enos el cjudJ Heisinger, Encargado der negocios de la República! francesa en</t>
  </si>
  <si>
    <t>HemeterioMdtetio</t>
  </si>
  <si>
    <t>. Lucas de Soto, D. Fructuoso Cariñena, D* Patricio Gómez, D. Manuel Martínez-, D. Dionisio Pinedo, D. HemeterioMdtetio* D. Anacleto Orbañanos, D. Gerardo Moreno, D. Braulio Martínez, Don Vicente Heras y D. Valentín Gutiérrez. Y en la tercera D. Valentín Sa^ cristas, D. Manuel Arjumariz, D. Joseph</t>
  </si>
  <si>
    <t>Henifique Kerremont</t>
  </si>
  <si>
    <t>del Mediterráneo compuesta de quatro navios -de 74 cañones. lia salido de aquí con destino á París Mr. Henifique Kerremont, que servirá en la secretaría de embaxada del Lord Witwórth. En la sesión de la Cámara de los Comunes de antes de ayer ofreció el Secretario de Guerra presentar dos biles para arr</t>
  </si>
  <si>
    <t>Henifique Stuart, Lord</t>
  </si>
  <si>
    <t>Lord Henifique Stuart</t>
  </si>
  <si>
    <t>á Lisboa, y Mr. Jayme Crawfurt á Stpckolmo; Con Mr. Listón va al Haya de secretario de legación el Lord Henifique Stuart ,hijo del Marques de Bute. , A causa., de la epidemia que¿.féyn^ en Jamayca hacen aquí quareñt’ena las embarcaciones que llegan de aquella isla..í ; : &lt; La fragata Narciso de 36 c</t>
  </si>
  <si>
    <t>Henrique, Príncipe</t>
  </si>
  <si>
    <t>Príncipe Henrique</t>
  </si>
  <si>
    <t>al Emperador de Rusia. S. M. Prusiana hará ei viage desde Koenigsberg por la: orilla del mar, y el Príncipe Henrique le emprenderá por Tiisit. Las tropas que se juntan en Memel están mandadas por Mr. de Courbiere, General de infantería. Desde aquella ciudad irá S. M. á la revista de Varsovia, y</t>
  </si>
  <si>
    <t>ín 3 de Agosto. H&lt; loy se ha sabido que el domingo por la noche mnrio en so pataco de Rheiasberg el Príncipe Henrique de rrusia, hermano de Federico el Grande , General de infantería, Xefe de un regimiento, y Preboste del Cabildo de Migdeburgo: tenia 76 años y medio de edad, habiendo nacido el 18 de</t>
  </si>
  <si>
    <t>, á ñn de escoger la casta de caballos que mejor les convenga. El dia 20 re abrió el testamento del Príncipe Henrique á presencia de un Secretario de Estado y de otras personas. En la segunda cubierta se hallaron escritas en francés por mano de dicho Príncipe estas palabras: „Sc entregará á S. M.</t>
  </si>
  <si>
    <t>HenriqueAthayde de Portugal</t>
  </si>
  <si>
    <t>alemandas y un rondó para \!antar, todo para guitarra sola: una sonata para dicho inlitrumento, por D. HenriqueAthayde de Portugal ~ dada á luz por el profesor D. Antonio Perez Henriquez y GOJlZalez~ Se hallar4n en ·la IU.rería de Arribou" calle de las Carretas. . NOTA. En esta gazeta se inserta el anuncio de</t>
  </si>
  <si>
    <t>Henriquez, Julián</t>
  </si>
  <si>
    <t>Julián Henriquez</t>
  </si>
  <si>
    <t>Antonio Benavides, D. Joseph del Calvó, D. Martin de Tompson, D. Juan de Hevia , D. Diego Guillen, D. Julián Henriquez , D..Pedro Marín Fernandez , D. Vicente García y Navarro, y D. Hipólito Souvirao. • -i Em tercera :}echa.\ :-ú]&gt; .• -.r* un P. Joseph-de Sesma y San Juan , D...Garlos Titear y» Pe</t>
  </si>
  <si>
    <t>Henriquez, Manuel</t>
  </si>
  <si>
    <t>Manuel Henriquez</t>
  </si>
  <si>
    <t>D. Mariano Carrasco, D. Vicente Pico, í). Antonio Arias , D. Joseph Espinosa, D. Miguel de Gerona, D. Manuel Henriquez, D. Francisco Xavier de Mendíri, D. Bartolomé Ladrón de Guevara, D. Gerónimo Montóya, Don Manuel de la Breña, D. Manuel de Alva, D. Juan Vázquez, D. Alberto Moreyra, D. Joseph de</t>
  </si>
  <si>
    <t>Henry</t>
  </si>
  <si>
    <t>Enero. H a declarado el gobierno que los batallones de tropas mandados por los ciudadanos Lega y Henry están destinados para guarnecer el Cabo de Buena-Esperanza, y saldrán á principios de la primavera inmediata. Se han recibido noticias favorables de Batavia. El</t>
  </si>
  <si>
    <t>del mes último salió de Brest el navio Tourville, de 74 cañones, mandado por el ciud. Henry: va á Santo Domingo, adonde lleva pasageros, y tropas con el General Desbureaux. El mismo dia ó el siguiente debía zarpar dei propio puerto la fragata española</t>
  </si>
  <si>
    <t>Her, Pedro</t>
  </si>
  <si>
    <t>Pedro Her</t>
  </si>
  <si>
    <t>bservaciones y noticias de contraprueba por la inoculación antigua, traducido del francés por el Dr.D. Pedro Her</t>
  </si>
  <si>
    <t>Heras, Vicente</t>
  </si>
  <si>
    <t>Vicente Heras</t>
  </si>
  <si>
    <t>ionisio Pinedo, D. HemeterioMdtetio* D. Anacleto Orbañanos, D. Gerardo Moreno, D. Braulio Martínez, Don Vicente Heras y D. Valentín Gutiérrez. Y en la tercera D. Valentín Sa^ cristas, D. Manuel Arjumariz, D. Joseph Ruiz y D. Estiban de Estefanía. Barcelona zp de Setiembre. . : P ^ E 124 de este por l</t>
  </si>
  <si>
    <t>Hermand, Miguel</t>
  </si>
  <si>
    <t>Miguel Hermand</t>
  </si>
  <si>
    <t>á Ayudante al primer 1 emente D. Joseph María Zaro: en el de Borbon á primer Subteniente al segundo D. Miguel Hermand: en el de Jaén á Capitán al caballero Page de S. M. I). Faustino Viana; y ha conferido S. M. en el de Extremadura la Capellanía del segundo batallón al Capellán del primero del de</t>
  </si>
  <si>
    <t>Hermenegildo Alonso</t>
  </si>
  <si>
    <t>...... 474. 17. Id. Hermenegildo Alonso......... Gabriel, Rosa Fernandez.. S. Christóbal.. León.............. 533» 4* Id. Anacleto Miguel................. Josef, Catalina González.. Fresno............ León...</t>
  </si>
  <si>
    <t>Hermenegildo Casaus, Pablo</t>
  </si>
  <si>
    <t>Pablo Hermenegildo Casaus</t>
  </si>
  <si>
    <t>iente al Subteniente de granaderos D. Elias Ayllon: en el de España a segundo Subteniente al Cadete D. Pablo Hermenegildo Casaus : en el de León á segundos Subtenientes al Cadete D. Mariano Villanueva, y al Soldado distinguido del de Navarra D. Rafael Escovar: en-el de la Princesa á Ayudante al primer Tenie</t>
  </si>
  <si>
    <t>Hermida, Manuel</t>
  </si>
  <si>
    <t>Manuel Hermida</t>
  </si>
  <si>
    <t>5. 25. Presidio. Manuel Hermida................ Luis, Margarita Hermida.. Osebe de....... S. Clodio 110. 18. Muerto. Segunda Co</t>
  </si>
  <si>
    <t>Hermos, Juan Benito</t>
  </si>
  <si>
    <t>Juan Benito Hermos</t>
  </si>
  <si>
    <t>Areilano; y para la de Chd^r de la Audiencia de Seviíu, que resulta vacante por acenso del referido D. Juan Benito Hermos¡lÍa ,; al supernumerario de la misma D. Aptonio Vicente Yañez ■1' í'* -.-i '■ ; ■’ .--.s - '■■i-' ; En América. S.M. se ha dignado nombrar ^para Ja Dignidad de Dean de la catedral</t>
  </si>
  <si>
    <t>Hermosiíla, Antonio</t>
  </si>
  <si>
    <t>Antonio Hermosiíla</t>
  </si>
  <si>
    <t>tínez, D. Rodrigo Medrano, D. Bartolomé Monta! ño, D. Joseph Gómez deLatorre, D. Antonio Sarmiento, D. Antonio Hermosiíla, D. Joseph Bonicelii, D. Joseph de León, D. Patricio Kindélan, D. Ignacio Husey, D. Ignacio Maraver, D. Manuel Eligió, D. Antonio Mayone, D. Ramón Gómez, D. Diego Cortés, D. Juan</t>
  </si>
  <si>
    <t>Hermosilla, Juan Benito</t>
  </si>
  <si>
    <t>Juan Benito Hermosilla</t>
  </si>
  <si>
    <t>ia de Canarias, que resulta vacante por la promoción de dicho Señor D. Antonio Alvarez Contreras, á D. Juan Benito Hermosilla; y para la de la Audiencia de Oviedo, por igual promoción del Sr. D. Andrés Lasauca á D Pascual Quiiez y Talón: para la plaza de Oidor que este obtiene errla Chancille:ía de Grana</t>
  </si>
  <si>
    <t>Hermosllla, Pedro</t>
  </si>
  <si>
    <t>Pedro Hermosllla</t>
  </si>
  <si>
    <t>Teniente Coronel, D. Joseph Chacón: en el de Toledo á segundo Subteniente al agregado en esta clase D. Pedro Hermosllla: en el de Mallorca á segundo Teniente al Subteniente de granaderos D. Antonio Plernandez: en el de Granaderos Voluntarios de Estado á segundo 1 eniente al Subteniente D. Pedro Ang</t>
  </si>
  <si>
    <t>Hermstaedt</t>
  </si>
  <si>
    <t>Alemania merece citarse una escuela de tinte y estampado de telas establecida en Berlín, en la qual Mr. Hermstaedt, Doctor y Consejero de medicina, da lecciones dos veces cada semana. Este establecimiento es á todos respectos mas provechoso'que el común método del aprendizaje. El célebre astró</t>
  </si>
  <si>
    <t>Hernández Berez de Larrea, Juan Antonio</t>
  </si>
  <si>
    <t>Juan Antonio Hernández Berez de Larrea</t>
  </si>
  <si>
    <t>duación, y consistieron en libros de las mismas facultades, que costeó.el primer director limo. Sr. D. Juan Antonio Hernández Berez de Larrea, Ohispo de Valladolil , como anualmente lo hace ah fin dé los cursos &lt;5 años escolásticos de estas ciencias,' mediante su gran zelo par ios progresos de unos establecimientos tan</t>
  </si>
  <si>
    <t>Hernández, Christóbal</t>
  </si>
  <si>
    <t>Christóbal Hernández</t>
  </si>
  <si>
    <t>Francisco "Viana: Tenencia de carabineros al Teniente D. ^Manuel Dávila: Tenencias á los Alféreces D. Christóbal Hernández, D. Juan Antonio de Ribera y D. Julián Romero; y el empleo de Alférez de carabineros al Alférez D. Rafael de Silva. A consulta del Consejo lia concedido S. M. permiso á la villa d</t>
  </si>
  <si>
    <t>Hernández, Francisco</t>
  </si>
  <si>
    <t>Francisco Hernández</t>
  </si>
  <si>
    <t>ez Elias; y en el de dragones de México á Capitán al Teniente D. Juan Rendon; á Teniente al Alférez D. Francisco Hernández, y á Alférez ai Portaguión D. Joseph Malo. Ei Rey se ha servido conferir los empleos de Ministros Tesoreros de las Reales caxas de Veracruz, Guanaxuato, Pachuca, Acapulco y Bolarñ</t>
  </si>
  <si>
    <t>Hernández, Joseph</t>
  </si>
  <si>
    <t>Joseph Hernández</t>
  </si>
  <si>
    <t>ado. El que quisiere tratar por el todo ó parte de ellas, se dirigirá personalmente ó por escrito á D. Joseph Hernández, Contador de las mismas fábricas en dicha ciudad. Los subscriptores á las estampas del via crucis dibuxadas por D. Vicente López, director de pintura en la Real academia de S. Car</t>
  </si>
  <si>
    <t>Hernández, Juan</t>
  </si>
  <si>
    <t>Juan Hernández</t>
  </si>
  <si>
    <t>13. 23. Id. Juan Hernández....... ........... Juan, Bernarda Adriana;.... Nava........ Avila........ 5*. 28. Id. Juan Monar...................... . Miguel, Isabel Fern</t>
  </si>
  <si>
    <t>Hernández, Pedro</t>
  </si>
  <si>
    <t>Pedro Hernández</t>
  </si>
  <si>
    <t>zeta de los efectos favorables del invento de la vacuna, y leída la instrucción publicada por elDr. D. Pedro Hernández, médico del Real colegio de Madrid,sin embargo que se carecía de noticia de que se practicase en este reyno: y al mismo tiempo oido que el ciud. Iribarren Aycin, profesor de cirug</t>
  </si>
  <si>
    <t>Hernández, Simón</t>
  </si>
  <si>
    <t>Simón Hernández</t>
  </si>
  <si>
    <t>a christiana, aritmética, y gramática y ortografía castellana: y lo fuéron respectivamente en la de Don Simón Hernández, Alexandro Chacel, Antonio Sen$oncha, Joseph.de San Joseph, Jülian Perez y Joaquín R aciaba 1: en Ja de D. Tomas López, Pedro Lozano, Ramón Reyuoso, Joseph Panizo /Domingo Agüero/</t>
  </si>
  <si>
    <t>Herrera y Bustamante, Francisco</t>
  </si>
  <si>
    <t>Francisco Herrera y Bustamante</t>
  </si>
  <si>
    <t>D. Luis de la Gándara, D. Juan de la Cagiga, D.. Joseph de la Cagiga, T), Vicente de Lama y Montes, D. Francisco Herrera y Bustamante, Don Joseph de Castro :y Pazos , D. Francisco de Paula Michelena, D. Agustín Obándo y Adorrtoy D. Martin Uria y Navea, D. Ramón Pówert y Guirát, D. Jiiari Fernández Aiarcon, D. Jo</t>
  </si>
  <si>
    <t>Herrera y Cruzat, Tomás</t>
  </si>
  <si>
    <t>Tomás Herrera y Cruzat</t>
  </si>
  <si>
    <t>pitanes de Navio los de Fragata ■i D. Juan Carranza, D. Bruno Palacio*, D. Juan Elizalde y Uztariz, D. Tomas Herrera y Cruzat, D. Juan Ignacio Bustillos, D. Felipe Tcurneil, D. Pedro Esquível, D. Pedro de Mesa, D. Ignacio Olaeta, D. Joaquín Gómez Barreda, D. Benito Santacilia, D. Cosme- Carranza, D. Jose</t>
  </si>
  <si>
    <t>Herrera, Francisco</t>
  </si>
  <si>
    <t>Francisco Herrera</t>
  </si>
  <si>
    <t>ministerios, de las buenas memorias que para tomar estado y otros píos-fines erigió y fundó el Lie. D. Francisco Herrera; se hace saber que por el testamentó que este otorgó en 9 de Setiembre de 1390, entre otros particulares quiso que en cada alio perpetuamente se nombrase una huérfana de su linage</t>
  </si>
  <si>
    <t>Herrera, Joseph Buenaventura</t>
  </si>
  <si>
    <t>Joseph Buenaventura Herrera</t>
  </si>
  <si>
    <t>n Bautista Guerra ; á Subteniente de granaderos al de fusileros D. Manuel Muñiz, y á Subtenientes á D. Joseph Buenaventura Herrera y D. Aíanuel Mayo y Camaño, el primero Sargento del mismo cuerpo. El Consejo, á consulta de la Comisión gubernativa, y con aprobación de S. AL, ha acordado la trigesimaquarta amortiza</t>
  </si>
  <si>
    <t>Herrera, Rafael</t>
  </si>
  <si>
    <t>Rafael Herrera</t>
  </si>
  <si>
    <t>i4t. 12. Id. Rafael Herrera.................... Antoul¡0l, Antonia Casares. Arévalo........ Arévalo........</t>
  </si>
  <si>
    <t>Herrero, Manuel</t>
  </si>
  <si>
    <t>Manuel Herrero</t>
  </si>
  <si>
    <t>rbonell, D. Juan Antonio Martínez, Don Joaquín Goyeneche j D. Vicente de Campos, D. Vicente Pallas, D. Manuel Herrero, D. Jóaquin Egaña, D. Alexandro Antonio Ojéá, D. Gaspar Barón de Rocreusse, D. Joseph María Lambí, D. Joseph Villaiba, Don Julián de Sequera, D. Joseph Graulle, D. Gerónimo Vallad</t>
  </si>
  <si>
    <t>HerrezuéloD, Joseph Antonio</t>
  </si>
  <si>
    <t>Joseph Antonio HerrezuéloD</t>
  </si>
  <si>
    <t>edro Barat, D. Antonio Vayllant, D. Lúeas Alvarez, D. Joseph Maitmez, D. Francisco Xavier Lamadrid, D. Joseph Antonio HerrezuéloD. Joseph Soto, D. Francisco Leysél, D. Mauricio de Zúñiga, D. Pedro Bermudez, D. Ramón de Villar, D. Francisco Collell, D. Cárlos Villemont, D. Tomas Portel), D. Nicolás Iberri, D.</t>
  </si>
  <si>
    <t>Herschel</t>
  </si>
  <si>
    <t>egros de la Dominica por las acertadas providencias de los comandantes ingleses de mar y tierra. £1 Dr. Herschel ha hecho algunas observaciones curiosas sobre los diámetros aparentes de los dos nuevos planetas Céres y Pálas; y ha inferido de ellas que el diámetro real del primero es de 162 m</t>
  </si>
  <si>
    <t>y en el centro de esta otro paralelór gramo verde. En carta que con fecha de 22 de Mayo ha escrito Mr. Herschel al ciud* Mechain, individuo del instituto nacional, y director del observatorio de Pa rís, le dice: ,.,En quanto á Los dos cuerpos celestes recien descubiertos» he aquí el resúmen</t>
  </si>
  <si>
    <t>Herschell</t>
  </si>
  <si>
    <t>do parte en el trabajo y conclusión de este magnífico .instrumento. Catalina ti encargo el vidrio á Mr. Herschell, que lo hizo en Londres, y luego lo mandó llevar á Petersburgo á fin de que allí se armase} pero esto no se verificó. Paulo i, viendo la lentitud con que se trabajaba , lo envió á</t>
  </si>
  <si>
    <t>ha llevado a bordo,de una embarcación surta en este puerto un telescopio hecho baxo la dirección de Mr. Herschell para el Real observatorio de Madrid. Ha costado n® libras esterlinas. En las islas de la Martinica, Santa Lucía, la Dominica, Santo Tomas y S.Martin ha hecho grandes estragos la f</t>
  </si>
  <si>
    <t>Hervás y Panduro, Lorenzo</t>
  </si>
  <si>
    <t>Lorenzo Hervás y Panduro</t>
  </si>
  <si>
    <t>ades Urci, Segabriga.y demas sufragáneas antiguamente de,.su metrópoli Toledo: escrita por el Abate D. Lorenzo Hervás y Panduro. La uti'idad de esta disertación se echa de ver por su mismo título, si se considera lo mucho que se disputa entre los historiadores y geógrafos sobre la situación y extensión de</t>
  </si>
  <si>
    <t>noticia del archivo general de la orden militar de Santiago en el con— vento de Uclés: por el Abate D. Lorenzo Hervás y Panduro. Es un resúmen del número de códices que hay en dicho archivo, así en pergamino como en papel, anotando algunos particulares sobre la época á que se refieren y su antigüedad j y s</t>
  </si>
  <si>
    <t>Hervás, Lorenzo</t>
  </si>
  <si>
    <t>Lorenzo Hervás</t>
  </si>
  <si>
    <t>numeración, división y clases de estas según la diversidad de sus idiomas y dialectos, por el Abate Don Lorenzo Hervás: tomo 3.0 que trata de las lenguas y naciones europeas. Siguiendo el autor su propósito de indicar la sucesión histórica de las naciones por medio de sus lenguas , observa que las</t>
  </si>
  <si>
    <t>Hervey</t>
  </si>
  <si>
    <t>alva de la torre y del parque, y se tiráron 58 cañonazos: número igual á los años que cumplió S. M. Mr. Hervey, secretario del Lord Hawkesbury, salió de aquí el 16 para Amiens, adonde lleva instrucciones y explicaciones importantes sobre varios puntos que retardan el ajuste de las negociac</t>
  </si>
  <si>
    <t>Hervey, Lord</t>
  </si>
  <si>
    <t>Lord Hervey</t>
  </si>
  <si>
    <t>os de línea. Parece que aquella esquadra había padecido recios temporales. Las instrucciones que el Lord Hervey lleva al Marques de Cornwaliis son relativas, según se dice, al tratado de paz entre Francia y la Puerta otomana , mediante el qual se hallan las dos potencias en el mismo estado</t>
  </si>
  <si>
    <t>Hesse</t>
  </si>
  <si>
    <t>e los Beyes se levanten con el mando, y queden mas independientes de lo que eran antes. Continúa el Dr. Hesse propagando y perpetuando con el mayor zelo en esta capital la nueva inoculación de la vacuna, y logra con su esmero los mas ventajosos frutos. A varios niños, que fueron vacunados</t>
  </si>
  <si>
    <t>Heuduville, General</t>
  </si>
  <si>
    <t>General Heuduville</t>
  </si>
  <si>
    <t>da á la que reyna en esta corte, que se mira como la más brillante de Europa: y así la comitiva del General Heuduville pasa de too personas, y ha tomado para su alojamiento el magnifico palacio de Nariscnkin, situado en la plaza de S. Isac, por el ' qúal paga 9® rublos ó pesos fuertes al año. Está</t>
  </si>
  <si>
    <t>Hevoire</t>
  </si>
  <si>
    <t>l^ -mandé saludarla con Tguali riúméró de cañonazos.-iA las rb virio á bordo él ciud. Hevoire, a'quíénentregüé las cartas qtie traía para él. -Me informó que 4sí qué tuvo noticia de la llegada de esta división füé á ver al Bey .para tratar del saludó dé</t>
  </si>
  <si>
    <t>Heydek, Juan Joseph</t>
  </si>
  <si>
    <t>Juan Joseph Heydek</t>
  </si>
  <si>
    <t>Iglesia de Ntra. Sra. del Tránsito de la ciudad de Toledo, que con el título de ilustración publicó D. Juan Joseph Heydek el afio de I7pg.:= Noticia de las an-, tigüedades de cabeza del Griego, reconocidas de órden de la Real academia de la Historia por D, Joseph Cornide: contiene la descripción genera</t>
  </si>
  <si>
    <t>Hidalgo Barquero de Godóy, Diego</t>
  </si>
  <si>
    <t>Diego Hidalgo Barquero de Godóy</t>
  </si>
  <si>
    <t>el Beneficio de Albacete, en la diócesis; de Cartagena ¿ vacante por muerte del Cardenal Celada, á D. Diego Hidalgo Barquero de Godóy ; y para la Capellanía de la Real capilla de Sres. Reyes nuevos de la ciudad de Toledo, que resultará vacante por prprnociop ae D. Diego de la Torre y Arce á una Canongía de la me</t>
  </si>
  <si>
    <t>Hidalgo Barquero de Godoy, Joseph</t>
  </si>
  <si>
    <t>Joseph Hidalgo Barquero de Godoy</t>
  </si>
  <si>
    <t>el Beneficio de Jumilla, en la diócesis de Cartagena, vacante por muerte del Sr. Cardenal Zelada, á D. Joseph Hidalgo Barquero de Godoy: para el Préstamo de Carrascal del Rio, en el obispado de Segovia, vacante por fallecimiento de D. Domingo de Sierra y Gil, á D. Francisco O rcheil: para la Prestamera de la villa</t>
  </si>
  <si>
    <t>Hielenstierna</t>
  </si>
  <si>
    <t>Almirante y Comandante de Carlscrona; y ha nombrado xele de la esquadra de galeras de este puerto á Mr. Hielenstierna. Copenhague 14 de Febrero. A ntes de ayer noche la Princesa Real dió felizmente á luz una hija, cuyo nacimiento se anunció al público á las 7 de la mañana inmediata con salvas de</t>
  </si>
  <si>
    <t>Hielm, Capitán</t>
  </si>
  <si>
    <t>Capitán Hielm</t>
  </si>
  <si>
    <t>Setiembre. ion fecha de 12 de Julio escribe-de Gustavia r isla de S. Bartolomé en Jas Antillas, el Capitán Hielm, comandante de la fragata sueca Jaramas, que después de haber salido de Portsmouth el^o de Mayo, entro en aquella rada el 9 de Julio, y que el 10 entregó el Gobernador ingles al c</t>
  </si>
  <si>
    <t>Higinio Antonio Lorente</t>
  </si>
  <si>
    <t>tratado de medicina legal y de higiene pública ; y defectos notables de la traducción : los publica D. Higinio Antonio Lorente, médico honorario de Cámara de S. M. y catedrático de química ■del Real estudio de medicina práctica. Esta obra constará de tantos quadernos quantos sean los tomos de la traducció</t>
  </si>
  <si>
    <t>pasta. Carta primera, escrita por D. Francisco Bonafon, profesor de medicina en esta corte, al Dr: D. Higinio Antonio Lorente, Médico honorario de Cámara de S. M., y catedrático de química del Real estudio de medicina práctica, en respuesta al primer folleto que ha publicado contra la Medicina legal del</t>
  </si>
  <si>
    <t>e pública , y defectos notables de la traducciónr¿ quaderno i.9 Los publica 1&gt;. Higinio Antonio Lorente, Médico honorario de Cámara dp S; N.f , y catedrático de química del Real '.estudio de medicína práctica. Esta obrá céns* tará.de tantos- Cuadernos quantós sean los tornos1 de' la traducc</t>
  </si>
  <si>
    <t>Hiitchinson, General</t>
  </si>
  <si>
    <t>General Hiitchinson</t>
  </si>
  <si>
    <t>s.de pesos. Ha recibido la corte pliegos; del Almirante Keith, y de resultas se ha divulgado que el General Hiitchinson quedaba enfermo. , De Piimouth y Portsmouth han salido 8 fragatas para perseguir en estos mares á los barcos de contrabandistas, algunos de los quales se han defendido en la Manch</t>
  </si>
  <si>
    <t>Hilaria Serrano</t>
  </si>
  <si>
    <t>egial de la villa de Talavera de la Reyna , vacante por fallecimiento de Di Joa-*'quifi; Botino:, á D. Hilaria Serrano : para otra de la de la Coruña, en el arzobispado de Santiago, vacante por promoción de D. Joseph Gil de Santi*bañez á otrade la catedral de Cuenca, á D. Francisco del Rio: para o</t>
  </si>
  <si>
    <t>Hilario de Barcelona</t>
  </si>
  <si>
    <t>lanía del segundo batallón del regimiento de infantería suizo de Rutiman en Fr. Hilario de Barcelona, presbítero , del orden de Capuchinos. S. M. se ha servido nombrar para una Fiscalía del Consejo Real, vacante per fallecimiento del Sr. D. Juan Francisco de Cáceres., al Sr. Don Francisco Ar</t>
  </si>
  <si>
    <t>Hilario Peñalver</t>
  </si>
  <si>
    <t>r ; y para la Capellanía de la: Real capilla de Sres. Reyes nuevos de Toledo, vacante por muerte de D. Hilario Peñalver, á D. Juan Joseph Cano Tribaldos. S. M. se ha servido promover en el regimiento de infantería Inmemorial del Rey á primer Teniente al segundo de granaderos D. Joseph Martínez Tole</t>
  </si>
  <si>
    <t>Hilarlo Artacho y Torre</t>
  </si>
  <si>
    <t>er fDc&gt;Pedro AfecaTale y Sano , Don Bartolomé Rosso y González, D. BartolomóíMo^qinecholy Martinez^ Don Hilarlo Artacho y Torre, EL^Jdftn FranciscalBerininghan^ D- Juan Odohérti y Broun, D- Andrés Mioño y.Quevedoy DvRaihoii Bardo Hefeon, f&gt;. Alexandro Beyens y Barnola', 1). Antonio Albizu M Otáelliy D. Joa</t>
  </si>
  <si>
    <t>Hinojaljy, Miguel</t>
  </si>
  <si>
    <t>Miguel Hinojaljy</t>
  </si>
  <si>
    <t>tabacos de Cuenca á O. Manuel Tellez: para la de Guarda mayor de la aduana y rentas de Portobelo á D. Miguel Hinojaljy para la de Escribiente de lacaxa Real de Pamplona á D. Felipe Joseph Bautista. En el dia i. de Abril próximo empezará el curso de botánica, y demostrará las plantas en el Real jar</t>
  </si>
  <si>
    <t>Hinojosa, Manuel</t>
  </si>
  <si>
    <t>Manuel Hinojosa</t>
  </si>
  <si>
    <t>Ignacio Salens , D. M.a-. nuel Vázquez, D. Juan Vidaror, D. Joseph Anillo, D. Mauricio Alva-, rez, D, Manuel Hinojosa, D. Joaquín Luyando, D. Juan Bosa, D. Bas^ cual Martinez, D. Juan Menendez,' D. Baltasar García Galio, D. Francisco Perea, D. Francisco Malpica y D. Alexandro Rivacoba. JSn Améric</t>
  </si>
  <si>
    <t>Hipólito</t>
  </si>
  <si>
    <t>los profesores D. Benito. Agustín Calonge y D. Joaquín de V illalbá, y el otro del segundo director D. Hipólito E$r tevez : tuéron presididos por el Brigadier D. Félix Colon de Larreategní, Protector de este establecimiento,. y diéron principio por una oración que en sus respectivos dias dixé</t>
  </si>
  <si>
    <t>Hipólito Ramos</t>
  </si>
  <si>
    <t>Badajoz. Hipólito Ramos................... Santos, María Blanco......... Valladolid.... Valladolid.... 1403. 14. Id. en San</t>
  </si>
  <si>
    <t>Hipólitó Riíiz</t>
  </si>
  <si>
    <t>.¡:'fh ;; ; ¡ .i;.,.:- ■, ' ' - Suplemento 4 la Quinologia., 4 tratado de los Quinos, publicada pór D, Hipólitó Riíiz en el sfio de *791, en el qual sé aumentan las especíesele quina nueva-* mente descubiertas en el Perú por ¡D.- Juan; Tafalla, y Ja quina naranjada de San-í tafFe que inserté D. Fra</t>
  </si>
  <si>
    <t>Hipólito Ruir</t>
  </si>
  <si>
    <t>toria natural, pretendiendo igualar estas con. las preciosas quinas de LOxa y demas peruvianas; por Don Hipólito Ruir y D. Joseph Pavón. Véndese en la librería de Castillo, fíente i Isa gradas de S. Felipe, do de so hallará también laQuin ologia yltó Disertaciones del Fucus natans,o Sargazo, y Ja de</t>
  </si>
  <si>
    <t>Hipólito Souvirao</t>
  </si>
  <si>
    <t>, D. Diego Guillen, D. Julián Henriquez , D..Pedro Marín Fernandez , D. Vicente García y Navarro, y D. Hipólito Souvirao. • -i Em tercera :}echa.\ :-ú]&gt; .• -.r* un P. Joseph-de Sesma y San Juan , D...Garlos Titear y» Pedrosa, D. Rá-' mon Martínez del Corro y los Ríos ,D. Felipe Villavicencioy Rodríg</t>
  </si>
  <si>
    <t>Hirth, Juan Bautista</t>
  </si>
  <si>
    <t>Juan Bautista Hirth</t>
  </si>
  <si>
    <t>n el regimiento de infantería Suizo vacante de •Scbwaller á Teniente &gt;al Subteniente de granaderos, D. Juan Bautista Hirth: á Subteniente de fusileros f en el de Betsebalrtt al Cadete D. Joseph Martin Reding ; y á&gt; Capitanes segundos en :elide Gourten al Ayudan-! te y graduado-de Capitán^ D. Alonso de</t>
  </si>
  <si>
    <t>Hirzel</t>
  </si>
  <si>
    <t>ña de Zurich y se extendió hastaKloteo. Intimidado con M elrveeipdario envió ai ciud. Hirzel y al Coronel Meyer para arreglar un convenio con el General Andermatt. Este lés propuso los tres artículos siguientes1.® Que todos los vecinos entregasen las arm</t>
  </si>
  <si>
    <t>Hispaíensi, Isidoro</t>
  </si>
  <si>
    <t>Isidoro Hispaíensi</t>
  </si>
  <si>
    <t>ioneosis presbyteri, atque Canonici regularis ordinis Sanctl Augustini in Regio coenobio Legionensi D. Isidoro Hispaíensi sacro , opera nusc primum in Ipcem edita juxta exemplar ex autographo transcr.iptupi jussu ExcellentissimiDomini D. Francisci Antonii Lorenzana &amp;c. Archiepiscopi Toletani His-&gt; pa</t>
  </si>
  <si>
    <t>Hlphinstone</t>
  </si>
  <si>
    <t>e Malta, en donde quedaban J Lord Keith y Mr. Bickerton con muchos buques de guerra en buen estado. Mr. Hlphinstone , Capitán de la esquadra, habia muerto pocos dias antes. .El General Ilutchinson, que el 24 de Diciembre fue creado caballero de la orden del Baño , se estaba disponiendo para ir.</t>
  </si>
  <si>
    <t>Hmnbert, General</t>
  </si>
  <si>
    <t>General Hmnbert</t>
  </si>
  <si>
    <t>v Miéntras qué esto pasaba en Puerto-Republicano, enviaba el Gapitan General al Puerto dé la Paz al General Hmnbert con un cuerpo de 1200 hombres én el navio Watigny y las fragatas Clorinda y Furiosa, que favorecieron sus operaciones. Aquí también se les brindo á los rebeldes con la paz ántes d</t>
  </si>
  <si>
    <t>Hoagstraaten</t>
  </si>
  <si>
    <t>asta para que un estado pueda subsistir sin religión. _ Haya g de Mayo. - * XL\ ciud. Hoagstraaten ha sido nombrado Presidente del gobierno por el tiempo que señala la constitución. ■ , , ; Están convocados todos los ciudadanos holandeses para el 24 de este</t>
  </si>
  <si>
    <t>Hobart, Lord</t>
  </si>
  <si>
    <t>Lord Hobart</t>
  </si>
  <si>
    <t>bleci^t,conservabaalgunas seña leir de su enfermedad última. .• ..r.-X ■■■■ .^bJatr jotri- éri U El Lord Hobart* Secretario de Estado?, ha' confirmado plenamente ear su- discurso, en la Cámara? de Los Pares , que las condiciones dél ¡ tratado^ dtt Amiens relativa* á la isla de Malta .iban á</t>
  </si>
  <si>
    <t>Hober</t>
  </si>
  <si>
    <t>ardias de caballería. Lá iglesia estaba colgada de negro, y en su centro había un magnífico túmulo. Mr. Hober, Consejero eclesiástico y predicador de la corte, prenunció la oración fúnebre. El difunto Elector no hizo testamento. Sus herederos ab inféstalo son el Barón de Ehrthal, Mayordom</t>
  </si>
  <si>
    <t>Holland, Lord</t>
  </si>
  <si>
    <t>Lord Holland</t>
  </si>
  <si>
    <t>Amiens, q á los alborotos que ha habido en algunos navios de la esquadra de la bahía de Bantry. Iíl Lord Holland anunció uno de estos dias en la Cámara de los Pares que estaba en ánimo de proponer , quando vuelva á abrirse el Parlamento, se examinase la conducta de los últimos Ministros de S</t>
  </si>
  <si>
    <t>Home Popham</t>
  </si>
  <si>
    <t>o para que se restituyan á Inglaterra, donde se pondrán en estado de paz. Se han recibido cartas de Mr. Home Popham, fechas en la bahía de Cqsseir en el mar Roxo. La esquadra de su mando entró el mes de Mayo en la rada de Jeddah, en donde los principales caudillos de aquellas costas le enviaron</t>
  </si>
  <si>
    <t>ros, seria muy perjudicial al banco el cumplimiento de dicha acta-. Se sabe por cartas del Asia que Mr. Home Popham ha salido del mar Roxo en el navio Romney para Bengala. Añaden las mismas noticias que se han suscitado peligrosas revueltas en las provincias meridionales de la India. Un caudill</t>
  </si>
  <si>
    <t>estráron durante la guerra, y están depositadas en manos de Mrs. Bourdieu y Chollet. La esquadra de Mr. Home Popham tiene orden de salir para recoger las tropas inglesas que hay en Egipto. Mr. Williams, vecino de Londres, acaba de idear un método muy ingenioso para disminuir los accidentes mas</t>
  </si>
  <si>
    <t>do á Portsmouth. En una carta de Suez se lee lo siguiente. ,,Nos hallamos anclados en esta rada con Mr. Home Popham en el navio Romney: nuestras fuerzas consisten en dos buques de guerra, varias naves armadas de ia compañía, y 24 transportes de la misma que montan de 20 á 36 cañones, todos constr</t>
  </si>
  <si>
    <t>Home Pophamr</t>
  </si>
  <si>
    <t>la India conñrman que el Marques de Wellesley» como Gobernador general de aquel pais, ha enviado á Mr. Home Pophamr en calidad de Embaxador con un encargo importante para los caudillos árabes de las costas del mar Roxo , á quienes se pide no permitan que ¿a dicho mar naveguen otras naciones mas q</t>
  </si>
  <si>
    <t>Honorato Ferrari</t>
  </si>
  <si>
    <t>de la secretaría del ministerio de lo Interior. Para reemplazar en el Senado al ciud. Honorato Ferrari ha sido nombrado su hermano Pedro Ferrari. Según noticias de Nápoles el ciud. Talleyrand, Ministro de Relaciones exteriores de la R epública francesa, ha avisa</t>
  </si>
  <si>
    <t>Hood, General</t>
  </si>
  <si>
    <t>General Hood</t>
  </si>
  <si>
    <t>iores de aquel país. Se asegura en efecto que Mr. Hutchinson ai retirarse de allí dexó encargado al General Hood_ continuase, protegiendo á los Beyes contra, lps intentos de los agentes turcos. * -:'j • \ ‘ ■ Ha venido el Sultán en‘permitir que la nación armenia elija un nuevo Patriarca : y</t>
  </si>
  <si>
    <t>Hope, General</t>
  </si>
  <si>
    <t>General Hope</t>
  </si>
  <si>
    <t>o propiedad pública, y quedarán á disposición de los Generales del exército combinado: Habiendo él* General Hope declarado en contestación á algunas observaciones del General en xefe del exército francés , que nada podía mu-* dar en este artículo, se ha convenido en escribir sobre ello al Gener</t>
  </si>
  <si>
    <t>andante de Alexandría, en donde sentarán su qúartel general el Lord Cavan, Comandante en xefe, y el General Hope; en la misma plaza se aquartelarán todos los regimientos británicos. El General Baird mandará una brigada de cipayos, como también la ciudad y distrito de Roseta; y el General Stu</t>
  </si>
  <si>
    <t>Hopf de Erlach</t>
  </si>
  <si>
    <t>to en el plan de resarcimientos. Para comandante de esta plaza está nombrado el ciud. Hopf de Erlach, que ha sido Inspector de las milicias del Oberiand. El 29 de Octubre ocupáron los franceses la'ciudad de Zurich, en donde se hallan actualmente el General en</t>
  </si>
  <si>
    <t>Hoppe</t>
  </si>
  <si>
    <t>el Barón de Crumpipen jip ha admitido el nombramiento de dicho destino , le reemplaza el Consejero Mr. Hoppe , primer oficial de la secretaría de negocios extranjeros en Viena. -4- Mr. Diesbach, nuestro Ministro cerca del .Emperador, se retira también dé aquella corte. El Consejo pequeño</t>
  </si>
  <si>
    <t>Horacio</t>
  </si>
  <si>
    <t>dicho profesor hace i4"años que no necesita templarse. Londres jo ae Junio. H a concedido el Rey á Mr. Horacio, Vizconde y Barón de Nelson del Nilo y de Burnhamthorpe, Duque Bronte en Sicilia, Vice-Almirante de la esquadra azul, caballero de la orden militar del Baño, gran cruz de la de S.</t>
  </si>
  <si>
    <t>Horres</t>
  </si>
  <si>
    <t>cesas que se han retirado de aquí á otros pueblos. strasburgo 2 &amp; de Abril. E 1 ciud. Horres, compañero de Napper-Tandy en su arresto y prisión, ha pasado por aquí yendo á París. El gobierno de Francia consiguió que el Rey de Inglaterra le diese libert</t>
  </si>
  <si>
    <t>Hoüand, Lord</t>
  </si>
  <si>
    <t>Lord Hoüand</t>
  </si>
  <si>
    <t>do hasta hoy, que es el mismo día en que también se extmina en ja de lós Pare$.d_Y En está pidió el Lord Hoüand el día 10 que los Ministros comunicasen su correspondencia con el gabinete de Lisboa duranté*el . tratado de 1797 entre España, Erancia y. Portugal; como también la qué sicuiéron có</t>
  </si>
  <si>
    <t>Howe, Lord</t>
  </si>
  <si>
    <t>Lord Howe</t>
  </si>
  <si>
    <t>lcros que se están haciendo del Capitán Burget, que murió en una batalla contra ios holandeses, del Lord Howe, del General Abercrombie, y de los Capitanes Morse y Riou; pero por ahora no se trata del gran monumento naval, que se dixo había de erigirse para perpetuar la memoria de los triu</t>
  </si>
  <si>
    <t>Huberto María Scherer de Scherboorg</t>
  </si>
  <si>
    <t>ón de Mar i moa: en el de Reales Guardias Walonasá segundos Tenientes granaderos ¿-dos de fusileros D. Huberto María Scherer de Scherboorg y D. Joseph Rurz de Porras ; á Alférez de granaderos al de fu-: sileros D. Ramón Matías Landaburu; y ¿ Alférez de fusileros al Cadete Dv Manuel Luis de Cray winckel. Habiendo establec</t>
  </si>
  <si>
    <t>Huerta, Miguel</t>
  </si>
  <si>
    <t>Miguel Huerta</t>
  </si>
  <si>
    <t>...... 252. 10. Id. Miguel Huerta..................... Gaspar, María Ruano. .... Becilla........... León.............. 6. 32. Id. Gregorio Gutiérrez............ . Santos, Cata</t>
  </si>
  <si>
    <t>Huertos, Pablo</t>
  </si>
  <si>
    <t>Pablo Huertos</t>
  </si>
  <si>
    <t>nte al segundo de granadero® I). Antonio Zazurca. , ^ , . . " £u atención á ios buenos servicios de D. Pablo Huertos, Administrador general de Rentas en Alicante, se ha servido el Rey concederle honores de Contador de exército. ■ r La Real sociedad aragonesa ha experimentado muchas veces los lun</t>
  </si>
  <si>
    <t>Huguet, Pedro</t>
  </si>
  <si>
    <t>Pedro Huguet</t>
  </si>
  <si>
    <t>..... D. Vicente Perez de Tejada. En Zaragoza........ D. Tomas de la Madrid. En Zeuta.............. D. Pedro Huguet, comisionado subalterno del de Cádiz. El Consejo, á consulta de la Comisión gubernativa, y con aprobación de S. M., ha acordado la trigesimaseptima amortización de 208 Vales de 60</t>
  </si>
  <si>
    <t>..... D. Vicente Perez de Tejada. En Zaragoza........ D. Tomas de la Madrid. En Zeuta............ . D. Pedro Huguet, comisionado subalterno del de Cádiz. El Consejo, á consulta de la Comisión gubernativa, y con aprobación de S. M., ha acordado la trigesimaseptima amortización de 208 Vales de 60</t>
  </si>
  <si>
    <t>Hugúet, Pedro</t>
  </si>
  <si>
    <t>Pedro Hugúet</t>
  </si>
  <si>
    <t>.......... D. Vicente Perez de Tejada. En Zaragoza...... . D. Tomas de la Madrid. En Zeuta..... . . D. Pedro Hugúet, comisionado subalterno del de . Cádiz. El Consejo, á consulta de la Comisión gubernativa, y con aprobación de S. M., ha acordado la trigesimaseptima amortización de 20S Vales de</t>
  </si>
  <si>
    <t>....... D. Vicente Perez de Tejada. En Zaragoza........ D.- Tomas de la Madrid. ?■ En TLeuta....... D. Pedro Huguet, comisionado subalterno del de -í:: - Cádiz. ■ - - ■' En la gazeta última, capítulo de Madrid, pág. 701 ¿ donde dice D. Juan Fernandez de Aguirre y Bengoa, debió decir D. Juan Fer</t>
  </si>
  <si>
    <t>. D. Vicente Perez de Tejada. En Zaragoza........ D. Tomas de la Madrid. \ ^ En Zeuta.............. D. Pedro Huguet , comisionado snbalterno del de Cádiz. Se ha extraviado en Barcelona un vale Real de 300 pesos, creación de j.° de Mayo, húm. 498,718, con endoso de Francisco Codiea á favor de Va</t>
  </si>
  <si>
    <t>■Eñ %athórdi.'¿.i....’f Péré^áé'Tejada. En Zardgoza........,D. Tomaos de la Madrid.. En Zeuta...... D. Pedro Huguet, comisionado subalterno del de ( ¡ C^adlZ. , _ ' : •- ' . Real cédula de rS¿ M. y Sefiores del Consej?, :en que se prescriben las reglas que han de observar los duefíos jurisdicci</t>
  </si>
  <si>
    <t>..... D. Vicente Perez de Tejada. En Zaragoza........ D. Tomas de la Madrid. EnZeuta................D. Pedro Huguet, comisionado subalterno del de Cádiz. Don Miguel Lapeña, Cirujano en esta corte , que vive en la calle de las Maldonadas , casa nueva , núm. x , quarto entresuelo, anunció ¿1 públ</t>
  </si>
  <si>
    <t>... D. Vicente Perez de Tejada. En. Zaragoza......*. D; Tomas dé ta Madrid. En Zeuta............... D. Pedro Huguet, comisionado subalterno del de ■■ - -v.- ■■■&gt; -r ,•; Cádiz. : ’ En lá ettráccioij dé la Real lotería execntada el mártes 16 del corriente ’sáliéron los números 38, 34 , 8, 87 y 79</t>
  </si>
  <si>
    <t>Hugüet, Pedro</t>
  </si>
  <si>
    <t>Pedro Hugüet</t>
  </si>
  <si>
    <t>ra...... I&gt;. V icente Perez de Tejada* En Zaragoza....:.. D. Tomas de la Madrid. &gt; En Zeitta....... D. Pedro Hugüet , comisionado subalterno del de ■ : Cádiz. ;l : Real cédula de S. M¿ y Sres* del Consejo, por la qual se mandan observar y cumplir las resoluciones, capítulos y órdenes insertas;</t>
  </si>
  <si>
    <t>HUI, Coronel</t>
  </si>
  <si>
    <t>Coronel HUI</t>
  </si>
  <si>
    <t>una rebaxa en fl precio de algunos comestibles. Entre varias curiosidades traídas de Egipto por el Coronel HUI, se halla la tienda de campaña que fué del Bey Amura tes. Cada dia se renuevan y multiplican los atentados de las potencias berberiscas contra las naciones cultas. Un cortarlo arg</t>
  </si>
  <si>
    <t>Huitínan</t>
  </si>
  <si>
    <t>ia del Impéno. f ' v 1/ * . Jfayal jtq dé Setiembre, A caba de salir dé aquí él ciud. Huitínan , Secretarlo general del Consejo de Estado, que va á Berlín én calidad de Ministro plenipotenciario y Énviado extraordinario de, la República bátáya cerca de S</t>
  </si>
  <si>
    <t>Hulíin, General</t>
  </si>
  <si>
    <t>General Hulíin</t>
  </si>
  <si>
    <t>gocios de ía República, ai Contra-Almirante Leissegues y á sh numerosa oficialidad. Allí entregó ai General Hulíin la respuesta que había dispuesto para el primer Cónsul, cuyo tenor sigue. ,,En nombre de Dios solo, del hombre de Dios nuestro maestro, y del llurtre y .magnífico. Señor Mustafá Baxá</t>
  </si>
  <si>
    <t>Hulm, Capitán</t>
  </si>
  <si>
    <t>Capitán Hulm</t>
  </si>
  <si>
    <t>la de un homb»e. El dia 16 llegó al .Sund una fragata sueca de guerra de 32 cañones, mandada por el Capitán Hulm, y destinada para la isla de $. Bartolomé: poco después siguió i su destino. . De 45 embarcaciones que la semana última atrevesárou el canal del . Holstein, las 42 eran extrangera</t>
  </si>
  <si>
    <t>Hulmán</t>
  </si>
  <si>
    <t>bre.: -jtL 1 18 dé esté més pasÓ'pdr está ciudad dé y u eltá p’ára LIólafida él ciud. Hulmán, Ministro deja República bátava en la corte de Betlin.. ' , c Han llegado aqüi varios caballos qúe vienen de PéisráT, y que S. M...el Emperador de Rusia envía</t>
  </si>
  <si>
    <t>Hultmann</t>
  </si>
  <si>
    <t>vuelto á pasar dirigiéndose á Paris. Se ha restituido de esta ciudad ai Haya el ciud. Hultmann, que estuvo algún tiempo en Berlín como Encargado de Negocios de la República bátava, y trató de las indemnizaciones debidas por el gobierno de Holanda á la ca</t>
  </si>
  <si>
    <t>Húltmarih</t>
  </si>
  <si>
    <t>gp;’ Dicho convenio le firmaron él Conde de Haogwítz, Ministro der S. M. ^ y el ciud. Húltmarih j¿ Enviado bátávo.__ Pocas horas después salió este ultimo para el^Haya. Durante sti5 aüsencia^ desempeña Mr. BourdeauX ' ístó^ítooidhe^ de Encargado de Negoci</t>
  </si>
  <si>
    <t>Humanes, Ángel</t>
  </si>
  <si>
    <t>Ángel Humanes</t>
  </si>
  <si>
    <t>as.^ Medallade úna onza de oro á D. Manuel Alvaréz Mon. Perspectiva. Medalla deunaidii* za de oro á D. Angel Humanes* ——Para que el público pueda ver las preciosidades de la academia y las obras! dedos opositores , con üas demas que los profesores y aficionados entreguen ai Conserge, estarán abi</t>
  </si>
  <si>
    <t>Humbert, General</t>
  </si>
  <si>
    <t>General Humbert</t>
  </si>
  <si>
    <t>Durante este tiempo el Almirante mandó acercar muchos buques al paso ó embocadura, y desembarcó al General Humbert con un cuerpo de tropas. Al frente de la vanguardia llegué á la altura del Cabo para poner fin á un tiroteo que se habia empeñado entre las tropas recien desembarcadas y los negro</t>
  </si>
  <si>
    <t>sembarcáron todas las guarniciones de las naves baxo las órdenes de! Capitán, de Navio la Roque. El General Humbert, que con 30a hombres, se-frailaba á borda de la Revolución, tomó el mando de todos los destacamentos: formó cqo ellos un cuerpo de unos 1200 hombres, y corrió á apoderarse del cas</t>
  </si>
  <si>
    <t>ue el General Boudet habrá ocupado el dia 9 Leogane y la cruz de Ramos. Despache a Puerto de Paz el General Humbert con dos navios, y también le reciñeron á cañonazos; pero el dia lo executd su desembarco, y los negros evacuíron los dos castillos después de hacer quanto daño pud.éron. Hallábase</t>
  </si>
  <si>
    <t>Humbért, General</t>
  </si>
  <si>
    <t>General Humbért</t>
  </si>
  <si>
    <t>ometerse, y piden algunas tropas qué auxilien y faciliten la entrada de la fragata en el Muelle. El General Humbért ha consentida en darles 100 artilleros de marina, y la fragata los dejará al paso en Juan-Rabell. De allí irá á presentarse delante del MaeMe , y ¿ cumplir puntualmente las órdene</t>
  </si>
  <si>
    <t>Tres-ríos. Tenia yo mucho empeño en derrotar aquel cuerpo que habia conseguido algunas ventajas del General Humbert: y así mandé al General Boudet marchase hacia Rio Chico para cortar la retirada al enemigo, en caso que quedase derrotado en los Gonaives, como yo lo esperaba; pero ambas division</t>
  </si>
  <si>
    <t>Humpei, Capitán</t>
  </si>
  <si>
    <t>Capitán Humpei</t>
  </si>
  <si>
    <t>és. , Mr. Wyk, Cónsul general de Suecia en Marruecos, ha remitido á su gobierno una declaración del Capitán Humpei, comandante de la galeota Neptuno, que estaba sarta en Tánger, y dice en suma: ,,E1 ai de Febrero á las 3 de la mañana me avisaron que una lancha con mucha gente se acercaba A mi</t>
  </si>
  <si>
    <t>Hunerwadel, Coronel</t>
  </si>
  <si>
    <t>Coronel Hunerwadel</t>
  </si>
  <si>
    <t>egido, por diputados de la consulta que ha de celebrarse en París á Mrs. de Mulinen, Tscahning y al Coronel Hunerwadel;! pero no emprenderán su viage hasta que lleguen los diputados de los demas cantones. . - Ha salido de aquí el General Bachmann con los oficiales superiores del ejército confedera</t>
  </si>
  <si>
    <t>Hunter, Juan</t>
  </si>
  <si>
    <t>Juan Hunter</t>
  </si>
  <si>
    <t>ckson va con igual carácter á Berlín, y lleva por secretario á Mr. Rolleston. También está nombrado Mr. Juan Hunter para Cónsul general de ía Gran Bretaña en Madrid. Dase por cierto ei* algunas gazetas inglesas, que los puntos principales del tratado de comercio entre Francia y este .paísLestán</t>
  </si>
  <si>
    <t>Hunterlauter</t>
  </si>
  <si>
    <t>en Bari tienen orden de restituirse á Francia* , , Liorna 1$ de Noviembre. . H a muerto en Ñapóles Mr. Hunterlauter, Encargado de, negocios de Prusia cerca del Rey.de Cerdeña. La fragata inglesa nombrada la Pomona, de 38 cañones y 300 hombres de tripulación , ha entrado aquí procedente de Porto</t>
  </si>
  <si>
    <t>Hurtado de Mendoza, Santiago</t>
  </si>
  <si>
    <t>Santiago Hurtado de Mendoza</t>
  </si>
  <si>
    <t>aquin Mella y Barbeyto, D. Joíeph Manuel Bilbao, D. Tuis; Tabón v Ro&lt;icme, D. Juan Dameto y,Sureda, D. Santiago Hurtado de Mendoza, Marque5 de Tabalosos, D. Joseph del Hoyo González, D.Manuel Reviray Almunia, D. Manuel Reyna y Alor, D. Joseph Serondo y¡ IMlde, D. Pedro'de la Cueva, D..Antonio de Medina y Mira</t>
  </si>
  <si>
    <t>Hurtado, Antonio</t>
  </si>
  <si>
    <t>Antonio Hurtado</t>
  </si>
  <si>
    <t>uque de Frías, Duque del Infantado, D. Juan Ordoñez, D. Francisco Vallejo, D. Antonio López Sopeña, D. Antonio Hurtado, Condé de Olocau, D. Cárloii v</t>
  </si>
  <si>
    <t>Husey, Ignacio</t>
  </si>
  <si>
    <t>Ignacio Husey</t>
  </si>
  <si>
    <t>nio Sarmiento, D. Antonio Hermosiíla, D. Joseph Bonicelii, D. Joseph de León, D. Patricio Kindélan, D. Ignacio Husey, D. Ignacio Maraver, D. Manuel Eligió, D. Antonio Mayone, D. Ramón Gómez, D. Diego Cortés, D. Juan O-Donovan, D. Joaquín 0-ReiUy\D. Joseph de la Piedra, D. Santiago Moreda , Don G</t>
  </si>
  <si>
    <t>Hutchiaspi, General</t>
  </si>
  <si>
    <t>General Hutchiaspi</t>
  </si>
  <si>
    <t>imiento número42.; Quando emprendieron su viáge, que, fu¿df.S de Octubre/, casi todas lastropas del General Hutchiaspi\ quedaban emhw^das para volver aquí. Sunúmero no pasaba de 10© hombres. Ayer recibió el Almirantazgo pliegos:, del,Lord Keith, escritos en ^ta á ^rf:4híQ^ubtev .Este Almirante háb</t>
  </si>
  <si>
    <t>Hutchinson</t>
  </si>
  <si>
    <t>eses no se mezclen de modo.alguno en los asuntos interiores de aquel país. Se asegura en efecto que Mr. Hutchinson ai retirarse de allí dexó encargado al General Hood_ continuase, protegiendo á los Beyes contra, lps intentos de los agentes turcos. * -:'j • \ ‘ ■ Ha venido el Sultán en‘permitir</t>
  </si>
  <si>
    <t>, sus caballos y camellos, sus armas y bagages.También entregó los cadáveres de los Beyes que pedia Mr. Hutchinson: siendo lo mas extraño que este último punto fue el que halló mayor resistencia en su cumplimiento,á causa de que el comandante turco quería enviar á Constantinopla las cabezas de</t>
  </si>
  <si>
    <t>Hutchinson, General</t>
  </si>
  <si>
    <t>General Hutchinson</t>
  </si>
  <si>
    <t>llegan de aquella isla..í ; : &lt; La fragata Narciso de 36 cañones se está alistando; para llevan al General Hutchinson y á la esquadra y ex¿reito de Egipto las gracias que das dos: Cámaras del Parlamento han votado á su favor por los servicios que han; hecho á la patria; en aquel país. 4 v-, ; .^¡v</t>
  </si>
  <si>
    <t>tad Haxo fianza; y que Napper irá desterrado por toda £-u vida á Bahía-Botánica. El Lord Keith y.el General Hutchinson han recibido el título de Báron de los Reynos-Unídos de la Gran Bretaña e Irlanda ^transmisible 4 sus herederos legítimos. •: . ,"r, v : . i * ' . n •.; • -o: rcrJc 1 - s •■- - ■</t>
  </si>
  <si>
    <t>en los mismos términos que el Capitán Baxá. Esta conducta excitó las mas vivas quejas de parte del General Hutchinson , y otra circunstancia posterior le movió á tomar con mas empeño el partido de los Beyes. Habia el Capitán Baxá persuadido á los que tenia en su poder se trasladasen áuna de sus f</t>
  </si>
  <si>
    <t>tht entró en Malta el 29 de Noviembre con toda su esquadra. También llegó de Egipto á dicha isla el General Hutchinson pocos dias antes de la salida de dicha fragata. Ha mandado el Rey se acuñe una medalla para perpetuar la memoria de la campaña de Egipto, con emblemas é inscripciones; y se repart</t>
  </si>
  <si>
    <t>e unas fuerzas navales tan considerables en América. Según las últimas noticias de Malta quedaba el General Hutchinson disponiéndose p3ra venir á Inglaterra. Es tanto lo que trabajó y se fatigó en Egipto que tiene muy quebrantada su salud. La fragata Ninfa de 36 cañones ha apresado un cúter muy he</t>
  </si>
  <si>
    <t>23&gt; , ,, un correo á Londres, quejándose de la conducta que el General Hutchinson tuvo en Egipto relativamente á los Beyes, y. pidiendo que los ingleses no se mezclen de modo.alguno en los asuntos interiores de aquel país. Se asegura en efecto que Mr. Hutchinso</t>
  </si>
  <si>
    <t>rgo. Se asegura que en breve llegará aquí un Enviado otomano r que trae quejas del Sultán contra el General Hutchinson por la protección que concede á los Beyes de Egipto. Dícese que la Francia pide no solo que la Puerta otomana trate á los franceses como á la nación mas favorecida en quanto al co</t>
  </si>
  <si>
    <t>erte de los Beyes les ha grangeado la estimación y el reconocimiento.de loí egipcios. Sobre todo el General Hutchinson adquirió mucho crédito por haber pedido á los Generales turcos le enviasen los mamelucos y los Beyes que habían quedado con vida, y por haber mandado que las tropas inglesas hicie</t>
  </si>
  <si>
    <t>igir en aquella ciudad otra estatua á Mr. Pitt. El día 21 tomó asiento en la Cámara de los Pares el General Hutchinson, como Lord de la Gran Bretaña. í1''En la Cámara de los Comunes se presentaron el mismo día los documentos relativos á los asuntos de la India, cuya impresión se mandó á solicitud</t>
  </si>
  <si>
    <t>Hutchinson, Lord</t>
  </si>
  <si>
    <t>Lord Hutchinson</t>
  </si>
  <si>
    <t>res, y Mr. de Jacobia Petersburgo. „ r Londres 16 de Diciembre. El 15 de Octubre salió de Egipto el Lord Hutchinson con su plana mayor. Parece que la semana próxima se tratará en el Parlamento sobre los pagamentos del banco, y que esta es la única causa de no haberse suspendido las sesiones par</t>
  </si>
  <si>
    <t>ller del Echiquier á la misma Cámara un n*ensage Real por el qual informa S. M. que ha concedido al Lord Hutchinson, en consideración á sus eminentes servicios hechos en Egipto, el título de Barón de Hutchinson, de Alexandría y de Knocklofty, con 2® esterlinas anuales de pensión, de la qual y d</t>
  </si>
  <si>
    <t>á su Capitán y 21 hombres de la tripulación. Habiaen ella mas de 200 personas de rescate. Qnando el Lord Hutchinson recibid permiso del Rey para traer las insignias de la orden de la Medialuna, pidió á S. M. concediese igual licencia á ios oficiales que recibieron; medallas de parte del Gran Se</t>
  </si>
  <si>
    <t>Huthard</t>
  </si>
  <si>
    <t>se convocó extraordinariamente el Senado ántes de ayer. Dos de sus vocales, los ciudadanos Huthard y Stek, hiciéron dexacion de sus dignidades, y fuéron ai instante reemplazados por los ciudadanos Watteawy 1 y Monnod. Leyóse en seguida la dimisión del ciud. Doider.</t>
  </si>
  <si>
    <t>Huttman</t>
  </si>
  <si>
    <t>e ello una larga conferencia entre:el Ministro de Estado Conde de Hagwitz, y el ciud. Huttman, Plenipotenciario de Holanda. Son muchas las obras que se imprimen en Alemania á favor y contra las secularizaciones de estados eclesiásticos: cada escritor al</t>
  </si>
  <si>
    <t>Mi Haya 14 de Setiembre» iéntras permanezca en Berlín el ciud. Huttman servirá aquí su empleo de Secretario de Estado el ciud. Dessevael. , Mr. Listón, Ministro británico cerca de este gobierno, que acaba de llegar de Inglaterra,</t>
  </si>
  <si>
    <t>I-egado, Cardenal</t>
  </si>
  <si>
    <t>Cardenal I-egado</t>
  </si>
  <si>
    <t>xecutará sin permiso dei gobierno ningún acto de la legación. 3.0 No podrá comisionar ni delegar el Cardenal I-egado á ninguna persona sin el mismo permiso. 4.0 Estará obligado á hacer que lleven por asiento todos los actos de la legación. j.° Concluida esta,</t>
  </si>
  <si>
    <t>I-Iawkesbury, Lord</t>
  </si>
  <si>
    <t>Lord I-Iawkesbury</t>
  </si>
  <si>
    <t>29 4 El Lord I-Iawkesbury ha declarado en la propia Cámara Baxa que el' ministerio ha recibido la ratificación expresa del Rey de Dinamarca al convenio de Petersburgo. Se asegura que en breve llegará aquí</t>
  </si>
  <si>
    <t>Ibafíez, Félix</t>
  </si>
  <si>
    <t>Félix Ibafíez</t>
  </si>
  <si>
    <t>uchos parages dé la península , hospitales, cárceles y exércitos: por el Dr. D. Félix Ibafíez, médico titular.en Pastrana. Véndese en la librería deRanz. Tratado de heridas de cabécjes pot Augusto Amadeo Richter, Doctor en filosofía y medicina ,Médico y Consejerpáulico de S¿ M. Br</t>
  </si>
  <si>
    <t>Ibáñez de Corbera, Joaquín</t>
  </si>
  <si>
    <t>Joaquín Ibáñez de Corbera</t>
  </si>
  <si>
    <t>Manuel Murga, *p. Ventura Gutiérrez de Bustillo, D.: Joseph Roso y González, D. Joaquín Aróstegni, Don Joaquín Ibañez dé Corbera, D. Joseph Valdasano y Ros, D. Joseph del Rio Noguerido , ; D¿ Joseph Diaz Melendez, D. Manuel de Cañas Truxillo, D. Joseph del Castillo y Armenia, D. Antonio Palomar y Arias, D.</t>
  </si>
  <si>
    <t>Ibáñez Ortega, Antonio</t>
  </si>
  <si>
    <t>Antonio Ibáñez Ortega</t>
  </si>
  <si>
    <t>otro de Vúlamieva del Arzobispo, en la diódesis de Jaén, vacante por muerte de D. Juan Marañe- , á D. Antonio Ibañez Ortega, con la obligación de residencia que tie“e EnXeaí regimiento de dragones del Rey se ha servido S. M. conferir ComP p‘n 'América El Rey ha nombrado Subteniente de bandera del regim</t>
  </si>
  <si>
    <t>Ibáñez, Manuel</t>
  </si>
  <si>
    <t>Manuel Ibáñez</t>
  </si>
  <si>
    <t>blo del Molar, distante de aquí media legua, para inocular con ella á dos niños, sobrinos del dicho D. Manuel Ibañez. Luego que á estos les salió perfecta vacuna se inocularon 23 eri casa del mismo: los 17 por la mañana, y les salió vacuna legítima; pero á los 6 restantes que se les inoculó por</t>
  </si>
  <si>
    <t>Ibáñez, Manuel Martín</t>
  </si>
  <si>
    <t>Manuel Martín Ibáñez</t>
  </si>
  <si>
    <t>illa, noticioso de los buenos efectos de la vacuna, acompañado de D. Matías Gómez Duran, Cura, y de D. Manuel Martin Ibañez, Capellán, pasó el 14 de Diciembre del año ultimo al pueblo del Molar, distante de aquí media legua, para inocular con ella á dos niños, sobrinos del dicho D. Manuel Ibañez. Luego</t>
  </si>
  <si>
    <t>Ibarra, Miguel</t>
  </si>
  <si>
    <t>Miguel Ibarra</t>
  </si>
  <si>
    <t>e la villa de Guadalcázar, en la diócesis de Córdoba, vacante por muerte de D. Basilio Caballero, á D. Miguel Ibarra, con retención de la Capellanía que obtiene.; y para el Beneficio Préstamo de Viilanueva de Cameros , en la diócesis de Calahorra, vacante por Ldlecii’nientc' de D. Joseph Pablo d</t>
  </si>
  <si>
    <t>Iberri, Nicolás</t>
  </si>
  <si>
    <t>Nicolás Iberri</t>
  </si>
  <si>
    <t>D. Pedro Bermudez, D. Ramón de Villar, D. Francisco Collell, D. Cárlos Villemont, D. Tomas Portel), D. Nicolás Iberri, D. Manuel Benisia, D. Manuel Cevallos, D. Pedro Fabregues, D. Agustín Ramírez, D. Joseph María Abate , D. Diego García Conde, D* Francisco Frías,-D. Manuel Pastor, D. Pedro Queve</t>
  </si>
  <si>
    <t>Idaría Antonia</t>
  </si>
  <si>
    <t>tivo de lo* augustos matrimonios del Príncipe de Asturias Ntro. Sr. con la Sra. Princesa de Ñápeles Doña Idaría Antonia, y de la Sra, Doña María Isabel (ahora Princesa de Nápoles ) con el Príncipe heredero de las Dos-Sicilias, se han servido el Rey, y Reyna .Ntros. Sres. hacer las gradas siguientes</t>
  </si>
  <si>
    <t>Ideóla Xára, Francisco</t>
  </si>
  <si>
    <t>Francisco Ideóla Xára</t>
  </si>
  <si>
    <t>|&gt;rénta(Rek-í. ilu 1 DofiaGéróhioiadecasa de" I). Juan Mateo Lacósta , desea áá&amp;er él' paradero2 de D. Francisco Ideóla Xára su padre , que vi vía en Madrid, cásádo con Doña MáHuela González^ en* quien tedia tres hijas ; y desde el mes de Agosto de 178a, quedixole dirigieran las cartas al Real sitio de</t>
  </si>
  <si>
    <t>Idí, Francisco</t>
  </si>
  <si>
    <t>Francisco Idí</t>
  </si>
  <si>
    <t>Porri|ta;y Otalora, D. Joseph Andrade y/Cendrera,, p, Julián íacón D.- Antonio Gastón y :Navarrete, D, Francisco Idí aquez y Castro,D. ^eb^stiañ Elisa y Revenga, D. Bartolomé Márquez Pacnecq &gt; D. Vicente Bausa y Móre^ no j '.P* 'riancUcn.'’Faay.edrá'Vopez?“j p.' &lt;IerohimórR.fpgel y, Qqlarte, pon</t>
  </si>
  <si>
    <t>Idia, Luis</t>
  </si>
  <si>
    <t>Luis Idia</t>
  </si>
  <si>
    <t>D. Joseph Casamayor , D. Joseph GenaroSa-? lazar, D. Gerónimo la Grúa* D. Joaquín Manuel de ViHena, D. Luis Idia-’ quez, D.' Manuel Továrv -D.!‘Pascual1 de la V egay 0. R aymundo Capece Minutólo, D. Joseph Zarauz , D. Francisco- Salinas Moñino, 0. Pedrd Buch y O-Donell, D. Diego Artacho, D. Jo</t>
  </si>
  <si>
    <t>Íe, Arzobispo</t>
  </si>
  <si>
    <t>Arzobispo Íe</t>
  </si>
  <si>
    <t>de llegó el 26 á las 2 de la tarde; f pasó también á la iglesia metropolitana del rito griego, cuyo Arzobispo Íe recibió acompañado de su clero, de los bcefes civiles y militares, y minchas personas de distinción de los contornos. El 27 hizo 5. M, noche en. Orsch, y el 28 llegó á Witebsk. St</t>
  </si>
  <si>
    <t>Iglesias de Rumoroso, Vicente</t>
  </si>
  <si>
    <t>Vicente Iglesias de Rumoroso</t>
  </si>
  <si>
    <t>lará en el despacho de la Imprenta Real. A virtud de órden del supremo Consejo,y por providencia de D. Vicente Iglesias de Rumoroso, Alcalde mayór de la villa de Chamartin, se ha mandado sacar á pública subasta por zó dias úna casa sita en ella, y perteneciente á sus propios, que se compone de un portal empedr</t>
  </si>
  <si>
    <t>Iglesias, Antonio</t>
  </si>
  <si>
    <t>Antonio Iglesias</t>
  </si>
  <si>
    <t>353. is. Id. Antonio Iglesias....... ......... Francisco, Juana González. Astorga.........Astorga...... 11. Muerto.</t>
  </si>
  <si>
    <t>Iglesias, Manuel</t>
  </si>
  <si>
    <t>Manuel Iglesias</t>
  </si>
  <si>
    <t>342* 6. Id. Manuel Iglesias.................. Francisco, María de Lera.. Sta. Elena... León............ 416. 11. Id. Antonio de Evia.................. Andrés, Ana Bernard</t>
  </si>
  <si>
    <t>Iglesias, Vicente</t>
  </si>
  <si>
    <t>Vicente Iglesias</t>
  </si>
  <si>
    <t>ana del Real cuerpo de Guardias de Corps se ha servido el Rey promover á Brigadier al Sub-Br»gadier D. Vicente Iglesias ; á Sub-Brigadier al Cadete D. Francisco González ; á Cadete de número al supernumerario D. Francisco Manrique, y á Cadete supernumera-r rio al Guardia D. Antonio Ortesa. __ _ En</t>
  </si>
  <si>
    <t>Iguazo y Ribera, Joaquín</t>
  </si>
  <si>
    <t>Joaquín Iguazo y Ribera</t>
  </si>
  <si>
    <t>opio Angosto y Rueda, Don Francisco- izquierdo Ibarr.ola, I). Ma i u e i Á, í v ara do y Quintana , D. Joaquín Iguazo y Ribera , D. Joseph Corbera y FallaVQ, Juan de OJano ,Don Fausto González Víüamil, D. Francisco-Zapara y:Pa/ra, í&gt;. Joseph Ahtran de la Torre , D. Marcelo Federici, D. Roque GWrqceta , D.</t>
  </si>
  <si>
    <t>Iíawkesbury</t>
  </si>
  <si>
    <t>conducta á los Ministros del Rey, á quienes hasta ahora nadie puede cuW par de negligencia. Convino Mr. Iíawkesbury en los graves inconvenientes que resultan de este estado de incertidumbre entre la paz y la guerra; pe-* ro si se considera y añadió, la diversidad de intereses que hay-que concern</t>
  </si>
  <si>
    <t>Iíedouville, General</t>
  </si>
  <si>
    <t>General Iíedouville</t>
  </si>
  <si>
    <t>egó cartas al ciud. Champagni, Embaxador francés en esta corte, v siguió su camino para alcanzar al General Iíedouville antes que llegue á itusia___ Se asegura que el ciud. Champagni irá de Embaxador á Constantinopla, y que le reemplazará aquí el ciud. Joseph Bonaparte, hermano del primer Cónsul. H</t>
  </si>
  <si>
    <t>III, Carlos</t>
  </si>
  <si>
    <t>Carlos III</t>
  </si>
  <si>
    <t>mpezando por los Réyes Godos ; los de Asturias, León y Castilla hasta el Sr. D. Carlos III: 4 tomos «n 4.0 == Retratos de los Reyes de Aragón y algunos4 dé Navarra , co* la Cronología histórica- dé los Reyes Su</t>
  </si>
  <si>
    <t>Cotejo puntual</t>
  </si>
  <si>
    <t>Ilagel</t>
  </si>
  <si>
    <t>facción para nuestro gobierno. París 22 de Enero. E 1 Ministro de lo Interior ha llamado á Paris al Dr. Ilagel para que imprima y dé á luz aquí el Diccionario chino , cuyo anuncio publicó en Londres el año último: se aumentará con los muchos materiales que dexo Fouripont, y con los demas q</t>
  </si>
  <si>
    <t>Ildefonso Alonso</t>
  </si>
  <si>
    <t>....... 140. 4. Id. Ildefonso Alonso................. Estéban, Francisca Diez... Garrafe......... León....... .... 481. 19. Id. Teodoro la Calle.................. Félix, Lorenza Linares..... Búrgos.......... , Bú</t>
  </si>
  <si>
    <t>Ildefonso de Roxas y Róx</t>
  </si>
  <si>
    <t>Trillo, D. Pedro Palacio y Santibañezj D. Joseph Riiiz de Corrazar, -D. Guillermo Bosichi y Moyano, D. Ildefonso de Roxas y Róx2s, D. Nicolás Otero y Figueroa, D. Joseph Seydel y Sada, D. Francisco Cortés y Posada, ©. Francisco. Antolinez y Salazar , D. Joseph de la Cresta, D. Miguel Cavaleri, Don1 Ñuño de</t>
  </si>
  <si>
    <t>Ildefonso González</t>
  </si>
  <si>
    <t>, sobre los abonos en general; D. Juan Antonio Comat, de los graneros y conservación de los granos; D. Ildefonso González, sobre la preferencia de la agricultura á las artes y ei comercio; D. Joaquín Royo, D. Juan Joseph Iranzu y D. Felipe Aner, sobre otros varios puntos rurales.__ Acreditaron despué</t>
  </si>
  <si>
    <t>Ildefonso Matildo Monasterio</t>
  </si>
  <si>
    <t>compañía fixa de Estepona, una de las de infantería de la Costa de Granada, al Teniente de la misma Don Ildefonso Matildo Monasterio. También en el regimiento de caballería de Alcántara se ha dignado el Rey nombrar primer Teniente al segundo Teniente , graduado de Capitán, D. Manuel de Ortigosa ; y en el de Cal</t>
  </si>
  <si>
    <t>Ildefonso Valearo</t>
  </si>
  <si>
    <t>soo. 32. Presidio. Ildefonso Valearo.. 23a. 23. Zaragoza. Juan Fernandez...</t>
  </si>
  <si>
    <t>Ilennet</t>
  </si>
  <si>
    <t>para mejorar la suerte de los 6 departamentos nuevos de Píamente. Asimismo, el ciud. Ilennet ha informado á dicha junta, que en las confieren</t>
  </si>
  <si>
    <t>Ilesse de Erfurt</t>
  </si>
  <si>
    <t>edificio, ha dado la compañía de comercio de levante una considerable suma para el mismo objeto. El Dr. Ilesse de Erfurt, que ha introducido la inoculación de la vacuna en Turquía, ha inoculado con ella á un niño del serrallo, á quien el Gran Señor tiene mucho cariño. . Petersburgo 11 de Febrero. H</t>
  </si>
  <si>
    <t>Iliaca, Cayetano</t>
  </si>
  <si>
    <t>Cayetano Iliaca</t>
  </si>
  <si>
    <t>ución de próblemas'del primeto y segundo grado, de dos ó mas incógnitas &amp;c. El tercer dia pronunció D. Cayetano Iliaca, colegial, un discurso sobre la necesidad de la instrucción en la aritmética, y siguió el examen sobre los principios de este arte hasta las reglas de progresiones, con un tratadi</t>
  </si>
  <si>
    <t>Ilutchinson, General</t>
  </si>
  <si>
    <t>General Ilutchinson</t>
  </si>
  <si>
    <t>guerra en buen estado. Mr. Hlphinstone , Capitán de la esquadra, habia muerto pocos dias antes. .El General Ilutchinson, que el 24 de Diciembre fue creado caballero de la orden del Baño , se estaba disponiendo para ir. á Merina con esperanzas de recobrar su salud. Malta está bien provista de tropas</t>
  </si>
  <si>
    <t>Imaz, Joseph</t>
  </si>
  <si>
    <t>Joseph Imaz</t>
  </si>
  <si>
    <t>Pedro Linares, D. Manuei^le San Pedro, D. Ramón de la Cuesta, D. Lorenzo Arroyo, D. Manuel Meneos, D. Joseph Imaz, D. Joseph Martínez, D. Rodrigo Medrano, D. Bartolomé Monta! ño, D. Joseph Gómez deLatorre, D. Antonio Sarmiento, D. Antonio Hermosiíla, D. Joseph Bonicelii, D. Joseph de León, D.</t>
  </si>
  <si>
    <t>Indafmtu, Juan Joseph</t>
  </si>
  <si>
    <t>Juan Joseph Indafmtu</t>
  </si>
  <si>
    <t>el de Madrigal, D. Narciso Bernales; D. Fernando Orive, D. Francisco de Castro,.D. Francisco Mexia, D. Juan Joseph Indafmtu, D. .Juan Fatqués, ,t I&gt;. Manuel Dambrihe, D. Francisco Perez Brito , D. Juan Joseph Cana*,D'&lt;Pedro García, D. Juan Méndez, D. Rafael Morales,. Agustín Arenas, D. Juan Amaro Pesta</t>
  </si>
  <si>
    <t>ÍNecochea, Francisco</t>
  </si>
  <si>
    <t>Francisco ÍNecochea</t>
  </si>
  <si>
    <t>Joseph Munive, D. Luis Verganza, D. Luis Vidarte, D. Joachín del Rio, D. Francisco 1 respalacios , D. Francisco ÍNecochea , D. Joseph Gaitan , D. Mariano Zapata , D. Agustín y D. Luis Duran. Presentaron por último los car-l tapados de dibuxo natural y de arquitectura civil trabajados baxo la direcció</t>
  </si>
  <si>
    <t>Ines Chico y Figueroa</t>
  </si>
  <si>
    <t>n el corto tiempo de poco mas de un mes se invacunasen 108 niños de ambos sexos , siendo la primera Doña Ines Chico y Figueroa, hija de Doña Gerónima Figueroa, la qual ha facilitado su casa repetidas veces para la operación. Don Gregorio Chico, tana</t>
  </si>
  <si>
    <t>Infanta- María Isabel</t>
  </si>
  <si>
    <t>fiestas y funciones con que se ha celebrado el desposorio de la Serenísima Sra. Infanta- Doña María Isabel, hija de los Reyes Ntros, Sres., con el Serenísimo Sr. Príncipe JD. Francisco Genaro,, hijo de los Reyes de las Dos Sicilias. &gt; XJno de los mayores cuidados de SS. MM. como Reyes y como</t>
  </si>
  <si>
    <t>Inguattzo, Juan Antonio</t>
  </si>
  <si>
    <t>Juan Antonio Inguattzo</t>
  </si>
  <si>
    <t>lcalde del Crimen de la de, Extremadura: para la de Oidor de esta* vacante por promoción también de D. Juan Antonio Inguattzo á otra de Alcalde dé la propia Real casa y corte, á D. Juan Francisco Xavier Gonzaíez Calderón , Alcaide del Crí* men mas.antiguo de lá misma : para la de Oidor de Valenda, vacant</t>
  </si>
  <si>
    <t>Iñigo</t>
  </si>
  <si>
    <t>ía Kindelan, D. Leopoldo Menendez, D. Francisco Trespalacios, D. Joseph de Torres , D. Blas de Lezo,D. Iñigo y D. Joseph María Ortés de Velasco. En doctrina christiana, baxo la dirección del maestro principal y dignidad de Maestrescuela de la santa iglesia de Jaén D. Juan Bautista de Montes,</t>
  </si>
  <si>
    <t>Iñigo Ortés</t>
  </si>
  <si>
    <t>, los seminaristas D. Toribio Olalde, D. Joachín del Rio, D. Luis Verganza, D. Joseph de Eíquivel , D. Iñigo Ortés , Don Blas de Lezo, D. Leopoldo Menendez y D. Ignacio de Lardizabal, Ln el ba) le, al cargo de su maestro D. J uan Castro, D. Joseph Kindelan , Don Ignacio Empatan, D. Pedro Tavir</t>
  </si>
  <si>
    <t>Iñigo Ortes de Velasco</t>
  </si>
  <si>
    <t>y retórica, baxo la dirección de su profesor D. Pedro Fuertes, los seminaristas D. Antonio Gilmán, D. Iñigo Ortes de Velasco y D. Joseph María Ortés de Velasco. En matemáticas, baxo la dirección de sus dos profesores D. Joseph Antonio de Ojea, y el Subteniente D. Antonio Isidoro de Ojea!,; fuéron examinados</t>
  </si>
  <si>
    <t>ustín Duran y D. Alonso Alvarado. En humanidades y retórica, baxo la dirección de D. Pedro Fuertes, D. Iñigo Ortes de Velasco, D. Joseph Alaría Ortes de Velasco, D. Antonio Giiman, Don Juan Bautista Cerain y D. Joaquín Fernandez Medrano. En gramática castellana, baxo la dirección de D. Francisco Aranzaba</t>
  </si>
  <si>
    <t>Inocencio de Llano, Joseph</t>
  </si>
  <si>
    <t>Joseph Inocencio de Llano</t>
  </si>
  <si>
    <t>00, por D. Francisco Peyrolon : memoria histórica del establecimiento jie convoyes en Valencia, por D. Joseph Inocencio de Llano: informe sobre el maní ó cacahuate, por D, Tomas de Otero y D. Joachin de la Croix : poesías, por D. Pedro Pichó y D. Esteban Chaix: memoria premiada indicativa de los montes del</t>
  </si>
  <si>
    <t>Inocencio Robles</t>
  </si>
  <si>
    <t>rigía al monte. Salieron. 5 de ellos con el fin -de atajarle; y el uno, llamado Inocencio Robles, natural'del mismo ^pueblo , se adelanto 50 d 60 pasos mas que los otros, llevando una escopeta , y logro acercarse á bastante inmediación para apuntarle; pero no habiendo la escopeta dado</t>
  </si>
  <si>
    <t>Inocencio Vejarano, Pedro</t>
  </si>
  <si>
    <t>Pedro Inocencio Vejarano</t>
  </si>
  <si>
    <t>Vz América. El Rey se ha servido nombrar para el Obispado de Buenos-Ayfes, vacante por promoción de D. Pedro Inocencio Vejarano al de Sigüenza, á D. Benito de Lúe y Riega, Dean de la catedral de Lugo. Tratado definitivo de paz entre S. M. el Rey de España y de las Indias, la Repiíblica Francesa, y la Repúb</t>
  </si>
  <si>
    <t>INolasco de Toro, Pedro</t>
  </si>
  <si>
    <t>Pedro INolasco de Toro</t>
  </si>
  <si>
    <t>y para otra Media-Ración de la propia metropolitana, vacante por ascenso á Ración entera de ella de D. Pedro INolasco de Toro, á D. Luis Eduardo de Santiago de Rotalde. Asimismo se ha servido S. M. nombrar para el Corregimiento de Ota</t>
  </si>
  <si>
    <t>Inslin, Coronel</t>
  </si>
  <si>
    <t>Coronel Inslin</t>
  </si>
  <si>
    <t>la ausencia del Barón de Cederstrom, que manda nuestras fuerzas navales en el Mediterráneo, está el Coronel Inslin encargado déla «lireccion de las obras y de los arsenales de Carlscrona.</t>
  </si>
  <si>
    <t>Intendente Corregidor de Murcia</t>
  </si>
  <si>
    <t>e la prudencia; acerca de lo qual se nan comunicado las convenientes órdenes al Intendente Corregidor de Murcia, al Corregidor de Lorca y al R. Obispo de Cartagena, y se han puesto á su disposición los caudales que se han tenido á la mano, en mayor cantidad que lo que se</t>
  </si>
  <si>
    <t>Ipsiianti, Príncipe</t>
  </si>
  <si>
    <t>Príncipe Ipsiianti</t>
  </si>
  <si>
    <t>Gobernadles y Comandantes turcos; pero ahora vería con la mayor satisfacción que fuese, nombrado el Príncipe Ipsiianti, el qual contribuyó particularmente ai ajuste de laíntima alianza que une tan felizmente á los. dos Imperios." ^ Mientras que la Francia disponía s* expedición contra; A.rgel entr</t>
  </si>
  <si>
    <t>Ipsilanti, Príncipe</t>
  </si>
  <si>
    <t>Príncipe Ipsilanti</t>
  </si>
  <si>
    <t>o en cuenta quando se arregle este asunta entre los:dos-gobiernos.:h- :va j:&gt; t Se le ha mandado al Príncipe Ipsilanti, nuevo Hospodar de Valaquia, marche inmediatamente á Buchárest ,&gt; eií atención áqúe s¿ hah móvido mievas turbulencias en Bulgaria* A causa de esto hará el Príncipe su yiage por Va</t>
  </si>
  <si>
    <t>al Príncipe Morusi,. confiriéndole dicha dignidad por toda su vida, lo qualha hecho también con el Príncipe Ipsilanti, nuevo Hospodar de Valaquia: pues á representación de algunos Ministros extrangeros ha reconocido la Puerta que el mando temporal de dichos principados era perjudicial á sus inter</t>
  </si>
  <si>
    <t>Iranzu, Juan Joseph</t>
  </si>
  <si>
    <t>Juan Joseph Iranzu</t>
  </si>
  <si>
    <t>efonso González, sobre la preferencia de la agricultura á las artes y ei comercio; D. Joaquín Royo, D. Juan Joseph Iranzu y D. Felipe Aner, sobre otros varios puntos rurales.__ Acreditaron después en sus respuestas el mayor lucimiento con aplauso de los exáminadores y concurrentes, y hecha la graduación</t>
  </si>
  <si>
    <t>Iriarte y Zerezera, Pedro</t>
  </si>
  <si>
    <t>Pedro Iriarte y Zerezera</t>
  </si>
  <si>
    <t>ph de Lemus, Don Manuel Arcavna y Ximenez, D. Francisco Meñaca y Arechaga, D. Justo Arison yRooaud, D. Pedro Iriarte y Zerezera, D. Joseph Sáavedra y Chaves, D. Miguel Basabru, £&gt;. Ramón Pardo y Lama, D. Francisco Ruiz de la Escalera, D. Juan Venéro y Senli, D. Francisco Lasqueti y Lasqueti, DI Joseph de C</t>
  </si>
  <si>
    <t>Iriarte, Martín</t>
  </si>
  <si>
    <t>Martín Iriarte</t>
  </si>
  <si>
    <t>dríguez de Arias, D. Anselmo G -m^ndio , D. Francisco Osorio y Vargas, D. Joseph Mergelina y Silva, D. Martin Iriarte, D. Vicente de Flores VülamiJ,^. Francisco .Füente^Bircancgra, D. Juan Coronado, D. Joseph Doronzoro, D« Joseph R.eynoso Roldan , 0. Angel Crespo Martínez, D. JosephTde^éspj^§, Í&gt;</t>
  </si>
  <si>
    <t>Iribarren Aycin</t>
  </si>
  <si>
    <t>ía de noticia de que se practicase en este reyno: y al mismo tiempo oido que el ciud. Iribarren Aycin, profesor de cirugía en la ciudad de S. Juan de Pie del Puerto, en Francia, había hecho traer el virus vacuno de mucha distancia, y que lo iba propagando con b</t>
  </si>
  <si>
    <t>Irigoyen, Basilio</t>
  </si>
  <si>
    <t>Basilio Irigoyen</t>
  </si>
  <si>
    <t>s Tenientes D. Agustín de Leis y D. Bernardíno Ortega; á Tenientes i los Subtenientes de granaderos D. Basilio Irigoyen , D. Bruno Muñoz y D. Juan Joseph Viamont, y al de fusileros D. Juan López ; á Subtenientes de granaderos á los de fusileros D. Fernando Martínez, D. Juan del Pino y D. Pascual Ag</t>
  </si>
  <si>
    <t>Irigoyen, Miguel</t>
  </si>
  <si>
    <t>Miguel Irigoyen</t>
  </si>
  <si>
    <t>, D. Joaquín Zarauz, D. Joseph Calderón, D. Antonio García' de Quesada, D. Joseph Manuel de Goicoa, D. Miguel Irigoyen, D^Joan Mesías* y D. Tomas Avalde. ' A Capitanes de Fragata los Tenientes de Navio D. Joseph Meneses, D. Juan Antonio Careaga, D. Vicente Foxa y Montúfar, D. Rosendo Porlier, D. J</t>
  </si>
  <si>
    <t>Irisarri, Juan</t>
  </si>
  <si>
    <t>Juan Irisarri</t>
  </si>
  <si>
    <t>iente de granaderos al de fusileros D. Joseph Sánchez: en el de Murcia á Capitán ai primer Teniente D. Juan Irisarri: en el de Amé•rica á Cap-tan al Ayudante D. Venceslao Prieto-: en el de Málaga al empleo de Teniente Coronel al Comandante del tercer batallón deí de Mallorca D. Joseph Bermudez d</t>
  </si>
  <si>
    <t>Irízari, Luis</t>
  </si>
  <si>
    <t>Luis Irízari</t>
  </si>
  <si>
    <t>mer Teniente al segundo D. Baltasar Arellano: á igual empleo en el d£Gá1átrava;aí segundo Teñí ente D. Luis Irízari: en el del Rey asegundó;Tyhieiite;;ál'AlierqzJD. jfosdph Oarcía; y en el del Príncipe á Alférez aí PoTÍaestandarteí DjRafael Berriz y Guzman. . E7i Rey sedia. servido conferir el,</t>
  </si>
  <si>
    <t>Irrisarri y Sarti, Santiago</t>
  </si>
  <si>
    <t>Santiago Irrisarri y Sarti</t>
  </si>
  <si>
    <t>z, D. Antonio Pareja, D. Francisco Piedrola, D. Fernando Bustillo Cuéva,' D. Francisco Vízcarrondo, D. Santiago Irrisarri y Sarti, D. Joaquín: dé Castañeda , D. Francisco Riquelme , D. Joseph de la EnoU na, D. Pedro Saenz de la Guardia, D. Salvador del Castillo, D. Joaquín Rodríguez de Ribera, D. Juan Topete</t>
  </si>
  <si>
    <t>Iruegas, Mateo</t>
  </si>
  <si>
    <t>Mateo Iruegas</t>
  </si>
  <si>
    <t>ntonio Alvarez Ximenez, y D. Manuel Salcedo. A grado de Coronel los Tenientes Coroneles! en España. D. Mateo Iruegas, D. Narciso Belloc, D. Agustra del Campo, Don Pedro Darsens, D. Francisco Tirado, D. Diego María Fiballer, D. Jayme García Conde, D, Manuel Jáuregui, D. Cárlos Reynaldp de Coup'ig</t>
  </si>
  <si>
    <t>Isabel de Badén, María (princesa)</t>
  </si>
  <si>
    <t>Princesa María Isabel de Badén</t>
  </si>
  <si>
    <t>quí él 30 de Octubre. Desaé 12 de Junio del año último estaba ajustado' su matrimonio con la Sermá. Princesa María Isabel de Badén; y antes de ayer noche recibieron los ilustres novios en par fació la bendición, nupcial de. Mr.’ Walz , Consejero eclesiástico y primer predicador de la corte. En celebridad do e</t>
  </si>
  <si>
    <t>Isabel de Bongars y Martínez</t>
  </si>
  <si>
    <t>tado. El dia 20 de Febrero último falleció en esta corte de edad de 5 4 años cumplidos laJExc. Sra. Doña Isabel de Bongars y Martínez, Condesa viuda de Casasoía, y Dama de Ja Real orden de la Reyna María Luisa. El infatigable zelo con que.trabajó en el establecimiento de la Real asociación de Señoras para el cui</t>
  </si>
  <si>
    <t>Isabel Evia</t>
  </si>
  <si>
    <t>cisca Vidal.... S. Román.... León.............. soi. i2. Id. Cadete D. David Díaz........ D. Pedro, Doña Isabel Evia. Mieres........... Oviedo........... 83. 30. Id. Juan García........................ Josef, María Cabreros..... Villamañan.. León.............. 500. 33. Id* Pedro González........</t>
  </si>
  <si>
    <t>Isabel, María</t>
  </si>
  <si>
    <t>María Isabel</t>
  </si>
  <si>
    <t>M. ha venido en condescender en que esta útil obri ta se dedique á Sí A. R. la Serma. Sra. Iafanta Doña María Isabel , cuyo retrato se procurará dar quanto antes con la dedicatoria para que se coloque al frente de esta útil obra. Véndese en las librerías de Escribano y Dávila, calle de las Carre</t>
  </si>
  <si>
    <t>Princesa de Ñipóles Doña María Antonia,: hija de los Reyes de las Dos Sicilias, y la.Sra.. Infanta Doña María Isabel con el Serenísimo Sr. Principe D. Francisco, heredero de,las Dos Sicilias, hijo 'de SS. MM. Sicilianas, se ajusfaron y firmaron en Aranjuez por los respectivos Plenipotenciarios a</t>
  </si>
  <si>
    <t>cia de las fiestas y funciones con que se ha celebrado el desposorio de la Serenísima Sra. Infanta- Doña María Isabel, hija de los Reyes Ntros, Sres., con el Serenísimo Sr. Príncipe JD. Francisco Genaro,, hijo de los Reyes de las Dos Sicilias. &gt; XJno de los mayores cuidados de SS. MM. como Reyes</t>
  </si>
  <si>
    <t>io cerca! del Rey Ntro. Sr. para haqexY 1* deipan^a ¿sojeipnp de p¿dir a la Serenísima Sra. Infanta Dona María Isabel &lt;■por esposa del Serenísimo Sr. Príncipe D. Francisco, heredero de las I)os Sicilias. Participó S. M. á sus Consejos estos tratados en decreto de 4 de este mssy habiendo, señalado</t>
  </si>
  <si>
    <t>cipe Ntro. Sr., que estaba adornado con los collares de las órdenes, y á la Serenísima Sra. Infanta Doña María Isabel, á quien presentó un magnífico retrato del Príncipe heredero de las Dos Sicilias, su esposo, presentándole también al Secretario y caballeros de Embaxada, y todos besáron su Real</t>
  </si>
  <si>
    <t>citó y armada. Presentáronse los Reyes acompañados del Príncipe Ntro. Sr., de la Sra. Infanta novia Doña María Isabel, y de los Sres. Infantes D. Cárlos María Isidro , D. Francisco de Paula Antonio y D. Antonio Pascual. Venían SS. MM. y AA. adornados con los collares de sus órdenes. Subieron los</t>
  </si>
  <si>
    <t>e en que N. M. S. P. el Papa dispensa los parentescos que median entre la Serení sima. Sra. Infanta Doña María Isabel y el Serenísimo Sr. Príncipe Don Francisco Genaro, heredero de las Dos Sicilias: como también el poder dado por dicho Sr. Príncipe D. Francisco al Príncipe Ntro. Sr. para desposarse e</t>
  </si>
  <si>
    <t>MM. y demas personas Reales. Puestos SS. MM. y los Serenísimos Sres. Príncipe de Asturias é Infanta Doña María Isabel en una línea, y detras las demas personas Reales, y todas frente del altar, se acercó su Eminencia con los expresados Ministros, y haciendo al Sr. Príncipe de Asturias, que represen</t>
  </si>
  <si>
    <t>7i'4 Doña María Isabel. Xa tiraban 8 caballos, con 2 cocheros y 10 mancebos: y acompañaban el Caballeriza de Campo de servidumbre en dicho dia, el Oficial mayor y Exento de Reales Guardias de Corps ; y</t>
  </si>
  <si>
    <t>esta ciudad se celebrarán los desposorios del Príncipe heredero de Ñapóles coa la Infanta de España Doña María Isabel, y se harán los de la Princesa Dona María Antonia con el Príncipe de Asturias. No han salido todavía de aquí las tropas rusas. En breve se embarcarán en este puerto 2® hombres de</t>
  </si>
  <si>
    <t>el Príncipe de Asturias Ntro. Sr. con la Sra. Princesa de Ñápeles Doña Idaría Antonia, y de la Sra, Doña María Isabel (ahora Princesa de Nápoles ) con el Príncipe heredero de las Dos-Sicilias, se han servido el Rey, y Reyna .Ntros. Sres. hacer las gradas siguientes el dia 4 del corriente *en que</t>
  </si>
  <si>
    <t>a. Princesa de Náp fies DoñaMaría Antonia, hija de los Reyes;de las Dos-Siciiias. y la Sra. Infanta Doña María Isabel con el Serenísimo Sr. Príncipe D. Francisco Genaro,, herederode las DosSicilias: habiendo sido padrinos de ambos matrimonios los Reyes Ntros. Sres. Celebróse esta función en el Re</t>
  </si>
  <si>
    <t>Isanta, Antonio</t>
  </si>
  <si>
    <t>Antonio Isanta</t>
  </si>
  <si>
    <t>chez Rangel; y para un Beneficio Racionero de la catedral de Solsona , vacante por fallecimiento de D. Antonio Isanta, á D. Joseph Antonio Soler y Viladot. En la compañía Española del Real cuerpo de Guardias de Corps se ha. servido promover S. M. á Exénto de número al supernumerario D. Francisco</t>
  </si>
  <si>
    <t>Isaxi, Joseph</t>
  </si>
  <si>
    <t>Joseph Isaxi</t>
  </si>
  <si>
    <t>. Antonio María Izquierdo y D. Joaquín dé Villanueva; y el otro para D. Pablo Nicolás de S. Pedro y D. Joseph Isaxi, Capellanes dé Honor, que "por sus respectivos empleos de Cura de Palacio y Receptor de la Real Capilla, tienen que asistir,,y en el que también se sentáron D. Miguel Olivan y D.</t>
  </si>
  <si>
    <t>Isemburgo, Príncipe</t>
  </si>
  <si>
    <t>Príncipe Isemburgo</t>
  </si>
  <si>
    <t>gsburgo, se esperan 2® hombres de las mismas tropas. Otro cuerpo de 4® hombres baxo las órdenes del Príncipe Isemburgo se halla reunido en Neubúrgo : y todas estas fuerzas esperan las últimas'Órdénéis^ a fin dé entra*' én' los países destinados para -resarcí-' miento del Elector. •: .i\&gt; ,; ■ ' '</t>
  </si>
  <si>
    <t>Isidro</t>
  </si>
  <si>
    <t>rvaez, el Conde Ruiz de Castilla, 0. Joaquín .Cabrera, Do? Rafael María Aguilar, D. Joseph Montero, D. Isidro jLimonta, tD; Joá-1 quin de Zubillága, D. Joseph Fernando Abascai, D. Benito Perez, y él Conde de Mopox. : ; ■ A Brigadieres los Coroneles: en España. D. Joaquín Ferrandiz, el Mar</t>
  </si>
  <si>
    <t>Isidro Álvarez</t>
  </si>
  <si>
    <t>...... 654. 39* Id. Isidro Alvarez..................... Agustín, Juana Lemos....... Gabilanes.... León.............. 507. 3. Licenci; Julián Mantecón ................ Juan,.María Moran........ Ruinuevo..... León....</t>
  </si>
  <si>
    <t>Isidro Améz</t>
  </si>
  <si>
    <t>474. 9. Id. Isidro Améz........... Francisco ( Josefa González. Valencia. ... León...... ... 500. 24. Id. Martin Alvarez..... Blas, Fjiula A</t>
  </si>
  <si>
    <t>Isidro Astulez</t>
  </si>
  <si>
    <t>o.............. Juan , jpolonia Rubio......... Alarcon......... Cuenca.......... 87. 36. Id. Cadete D. Isidro Astulez... D.Josetj; Doña María Moral. Búrgos........... Búrgos........... s8. 3. Licenciado. Pedro Fernandez................. Pedro, Vicenta Salinas.... Sahagun....... León..............</t>
  </si>
  <si>
    <t>Isidro Azcura</t>
  </si>
  <si>
    <t>Capitán primero al primer Ayudante D. Ramón de Alburtpierque; á Capitán segundo al primer Teniente D. Isidro Azcura, y á primer Subteniente ai segundo D. Joseph Gutiérrez. El Rey ha nombrado Teniente del Real cuerpo de artillería al Subteniente D. Luis Granados. En el Real cuerpo de Ingenieros</t>
  </si>
  <si>
    <t>Isidro Casal</t>
  </si>
  <si>
    <t>...... 407. 18. Id. Isidro Casal...................... . Ignacio,DomínicaValcarcel.Lorenzana... León................ 410. 7. Id. Antonio Fontiodra............... Manuel, María Hidalgo... Viñon...........Reynosa...</t>
  </si>
  <si>
    <t>Isidro Cortazar</t>
  </si>
  <si>
    <t>y Escribano, D. Domingo Navarro y Torres , D. Juan Michelena y Moreno, D. Pedro Cortazar y Abarca, D. Isidro Cortazar: y Abarca, y D. Ramón de Salas Boxádors. / . t . A Tenientes de IFragata los Alféreces de Navio , * D. Joseph Arguelles, D. Félix Pareja y Mesía, D. Francisco Espinóla yLiaño, D.</t>
  </si>
  <si>
    <t>Isidro de Azcona</t>
  </si>
  <si>
    <t>ocer pan, tasada judicialmente en 42,532 rs. Los que quieran tener suerte acudirán á las tiendas de D. Isidro de Azcona, mercader de lienzos, calle de Toledo, núm. 5 , de D. Joseph de Sobrevilla, que lo es de mercería en la Plaza mayor, á la entrada del portal de Guadalaxara, números 12 y 13, y en</t>
  </si>
  <si>
    <t>Isidro Diez</t>
  </si>
  <si>
    <t>30. to. Id. Isidro Diez................. . Mateo, Ursula -Ruiz........... Poclambre... León......... . 443- 11. Id. Domingo Juanes.................. Juan , Catalina Pa</t>
  </si>
  <si>
    <t>Isidro Gago y Abarca</t>
  </si>
  <si>
    <t>oaquín Mioño y Quevedo, Don Diego Ponce dé León, D. Rufino Torrcntcgui, D. Nicolás Rubín de Barrio, D. Isidro Gago y Abarca, D. Pablo de Villa y Gutiérrez, D. Joaquín Sanchiz Verenguer, D. Rafael de Lobo y Campo, D. Francisco Leceta y la Iglesia, D. Manuel Ocarol y Fuertes, D. Antonio Magadan y Entreno</t>
  </si>
  <si>
    <t>Isidro Suquilvide</t>
  </si>
  <si>
    <t>món de Novoa, D. Francisco García Señeris, D. Tomas Seidel, D. Antonio Moragues, D. Gines Marsilia, D. Isidro Suquilvide , 0. Nicolás Angelí. Radovani, 0. Pedro Salas- , 0. Joseph Foraster, D. Francisco de PaulaiZayas, D. Francisco Tórdi, I&gt;. Joaquiti Ruiz, Don Ignacio Salazar , 0* Martin Boneo , D.</t>
  </si>
  <si>
    <t>Isidro, Carlos María</t>
  </si>
  <si>
    <t>Carlos María Isidro</t>
  </si>
  <si>
    <t>pañados del Príncipe Ntro. Sr., de la Sra. Infanta novia Doña María Isabel, y de los Sres. Infantes D. Cárlos María Isidro , D. Francisco de Paula Antonio y D. Antonio Pascual. Venían SS. MM. y AA. adornados con los collares de sus órdenes. Subieron los Reyes Ntros. Sres. á su solio,y el Príncipe y lo</t>
  </si>
  <si>
    <t>Italiski, Príncipe</t>
  </si>
  <si>
    <t>Príncipe Italiski</t>
  </si>
  <si>
    <t>obación de S. M. I. se publicará aquí la historia de las campañas enaltaba y Suiza del Generalísimo Príncipe Italiski, Conde Suwarow-Rimr nisíd. Se dividirá la obra en tres partes-, y contendrá gran número de mapas y planes executados por los mejores profesores, y toda la correspondencia de dicho</t>
  </si>
  <si>
    <t>Iturriaga, Manuel</t>
  </si>
  <si>
    <t>Manuel Iturriaga</t>
  </si>
  <si>
    <t>e Mechoacan , vacante por haber entrado en la Congregación del oratorio de S. Felipe Neri de México D. Manuel Iturriaga que la obtenia, á D. Gabriel Gómez de la Puente; y para una Ración de idioma mexicano , vacante por ascenso de D. Joseph María Solano á la Canongía Penitenciaria de la colegiata d</t>
  </si>
  <si>
    <t>Iturrigaray, Joseph</t>
  </si>
  <si>
    <t>Joseph Iturrigaray</t>
  </si>
  <si>
    <t>e Navio D. Joseph Meneses, D. Juan Antonio Careaga, D. Vicente Foxa y Montúfar, D. Rosendo Porlier, D. Joseph Iturrigaray, D. JuanBernazi y Retamar, D. Ramón Blanco Criado, D. Pedro Valencia, D. Tomas rando, D. Antonio Aguirre y Villalba, D. Joseph González y Ortiz, D. Antonio. Aguilera, D. Ciríaco d</t>
  </si>
  <si>
    <t>ITutchinson, General</t>
  </si>
  <si>
    <t>General ITutchinson</t>
  </si>
  <si>
    <t>ara el Gran Señor firmada por todos, y en la qual le ofrecen entera sumisión. Ademas han escrito al General ITutchinson dándole parte de su voluntaria obediencia á las órdenes de la Puerta. El Egipto se dividirá en 4 provincias, con otros tantos Baxás , como se observa en los demas dominios europeo</t>
  </si>
  <si>
    <t>Ixart, Francisco</t>
  </si>
  <si>
    <t>Francisco Ixart</t>
  </si>
  <si>
    <t>obles; D. Angel Fuentes, Di Diego Escovar, D. Bartolomé Cucalón, D. Diego:Niet&lt;&gt;,D. Manuel de Muro, D. Francisco Ixart ,¿0. Miguelde CastroAjaoz, p. Juan Ramirez, Do* Fernando Amador , D. Juan Clark, fif. Vicente Folch, y P. Antonio/Urquiola» : i--i;y". ■ 'O. ,</t>
  </si>
  <si>
    <t>Izar de la Fuente, Santiago</t>
  </si>
  <si>
    <t>Santiago Izar de la Fuente</t>
  </si>
  <si>
    <t>V alpue ta, en ¿a diócesi&gt; de: Burgos, vacante por fallecimiento de IX Juan Bautista de Alegría, á Don Santiago Izar de la Fuente, Canónigo Magistral de dicha colegiata. S. M. se ha servido promover en el regimiento de infantería de la Reyna a prinier Subteniente al segundo D„ Joseph Erenas r en el de la Cor</t>
  </si>
  <si>
    <t>Izquierdo, Alexandro</t>
  </si>
  <si>
    <t>Alexandro Izquierdo</t>
  </si>
  <si>
    <t>Rey sé ha servido nombrar para el Deánato Be la metropolitana de Zaragoza, vacante por renuncia de D. Alexandro Izquierdo , á D. Antonio Ramos : para la Canongía que este obtiene en la misma iglesia, y resultará vacante, á D. Diego Perez Izquierdo: para otra de la catedral de Patencia;, vacante por f</t>
  </si>
  <si>
    <t>Izquierdo, Antonio María</t>
  </si>
  <si>
    <t>Antonio María Izquierdo</t>
  </si>
  <si>
    <t>e ministros de palmatoria, mitra y báculo, que lo fuéron D. Joseph dé Navarrete,D. Agustín Librero, D. Antonio María Izquierdo y D. Joaquín dé Villanueva; y el otro para D. Pablo Nicolás de S. Pedro y D. Joseph Isaxi, Capellanes dé Honor, que "por sus respectivos empleos de Cura de Palacio y Receptor de la Re</t>
  </si>
  <si>
    <t>Izquierdo, Francisco</t>
  </si>
  <si>
    <t>Francisco Izquierdo</t>
  </si>
  <si>
    <t>ego ; y en el de dragones de España á Capitán al Teniente D. Mariano Miranda; á Teniente al Alférez Don Francisco Izquierdo; á Alférez al Portaguión Marques de Apartado, y á Portaguión al Sargento D. Ignacio Millan. A conseqiiencia de lo estipulado en el tratado definitivo de Paz concluido en Amiens en</t>
  </si>
  <si>
    <t>Izquierdo, Juan</t>
  </si>
  <si>
    <t>Juan Izquierdo</t>
  </si>
  <si>
    <t>nte de la Torre Puebla ,D. Joseph Pardo y Lama, D. Lorenzo de Toro y Toledo, D. Leandro de Cáceres, D. Juan Izquierdo, D. Manuel de Lobo y Campo, D. Carlos Sellery, D. Lorenzo de la Puente, D, Ruperto Calderón,D. Pedro de Toro y Toledo, D. Carlos Engracia Carrasco , D. Felipe Uriarte y Erquizia,</t>
  </si>
  <si>
    <t>Ja, Almirante</t>
  </si>
  <si>
    <t>Almirante Ja</t>
  </si>
  <si>
    <t>lesas vacuarin- aqueja jsla; luego1: qué.ilegiie áelja ei nayio, César de 84 mandado por el Contra- Almirante Ja,yme‘S^umarez. Este rninisterio ha hecho representaciones al gobierno de Francia. contra las trabas que nuestro comercio experimenta en aquel pais. Parece que de resultas vendrá. a</t>
  </si>
  <si>
    <t>Jaán Joseph de San Juan</t>
  </si>
  <si>
    <t>on Pedro Fermín de Meiidinueta, el Marques Dpuchét, P. Ramón Fernández Idarga , D. JuaW Bássecourt, D. Jaán Joseph de San Juan; I). ToriSid Montes, D. Gerónimo Peinado, el Conde de la Torre del Freino, *DY Casimiro BofaruÜ, D."AntonioCorrea, D. Joseph Joaquín Martí, D. Mateo Arrióla, D. Gerónimo Verde, D.</t>
  </si>
  <si>
    <t>Jacinto Antonio</t>
  </si>
  <si>
    <t>o Antonio Denche, Cura de Tarancon: para otra de la catedral de Santander, vacante por promoción de D. Jacinto Antonio de</t>
  </si>
  <si>
    <t>Jackson</t>
  </si>
  <si>
    <t>aquella ciudad. Dos correos de gabinete salieron c dia 7 de Deuvres para Calais, con -1 cartas pura Mr. Jackson en París, y para el mismo Marques de Gornwallis en Amiens. A uno y otro se comunica lo que se resoit íó en el Consejo de gabinete celebrado el dia 5. El ciud. Otro recibió también e</t>
  </si>
  <si>
    <t>Jacksón</t>
  </si>
  <si>
    <t>plazas de Maguncia y Juliers. Londres 4 de Febrero. D e París ha llegado aquí en calidad de correo Mr. Jacksón , hermano del Ministro británico cerca del gobierno francés. Las fuerzas navales de Inglaterra, inclusas las destinadas para proteger su comercio y navegación, y los buques que ha</t>
  </si>
  <si>
    <t>s vatios personages exttangeros por el Barón de. Ehrensw.ard, Enviado extraordinario de Suecia; por Mr. Jackson, Mini tro piempotenoar.o ingles; oor Mr Dreyer, Ministro de Dinamarca; por el Marques Oe Lucfiestni, Ministro de Bmsia; por el Conde de Marcoff Ministro de Rmiat y por el ciud Smi</t>
  </si>
  <si>
    <t>as de distinción, entre ellas el Príncipe heredero de Orange, Mr. de MarkoíF, Embaxador de Rusia, y Mr. Jackson, Ministro plenipotenciario de Inglaterra , con varios sugetos de sus respectivas naciones. . Los artículos reglamentarios del convenio ajustado el 15 de Julio de 1801 entre S. S.</t>
  </si>
  <si>
    <t>Windsor. Créese que hasta el día 29 no se hará la proclamación. Hállase ya de vuelta en esta ciudad Mr. Jackson, que durante las negociaciones de Amiens reemplazó á Mr. Merri como Ministro de Inglaterra en París.</t>
  </si>
  <si>
    <t>. Listón para Enviado extraordinario y Ministro pleni-, potenciarlo cerca de la República bátava. ,.Mr. Jackson va con igual carácter á Berlín, y lleva por secretario á Mr. Rolleston. También está nombrado Mr. Juan Hunter para Cónsul general de ía Gran Bretaña en Madrid. Dase por cierto ei*</t>
  </si>
  <si>
    <t>ia siguiente empezaron á retirarse i sus quarteles Jas tropas que se habían reunido en aquel campo. Mr. Jackson, nuevo Enviado de S. M. Británica en la corte de Berlín» llegó el 2 del corriente á Cuxhaven» desde donde ha salido ya para su destino. Ha vuelto S. M. Prusiana á prohibir la saca</t>
  </si>
  <si>
    <t>Jacobo</t>
  </si>
  <si>
    <t>l , y otros documentos , llenando »las esperanzas de sít director el segundo Teniente de granaderos D. Jacobo¿ Dntrux, coñocién^ dose su eficaz zelo, con él de su Coronel D. Luis Fernandez de Córdoba y Pimentel, y el dé su! Sargento mayor d Corónef D. Cosme Alvarez, ac^</t>
  </si>
  <si>
    <t>Jacobo Dubrevil</t>
  </si>
  <si>
    <t>efonso Larrauri ,D. Tomas ligarte, D. Ignacio de; la Luz, D. Francisco Sánchez, p. Joseph Aymericb, D. Jacobo Dubrevil , D. Francisco Robles; D. Angel Fuentes, Di Diego Escovar, D. Bartolomé Cucalón, D. Diego:Niet&lt;&gt;,D. Manuel de Muro, D. Francisco Ixart ,¿0. Miguelde CastroAjaoz, p. Juan Ramirez,</t>
  </si>
  <si>
    <t>Jacobo Dupazos</t>
  </si>
  <si>
    <t>70. 13. Id. Jacobo Dupazos........... Antonio, Benita de Riba.. S. Mamed .. Santiago........ 70. 23. Id. Josef Dieguez..................... Estéban, Gertrudis</t>
  </si>
  <si>
    <t>Jacobo Durguy</t>
  </si>
  <si>
    <t>ubteniente del de la Reyna: en el de Suizos de Rut imán á Subteniente de granaderos al de fusileros D. Jacobo Durguy; y en el de Courten á Coronel aí Teniente Coronel del mismo cuerpo D. Joseph Elias de Courten. S. M. ha promovido á Ingenieros en segundos de sus exércitos, plazas y fronteras á l</t>
  </si>
  <si>
    <t>Jacobo Manuel Manrique</t>
  </si>
  <si>
    <t>eciso y perentorio de ig dias, cumplan con la piesenta— cion ante 3, S. y escribanía .del,número de D. Jacobo Manuel Manrique, de los* documentos que justifiquen su legítima propiedad y pertenencia, según-lo proveído en 30 eje Octubre del año anterior; con apercibimiento de que pasado este término sin ma</t>
  </si>
  <si>
    <t>ó menos pretendientas á su obeion , adornadas de las qual id ^des que apetecia, y de que instruirá D. Jacobo Manuel Manrique, Secretario de ,estas memorias, y Escribano del número de esta villa, para que con este mayor dote se casasen mas honradamente ó entrasen en monasterio, á cuyo goce llamó á los de</t>
  </si>
  <si>
    <t>Jacobo Morfi</t>
  </si>
  <si>
    <t>D. Francisco Echavarría y Chacón, D. Tomas Blanco Cabrera, D: Felipe Bausá,:0on Favio Aliponzoni, .D. Jacobo Morfi, D. Madano Isazbinbil, D. Joseph Dionisio: de Rivera, D. Andrés Otero , D.Franci co Dáviji y :Guzma[n.&gt; Don Lorenzo JJrtu^austegui, n. Juan Joseph Velasco, D. Benito Ortiz Llagu-r</t>
  </si>
  <si>
    <t>Jacobo, Francisco</t>
  </si>
  <si>
    <t>Francisco Jacobo</t>
  </si>
  <si>
    <t>; y para el Beneficio servidero de Santo Tomé de los Caballeros de Salamanca, vacante por muerte de D. Francisco Jacobo, á D. Juan Antonio Mato. El Rey se ha dignado conferir el regimiento de cazadores de Almansa al Coronel Marques de Malespina, Teniente Coronel del de Pavía: el em&gt;leo de Teniente</t>
  </si>
  <si>
    <t>Jacquot</t>
  </si>
  <si>
    <t>destacamento de 50 hombres de su compañía, hizo prisioneros 2© austríacos; y el ciud. Jacquot, Teniente de la media brigada de infantería de línea num. 33, que en los reencuentros de 24 y ¿6 de Marzo de 17973 sirviendo entonces de Ayudante, fué uno de l</t>
  </si>
  <si>
    <t>Jado Cagigal Marques del Real Tesoro, Felipe</t>
  </si>
  <si>
    <t>Felipe Jado Cagigal Marques del Real Tesoro</t>
  </si>
  <si>
    <t>, D. Francisco Uriarte y Borja,,D. Dionisio Alcalá Galiano, D. Cosme Chumica, Don Cayetano Valdés , D. Felipe Jado Cagigal Marques del Real Tesoro, D.Alarcelo Espínela, D. Agustín Figueroa, D. Joseph Uriarte y Borla, D. Rafael de Hore, y D. Joseph Espinosa Tello. A Capitanes de Navio los de Fragata ■i D. Juan Carranza, D. Br</t>
  </si>
  <si>
    <t>Jadobó</t>
  </si>
  <si>
    <t>da Ración1 de la villa- de la Hinojosa j én 'la.dióé'esis de Ciudad-Rodrigo , vacante por muerte de D. Jadobó* dé NaVia p z- :D.V;Vicente Martin de las Héras y .^fleto , cón ei servicio «qué fiéhe afiiéxó: para Una Media- Rácioh de la catedral dé Salamanca, vacante por fatlecimíénto 'Bé D</t>
  </si>
  <si>
    <t>Jádraque, Manuel</t>
  </si>
  <si>
    <t>Manuel Jádraque</t>
  </si>
  <si>
    <t>70. 7. Id. Manuel Jádraque............ . Josef, María García........... Alarcon...... Guadalaxara. 100. 27. Id.</t>
  </si>
  <si>
    <t>Jakson</t>
  </si>
  <si>
    <t>Londres 1%* de Qctukre* „ J¿1 2 2 de Diciembre de 1801 descubrió en el ^íar Pacifico una nueva isla Mr. Jakson, cirujano del navio la Esperanza, que viajaba de Babía-Botá.idea ,í la;China. Hállase;á,|pf28 gr¡. de lat, meridional, y 163 de long. oriental. pióle el nombret4fr bla de Schanck</t>
  </si>
  <si>
    <t>Jansen</t>
  </si>
  <si>
    <t>incapaz de todo mando durante 5 años. En Amsterdam se embarcará quanto ántes el ciud. Jansen, Gobernador general del cabo de Buena-Esperanza. Le acompaña el médico Dibbitz en calidad de director de los hospitales de aquel establecimiento. Los xefes de</t>
  </si>
  <si>
    <t>istió á una fiesta muy lucida que el Lord Barrington dio en su casa de campo al ciud. Jansen, Gobernador holandés del Cabo dé Buená-Esperahza, el qual yendo de Holanda á su destino tuvo que entrar de arribada en Plimouth. El i.° de este mes a la una de</t>
  </si>
  <si>
    <t>Jares Maldonado, Francisco</t>
  </si>
  <si>
    <t>Francisco Jares Maldonado</t>
  </si>
  <si>
    <t>ónsul v del Cónsejó¿dé S. M.* Teniente de Corregidor de* esta Villa, por lá escribanía de número de D. Francisco Jares Maldonado , ha caido la casa sita en el Real sitio de S. Lorenzo al barrio del Romeral, á D. Nicolás dé Roda y'Zúñiga, Teniente dé Navio de la ReaL armada, vecino de Puerto ReaL ^ ¿ w--• '-</t>
  </si>
  <si>
    <t>Jáu, Bartolomé</t>
  </si>
  <si>
    <t>Bartolomé Jáu</t>
  </si>
  <si>
    <t>úsica fuéron examinados de violín, baxo la dirección de su maestro D. Domingo Barrera, y el segundo D. Bartolomé Jáu«</t>
  </si>
  <si>
    <t>Jau, Francisco</t>
  </si>
  <si>
    <t>Francisco Jau</t>
  </si>
  <si>
    <t>eva, Comisario Ordenador honorario, y Arquitecto mayor de Reales obras y de la villa de Madrid, y á D. Francisco Jau« bert, Comisario Ordenador, que hizo de Ministro principal en el Campo de S. Roque en la úitima guerra. Honores de Comisario Ordenador Al de Guerra D. V icente Viílalta; ai honora</t>
  </si>
  <si>
    <t>Jauffret</t>
  </si>
  <si>
    <t>llegada por la ^ran sequedacLque ha hecho intransitable el canal del centro. El ciud. Jauffret, secretario perpetuo de la sociedadde los observado* fes del hombre, recibió el i.° de Diciembre noticias de la expedición del Capitán Baudin. El 19 de Maj o l</t>
  </si>
  <si>
    <t>Jáuregui, Ignacio</t>
  </si>
  <si>
    <t>Ignacio Jáuregui</t>
  </si>
  <si>
    <t>o próximo pasado en el Real sitio de Aranjuez con dos niños, habiéndole proporcionado el pus vacuno D. Ignacio Jáuregui, Médico de familia de S. M. , por el mes de Abril, con ocasión de haberle hecho venir de París D. Luis de Onis y González, Oficial de la primera Secretaría de Estado , para inocul</t>
  </si>
  <si>
    <t>Jáuregui, Manuel</t>
  </si>
  <si>
    <t>Manuel Jáuregui</t>
  </si>
  <si>
    <t>del Campo, Don Pedro Darsens, D. Francisco Tirado, D. Diego María Fiballer, D. Jayme García Conde, D, Manuel Jáuregui, D. Cárlos Reynaldp de Coup'igni, D. Joseph Lebrun, D. Manuel la Barre, D. Juan Bernardo Laporte, Don Felipe Crame, D. Francisco Ruigomez, D. Cándido Higuera, D. Diego Navarro , D</t>
  </si>
  <si>
    <t>Jaussen</t>
  </si>
  <si>
    <t>empezado la construcción de valias fragatas y corbetas de la marina militar. El ciud. Jaussen ha prestado ya juramento en calidad de Gobernador del cabo de Buena-Esperanza. Dícese que se ha completado el empréstito de los 30 millones. Fhinfelden 24 de F</t>
  </si>
  <si>
    <t>de BuenaEsperanza la nueva planta de gobierno. Se espera que de acuerdo con el ciud. Jaussen, Gobernador general de aquel establecimiento, continuará las mejoras que los ingleses han hecho en él. Algunas personas que acaban de llegar de aquella colonia</t>
  </si>
  <si>
    <t>Jayme Bolos</t>
  </si>
  <si>
    <t>ejó. Presentáron luego los discípulos sus obíraS, yexaminadas se adjudicaron tres premios: el i.° á D. Jayme Bolos, que presentó urt vaso et rusco con variedad de geroglíficos: el ‘2.° á D. Jayme Gou, por un pian arquitectónico adornado con variedad de ñores; y el 3.0 á D. Ramón Panyó, hijo de</t>
  </si>
  <si>
    <t>Jayme Bonelís</t>
  </si>
  <si>
    <t>así sucesivamente. ¿ ; ; r-. £ &gt;f.i • r ^ Curso completo de anatomía del cuerpo humano, por el Dr, D. Jayme Bonelís yüD¿* Igr;ácio Tacaba&gt;, en $ tomos en 8.° francés. En el discurso preliminar se da una breve historia de la anatomía desde su origen hasta el siglo xvin. En Jos $ tratados, queompre</t>
  </si>
  <si>
    <t>Jayme Canellas</t>
  </si>
  <si>
    <t>oza., á D. Joseph Buil: para el Beneficio de la catedral de Mallorca , vacante por fallecimiento de D. Jayme Canellas , á D. Christóbal Casanova: para otro de la parroquia de Sta. María del Mar de la ciudad de Barcelona , vacañte .por muerte de D. Domingo Marti, á D. Mariano Deo : para otro de la</t>
  </si>
  <si>
    <t>Jayme Cebrian</t>
  </si>
  <si>
    <t>orfía varias gentes de todas clases, sexos y edades. Los profesores D. Francisco Meseguer, médico , D. Jayme Cebrian, D. Juan de Alarcon y D. Andrés Martínez , cirujanos, han acompañado al referido profesor é imitado su fácil y sencillo método, y, continúan propagando la vacunación con igual aci</t>
  </si>
  <si>
    <t>Jayme Crawfurt</t>
  </si>
  <si>
    <t>lidad de Ministro pler i\ipotenciario; Mr. Carysfort á Petersburgoj; Roberto Fitzgerald á Lisboa, y Mr. Jayme Crawfurt á Stpckolmo; Con Mr. Listón va al Haya de secretario de legación el Lord Henifique Stuart ,hijo del Marques de Bute. , A causa., de la epidemia que¿.féyn^ en Jamayca hacen aquí qu</t>
  </si>
  <si>
    <t>Jayme de Navas</t>
  </si>
  <si>
    <t>éron de dicha traduccion inserta en su papel núm. ~4. Elementos del arte de partear, compuestos por D. Jayme de Navas, Vice-Dl.. rector que fué del Real colegio de cirugía de S. CirIos, y ayudante consultor honorario del cirujano mayor de la Rea.l armada: .dos tomos en 4.° con 18 láminas. Reune e</t>
  </si>
  <si>
    <t>Jayme de Oliver, Antonio</t>
  </si>
  <si>
    <t>Antonio Jayme de Oliver</t>
  </si>
  <si>
    <t>obispado de Avila : para otra de la catedral de Málaga, vacante por muerte de D. Joseph Guerrero, á D. Antonio Jayme de Oliver : para la Prestamera de Rus, en la diócesis de Jaén, vacante por fallecimiento de D. Simón Baldazo, á D. Manuel Antonio Escudero: para otra de la nutación ó despoblado de Alharo,</t>
  </si>
  <si>
    <t>Jayme Fitzgerald, Lord</t>
  </si>
  <si>
    <t>Lord Jayme Fitzgerald</t>
  </si>
  <si>
    <t>próxima primavera á visitar el Electorado de Hannover y los demas estados que tiene en Alemania. El Lord Jayme Fitzgerald, Ministro de S. M. Británica en Copenhague, nombrado para servir igual encargo en la corte de Lisboa , tendrá por sucesor en Dinamarca'á Mr. Vansittart. Parece que el gabinete pru</t>
  </si>
  <si>
    <t>Jayme Frígola</t>
  </si>
  <si>
    <t>otro llamado Doma de la parroquia de Pariava, en la misma diócesis de Gerona, vacante por muerte de D. Jayme Frígola, á D. Francisco Carbó y Feliu: para otro de residencia, baxo ia invocación de S. Jayme, unido con otro de S. Bartolomé de la parroquial de la villa de Verdu, diócesis de Soisona ,</t>
  </si>
  <si>
    <t>Jayme García Conde</t>
  </si>
  <si>
    <t>ciso Belloc, D. Agustra del Campo, Don Pedro Darsens, D. Francisco Tirado, D. Diego María Fiballer, D. Jayme García Conde, D, Manuel Jáuregui, D. Cárlos Reynaldp de Coup'igni, D. Joseph Lebrun, D. Manuel la Barre, D. Juan Bernardo Laporte, Don Felipe Crame, D. Francisco Ruigomez, D. Cándido Higuera,</t>
  </si>
  <si>
    <t>Jayme Garrofa</t>
  </si>
  <si>
    <t>chez', D. Joseph María Crespo , D. Bartolomé Reselló, D. Miguel Valcarcel, D. Martin de la Carrera^ D. Jayme Garrofa, y D. Joseph Rich. En América. D. Joseph Arcega, D. Filomeno Cendrera, D. Antonio Figueroa, Don Diego Calvo, D. Manuel Antonio de Mora y Ramos, D. Francisco Campos, D. Joaquín Lan</t>
  </si>
  <si>
    <t>Jayme Gou</t>
  </si>
  <si>
    <t>os: el i.° á D. Jayme Bolos, que presentó urt vaso et rusco con variedad de geroglíficos: el ‘2.° á D. Jayme Gou, por un pian arquitectónico adornado con variedad de ñores; y el 3.0 á D. Ramón Panyó, hijo del director, que presentó una pintura alegórica de las virtudes que caracterizan á uh</t>
  </si>
  <si>
    <t>Jayme Guilla</t>
  </si>
  <si>
    <t>tela, vacante en la parroquia de Santa María dei Pino, de dicha ciudad de Barcelona , por muerte de D. Jayme Guilla, á D. Ramón Tort y Canals: para otro Beneficio Patrimonial de la parroquia de Fuentes de Ebro¿ diócesis de Zaragoza, vacante por fallecimiento de D. Santiago Lapuente, á D. Santia</t>
  </si>
  <si>
    <t>Jayme Jackson, Francisco</t>
  </si>
  <si>
    <t>Francisco Jayme Jackson</t>
  </si>
  <si>
    <t>$ de Enero. E n la audiencia de Embaxadores del dia 5 presentaron sus credenciales al primer Cónsul Mr. Francisco Jayme Jackson y el Caballero Serrestori, en calidad de Ministros plenipotenciarios, el uno de S. M. Británica, y el otro del Rey de Toscana. AI primero acompañaban Mrs. Dawson-Waren y Hill, emplead</t>
  </si>
  <si>
    <t>Jayme Marshac, Capitán</t>
  </si>
  <si>
    <t>Capitán Jayme Marshac</t>
  </si>
  <si>
    <t>or el meridiano. Havre 77 de Abril. A noche entró aquí el parlamentario ingles nombrado el Neptuno, Capitán Jayme Marshac, procedente de Portsmouth con 613 prisioneros franceses. Cherburgo 18 de Abril. E Ldia 12 entráron aquí 4 parlamentarios ingleses con 500 prisioneros, cu</t>
  </si>
  <si>
    <t>Jayme Moncada</t>
  </si>
  <si>
    <t>......D. Pedro y Juan Esponera. En León............ . D. Pedro Gil de Tejada. Én Mahon............. D. Jayme Moneada. En Malaga.......... D. Antonio Mariano. En Murcia.............Sres. Moreda y Ladalid. En Oviedo............. D. Manuel Rubiano. En Patencia.......... D. Nicolás Calonge. En Palma</t>
  </si>
  <si>
    <t>Jayme Nadal</t>
  </si>
  <si>
    <t>en los demas dominios europeos del Gran Señor.” Lérida ij de Enero. E 1 Dr. D. Jayme Nadal, Médico del hospital Real de esta ciudad, á las primeras noticias que tuvo del descubrimiento del inmortal Jenner, deseó experimentar su utilidad; y habiendo el 20 de Abril del año último</t>
  </si>
  <si>
    <t>Jayme Pastoret</t>
  </si>
  <si>
    <t>lá de Aragón, á D. Antonio Cornel y Ferraz, Ministro del crimen íe ia misma; y para esta resulta á D, Jayme Pastoret. En América. En ei regimiento de infantería de la Corona de Nueva España se ha servido S. M. promover á Capitán de granaderos al de fusileros D. Nicolás de Iberrí ; á Capitán de f</t>
  </si>
  <si>
    <t>Jayme Saumarez, Almirante</t>
  </si>
  <si>
    <t>Almirante Jayme Saumarez</t>
  </si>
  <si>
    <t>e la Pomona salió de Gíbraltar, que fué el i.° de este mes, salió también de aquel puerto el Contra-Almirante Jayme Saumarez , con los navios César y Generoso de So cañones, las fragatas Europa y Tétis, y dos chalupas. No se dice su destino. Las gazetas de Hamburgo y, Amsterdam recibidas antes de ayer p</t>
  </si>
  <si>
    <t>Jayme Steudinger</t>
  </si>
  <si>
    <t>D. Juan Borlasca, D. Víctor Wirtz , D. Francisco Schnernaver, Don Jayme Stóffel, D. Joseph Chaqué, D. Jayme Steudinger, D. Juan Cristiano Bagnioud, D. Francisco Zey, D. Ghristóbal Fohn, D. Joséph Trax* ler, D. Francisco Joseph Márcos de Courten * D. Casimiro de Mendoza^ D. Baltasar Samitier, D. Jo</t>
  </si>
  <si>
    <t>Jayme Stóffel</t>
  </si>
  <si>
    <t>. Domingo Larripa, £&gt;. Juan Rayberte, D. Juan Borlasca, D. Víctor Wirtz , D. Francisco Schnernaver, Don Jayme Stóffel, D. Joseph Chaqué, D. Jayme Steudinger, D. Juan Cristiano Bagnioud, D. Francisco Zey, D. Ghristóbal Fohn, D. Joséph Trax* ler, D. Francisco Joseph Márcos de Courten * D. Casimiro</t>
  </si>
  <si>
    <t>Jayme Talbot</t>
  </si>
  <si>
    <t>axador extraordinario y plenipotenciario de S. M. Británica cerca de la República francesa, y el de Mr. Jayme Talbot como Secretario de embaxada. * Consiguiente al restablecimiento de la tranquilidad pública en Santo Domingo, despachará quanto ántes este ministerio orden al Almirante Duckworth,</t>
  </si>
  <si>
    <t>Jayme-Moncada</t>
  </si>
  <si>
    <t>....... D. Pedro y Juan Esponera. En %eon.¿.:.;~...... D. Pedro Gil de Tejada. En Mahon.i.......... D. Jayme-Moneada. 1 En Malaga......... D. Antonio Mariano.. r ;* kl Én Mtircia.......... Sres. Moreda y Xadalid.. f En Oviedo........... D. Manuel Rubiano. En Falencia........ D. Nicolás Calongc.</t>
  </si>
  <si>
    <t>Jbseph</t>
  </si>
  <si>
    <t>Felipe Unieres, al Arcediano de la misma catedral D. MiguehChirino* r p^a ef Arcedianato al Chantre D. Jbseph.Perez Armendáriz: para lá Chantná al Maestrescuela D Juan de DiósKPereyra: para la Mae trésCÓlía al Tesorero D. Francisco Xmer de Tesorería ál Cánonjgp D/ Josepli Fernando Baeza:</t>
  </si>
  <si>
    <t>Jbseph Barón de Mer</t>
  </si>
  <si>
    <t>n Martin, D. Santiago Lusarretá , D, Vicente rQasa' sola* D. Alonso VtlUfáñe, D. Cayetano Marimon * D. Jbseph Barón de Mer , D. Alexáñdro Conde de.Coupigni, D. Pedro Antonio TE^éjo, Don Pedro Fermín de Meiidinueta, el Marques Dpuchét, P. Ramón Fernández Idarga , D. JuaW Bássecourt, D. Jaán Joseph de S</t>
  </si>
  <si>
    <t>Jcsepb Cornide de Saavedra</t>
  </si>
  <si>
    <t>ra la vieja, por D. Ignacio de Hermosilla y Sandoval. = Continua cion de la memoria antecedente por D. Jcsepb Cornide de Saavedra; acompañan á esta noticia 7 láminas que contienen varias antigüedades é inscripciones , y los dibuxos de un toro y de un templo de que se conservan vestígios en esta población , q</t>
  </si>
  <si>
    <t>JD, Príncipe</t>
  </si>
  <si>
    <t>Príncipe JD</t>
  </si>
  <si>
    <t>a Serenísima Sra. Infanta- Doña María Isabel, hija de los Reyes Ntros, Sres., con el Serenísimo Sr. Príncipe JD. Francisco Genaro,, hijo de los Reyes de las Dos Sicilias. &gt; XJno de los mayores cuidados de SS. MM. como Reyes y como Padres lia sido siempre el de dar estado á su muy amado hijo</t>
  </si>
  <si>
    <t>Jdseph de Urrutia</t>
  </si>
  <si>
    <t>ancisco Xavier dé Negrece; X). Francisco dé Borja; D. Juan Joaquín Moreno; Conde de Fuéntéblanca&gt; y D. Jdseph dé Urrutia: ’ ' \ — v7 v' ' 7" ;; ,-7- • ‘ 7 r; Bandas de la Real orden dé Dantas nobles de Afaifa Luisa. Xa Reyna Nra. Sra. se lia servido conceder esta distinción á las Excmas. Sras; Conde</t>
  </si>
  <si>
    <t>Jdseph Díaz</t>
  </si>
  <si>
    <t>ayníundo Carbonell,* D. Rodrigo •Aívarez, D. Ignacio Sandoval, D¿ Nicolás Pastor, D. Joseph Abarca, Don Jdseph Díaz, D. Ignacio Luzon¿ D. Mariano Merchante, D. Christóbal Manzano, D. FranciscoFaxardo, D. Andrés Orozco, D. Miguel Duran, D. Cárlos Chinchilla, D&gt;. Antonio Texád a, D. Juan Ximenez,</t>
  </si>
  <si>
    <t>Jéaní Nepomuceno Prats</t>
  </si>
  <si>
    <t>Guardias Walonas -se ha-servido promover el Rey á segundos Tenientes á los Alféreces de granaderos D. Jéaní Nepomuceno Prats y D. Cájlos Daunoy. ,• Al Mariscal.de Campo D. Juan Carrafa ha conferido el Rey lá Capitanía general del exército y provincia^ de;: Extremadura,5con la Presidenciá de aquella Real Aud</t>
  </si>
  <si>
    <t>Jefferson</t>
  </si>
  <si>
    <t>lase de ciencias fisicomatemáticas en la sección de astronomía, en lugar del difunto ciud. Borie: á Mr. Jefferson, Presidente de los Estados-Unidos de América , por socio en la clase de ciencias morales y políticas: á Mr. Banks, Presidente perpetuo de la sociedad Real de Londres, por socio ex</t>
  </si>
  <si>
    <t>JefFerson</t>
  </si>
  <si>
    <t>os Mianis, los Watis y otros, tuvieron el 2 de este mes en la ciudad de Washington una audiencia de Mr. JefFerson, Presidente de los Estados-Unidos, á quien uno de los caudillos dirigió el siguiente discurso: ,, Padre. Escucha á tus hijos. Tus hijos se consideran felices porque el grande Espí</t>
  </si>
  <si>
    <t>Cámaras del Congreso recibiéron el 27'del mes último el s¡gu¡ea~ te mensage Üe parte del Presidente Mr. Jefferson: ,, Señores del .Senado y de la Cámara de Representantes. Como los Comisarios nombradas para .asegurar el cumplimiento del artículo 6.° del tratado de amistad , comercio y navegac</t>
  </si>
  <si>
    <t>Jeífen, Capitán</t>
  </si>
  <si>
    <t>Capitán Jeífen</t>
  </si>
  <si>
    <t>214 Copenhague 29 de Enero. H;a. regalado el Príncipe Real una magnífica espada de oro al Capitán Jeífen, que mandó un bergantín en la India, y el 3 de Marzo del año último se defendió) con mucho denuedo contra una fragata y un londro ingles. Tiene la espada una inscripción análoga á</t>
  </si>
  <si>
    <t>Jeíferson</t>
  </si>
  <si>
    <t>os vecinos de Cheshire, que es una ciudad pequeña de Massachuset, presentaron el dia de año nuevo á Mr. Jeíferson, Presidente de los EstadosUnidos, un queso que pesaba 1235 libras, con una carta muy afectuosa, y una inscripción que decía: ,,El queso mas grande de América, para el hombre mas g</t>
  </si>
  <si>
    <t>de que se introduxo entre nosotros aquella bebida venenosa, somos menos felices y en menor número.” Mr. Jeíferson agradeció al pueblo roxo su visita , le ponderó las ventajas de la paz y de la unión, le dió el parabién por los progresos que hace en la industria, y le ofreció satisfacer á sus</t>
  </si>
  <si>
    <t>Jellachich, General</t>
  </si>
  <si>
    <t>General Jellachich</t>
  </si>
  <si>
    <t>art, Peterswaradin, Panczowa y á otras plazas de Hungría y del Bannato, para reforzar el cuerpo del General Jellachich, que forma un cordon en las fronteras de Bosnia y Servia. __ Tampoco tiene ya duda la formación de un numeroso exército austríaco en la Galitzia oriental, particularmente en Lembe</t>
  </si>
  <si>
    <t>Jenner</t>
  </si>
  <si>
    <t>ban aun que la vaccina preservase por mas tiempo, no convenciéndoles tampoco quanto ha publicado el Dr. Jenner, pues todo lo negaban. Pero la junta de sanidad volvió á inocular los mismos niños el 17 de Octubre, introduciéndoles gran cantidad de la materia variolosa; y sin embargo no les s</t>
  </si>
  <si>
    <t>omercio de esta villa, en vista del singular beneficio que promete al género humano el hallazgo del Dr. Jenner en la inoculación de la vacuna, practicó diligencias para lograr el virus, y lo consiguió desde Madrid el 14 de Noviembre último. El mismo dia hizo va</t>
  </si>
  <si>
    <t>ndo una de las enfermedades contagiosas mas terribles que padece la humanidad. Dicho recurso es del Dr. Jenner, que al cabo de mucho trabajo y penosas diligencias consiguió hallar el secreto y método de la inoculación de la vacuna; y no contento con haber hecho tan precioso descubrimiento,</t>
  </si>
  <si>
    <t>cunstancias en que la Cámara podía conceder premios; y añadió'que en ninguna de ellas se hallaba el Dr. Jenner : que la misma naturaleza de su invención le proporcionaba medios fáciles..de adquirir suficiente premio; y qué este es uno de-ios- casos^én que la Cámara -no debe señalarlos.-¡^o</t>
  </si>
  <si>
    <t>otra sesión propondrá se pida al Rey una suma de 500 libras esterlinas como resarcimiento debido al Dr. Jenner por los varios gastos que ha hecho con motivo del descubrimiento de la vacuna: y esto sin perjuicio de las 10© libras que le ha señalado ya la Cámara. Las rentas ordinarias, ó tri</t>
  </si>
  <si>
    <t>Jenñer</t>
  </si>
  <si>
    <t>, • Antes de ayer se próce.did,ál nombramiento de :lo« Ministros; y lo son los ciudadanos Jenñer¡ páráqel despacho de Relaciones exteriores, Renger</t>
  </si>
  <si>
    <t>o también á los Ministros helvéticos en paises extrangeros, el nombramiento del ciud. Jenner para sucesor suyo ¿n el empleo de Secretario de Estado. T? V,Y- ■ Berna 29 de Julio, ■■■} : *■ ; '.;: Hál Senado por decreto de 22 de este.mes concede indulto,</t>
  </si>
  <si>
    <t>rsburgo, _ La Emperatriz, madre del Emperador Alexandro 1, ha enviado una sortija de gran precio al Dr. Jenner, como descubridor y propagador del beneficio de la vacuna. EL navio de la compañía oriental inglesa nombrado el Conde Talbot zozobró en los mares de la China á fines del año de i8</t>
  </si>
  <si>
    <t>Jfcleph Herediá y Hore</t>
  </si>
  <si>
    <t>de Llano Garay, D. J« st*ph Ig¿. nado del Camino', D. Vicente de Boz y Cafi^* v D« JCsev*h Meñaca, Don Jfcleph Herediá y Hore, D. Nicolás de Cea , D.DiegoButron y Cortés, D: Joseph Rodríguez de Arias, D. Anselmo G -m^ndio , D. Francisco Osorio y Vargas, D. Joseph Mergelina y Silva, D. Martin Iriarte, D.</t>
  </si>
  <si>
    <t>Jgi</t>
  </si>
  <si>
    <t>*Idanuel Lardizabal, íl^ ^ntónlo Pga|rt¿^ 0.^qigó^'Óltes de Veiascq, D.Jo«epb María iG^te^ dq j^scó D. Jgi^fo Emparaíi , Den Joaquiií péi^n4ez MedrapP »' ^ Lezo* P. Manuel de la Riva-Agüero, D. Antonio éilihán y D. Jo seph M aria ^indelan. jEn 4pctrjnafpbr¡stianí»| baxp la;^iqqe?t|plpr</t>
  </si>
  <si>
    <t>Jiiari Fernández Aiarcon</t>
  </si>
  <si>
    <t>de Paula Michelena, D. Agustín Obándo y Adorrtoy D. Martin Uria y Navea, D. Ramón Pówert y Guirát, D. Jiiari Fernández Aiarcon, D. Joseph González Castañon, D. Francisco García Sala, .D. Ramón Bermudez Valledor, D. Alexandro Boni la y San Juan, D. Juan Uztariz y Valenciano, D. Manuel Martínez Wintuysen ,</t>
  </si>
  <si>
    <t>JJrtu, Lorenzo</t>
  </si>
  <si>
    <t>Lorenzo JJrtu</t>
  </si>
  <si>
    <t>Madano Isazbinbil, D. Joseph Dionisio: de Rivera, D. Andrés Otero , D.Franci co Dáviji y :Guzma[n.&gt; Don Lorenzo JJrtu^austegui, n. Juan Joseph Velasco, D. Benito Ortiz Llagu-r ¿o, D, Antonio Caípptiz3no , D. Joaquín,íalite Diáz,;X). Miguel Dominfi¿ii4ez y Vargas, D. Sántps Bembiela y Ricpjp. Manu</t>
  </si>
  <si>
    <t>JLacrosse, Almirante</t>
  </si>
  <si>
    <t>Almirante JLacrosse</t>
  </si>
  <si>
    <t>istía á favor de los emigrados, y otro de indulto para los desertores. Extracto de carta del Contra-Almirante JLacrosse, Capitán general de la Guadalupe, al Ministro de Marina. „La Dominica iCde Febrero. Ya os he dado parte de la salida de Pointe-á-Pitre de la fragata Cucarda, y de su llegada á lá</t>
  </si>
  <si>
    <t>JLalande</t>
  </si>
  <si>
    <t>es que hicieren vela hacia aquellos mares usen de las mayores precauciones.” El ciud. JLalande ha publicado el aviso siguiente: „Desde el descubrimiento de un décimo planeta por Mr. Olbers, de Brema, se disputaba sobre si era un cometa; pero el ciud. Bur</t>
  </si>
  <si>
    <t>JLosephifiíonzález</t>
  </si>
  <si>
    <t>para ou*a de la colegial de Soria, diócesis de1 Osma, vacante por muerte de Don Manuel Aragonés, á D. JLosephifiíonzález, Racionero de ella: para la Raí</t>
  </si>
  <si>
    <t>Joa</t>
  </si>
  <si>
    <t>Real cuerpo de Guardias de Corps se ha servido promover el Rey á Cadete de numero al supernumerario D. Joa</t>
  </si>
  <si>
    <t>Joaa</t>
  </si>
  <si>
    <t>o y.Quevedoy DvRaihoii Bardo Hefeon, f&gt;. Alexandro Beyens y Barnola', 1). Antonio Albizu M Otáelliy D. Joaa quin de Moyuá y Mazarredo , D. Déodato Bonnefóy FhfeiahVillé,, D- Ma~ nuél Borras&gt;y Barcena , D* Anüonio García Campero^ &lt; Manuél- Antuña Aldbar, D.cManue^ Rodrigugz García^^dX^Ca</t>
  </si>
  <si>
    <t>Joachina Cuervo</t>
  </si>
  <si>
    <t>ez, calle de la Concepción, frente á ia botillería , encima del mesón, casa sin número, 4.0 piso. A Doña Joachina Cuervo, vecina de la ciudad de León , le extraviáron en el año de fSoo diez vales Reales de igo pesos, creación de ig de Marzo, que hoy corresponde á la de f.° de Enero, Cuyos números so</t>
  </si>
  <si>
    <t>Joachma</t>
  </si>
  <si>
    <t>stituidos : es á saber, el Sr. D. Joseph de edad de 10 años^, las Sras. Doña Ramona de edad de 15 , Doña Joachma de 13 , Doña Luisa de 8 , Doña Francisca de 6, y Doña María Teresa de 2, que por vía de juguete pasaron todos seis tos trámités de la verdadera viruela vacuna con sus-verdaderos fenó</t>
  </si>
  <si>
    <t>Joacliín de Estreniera</t>
  </si>
  <si>
    <t>án al primer Teniente de granaderos p. Carlos Barón D’horst; y á segundos Tenientes á los Alféreces D. Joacliín de Estreniera, D. Ramón Sauz y- D. Bernardino Conde de Haro, el primero y segundo de granaderos. El Rey se ha servido conceder el empleo de Capitán de Artillería al Teniente, graduado de Capitá</t>
  </si>
  <si>
    <t>Joaclún Joseph de Navasqiies</t>
  </si>
  <si>
    <t>ue se administran sus intereses. El as de Marzo falleció en esta corte á los 71 años de edad el Sr. Don Joaclún Joseph de Navasqiies, caballero de la orden de Santiago, y Minís</t>
  </si>
  <si>
    <t>Joaehin Acevedo</t>
  </si>
  <si>
    <t>Reales, Guardias Españolas se ha servido el Rey promover á primer Teniente al segundo de cazadores D. Joaehin Acevedo; y á segundo Teniente al Alférez de cazadores D. Manuel de.Urbina. En el de Reales Guardias Walonas á Capitán al primer Teniente de granaderos p. Carlos Barón D’horst; y á segundo</t>
  </si>
  <si>
    <t>Joaehín Gastón, Joseph</t>
  </si>
  <si>
    <t>Joseph Joaehín Gastón</t>
  </si>
  <si>
    <t>de mucha distancia, y que lo iba propagando con buen éxito; se determino el Alcalde de dicho valle D. Joseph Joaehín Gastón á pasar á aquella ciudad •por el mes de Octubre último con dos muchachos, para que aquel profesor los vacunase : y habiéndole expuesto que no tenia en aquel tiempo virus en dispos</t>
  </si>
  <si>
    <t>Joan</t>
  </si>
  <si>
    <t>de Voluntarios de Gerona al Capitán primero del segundo &lt;k Cataluña, graduado de Teniente Coronel, D. Joan</t>
  </si>
  <si>
    <t>Joan Crespo de Léon y Lílfiné</t>
  </si>
  <si>
    <t>Torres ^ Dí Francisco Bónce de Leon^ D« Jacobo Greyro ‘y .Basad rey Dí Joseph Gáztelú y Echeniqtíe, D. Joan Crespo de Léon y Lílfiné , D. Paiitaleón At MoredletáyD.' Manuel Nuñez de Prados- JDÚ Joseplií V’illena y Porlier fDc&gt;Pedro AfecaTale y Sano , Don Bartolomé Rosso y González, D. BartolomóíMo^qinecholy Mar</t>
  </si>
  <si>
    <t>Joan Leonart</t>
  </si>
  <si>
    <t>1023 En América. D. Roque Abarca, D. Joan Leonart,D. Manuel González, D. Ignacio de la Quintana, D. Agustín Lasala, D. Pedro Nolasco dei Rio, Don Joseph Sabido de Vargas, D. Joseph Salvador, D. Francisco Muñoz y San Clemente , D.</t>
  </si>
  <si>
    <t>Joan Pedro Vincenti</t>
  </si>
  <si>
    <t>1021 villa; á D. Joan Pedro Vincenti, Director qae faé de la Caxa de Descuentos de Madrid. Propiedad de Intendente deexército. AD. Mariano Domínguez , Intendente de exército, se le concede en propiedad la Intendencia</t>
  </si>
  <si>
    <t>Joaquiir de Villalba</t>
  </si>
  <si>
    <t>egas y Córdoba , D. Antonio Calvillo y Lata, Di Luis'Blanchi y Munarini, D. Joseph Kenrique Forvin, D. Joaquiir dé Villalba, D. Candido de Lasala ¿ D. Gerónimo Caballero y Obando, Don Dmñiirqo Mótiteverdéi¡ Dí Joireph' dé li Muela‘;Gutierrez , D Pedro Marfand ^Gallego i D. Rafael Ximenez de Montalho, D</t>
  </si>
  <si>
    <t>Joaquín Alonso</t>
  </si>
  <si>
    <t>. 30 5. 17. Id. Joaquín Alonso................ . Hipólito, Isabel González.. Garrafe......... León.............. 17* Id. Josef Prieto....................... ; Juan, Angela Puerta..</t>
  </si>
  <si>
    <t>Joaquut</t>
  </si>
  <si>
    <t>^ D. Pascual i Ruiz „de Huidob.ro» Aotpnio Boneo ,D.' Nicolás Ma.yér,gst% D. Manuel Sánchez Arjona, D. Joaquut de ;MoUu^^D.v^rahdscoíVaz^</t>
  </si>
  <si>
    <t>Joi</t>
  </si>
  <si>
    <t>Arroyo, compuesta dey^o pies quadrádos superficiales de sitio, tasada en 5(5,784 rs., y en favor de D. Joi^e Gonzalo de Liria en' la cantidad de 6e9 r$. en vales: y para 1^ mejora del quarto se hati señalado 30 dias j qué finalizarán en ip del corriente. A conséqlíeñcia de lo resuelto</t>
  </si>
  <si>
    <t>Joíeph Manuel Bilbao</t>
  </si>
  <si>
    <t>r, D. Fernando Govantes y Valdivia,.D..Joaquín de Arce y Fronce-, da , D. Toaquin Mella y Barbeyto, D. Joíeph Manuel Bilbao, D. Tuis; Tabón v Ro&lt;icme, D. Juan Dameto y,Sureda, D. Santiago Hurtado de Mendoza, Marque5 de Tabalosos, D. Joseph del Hoyo González, D.Manuel Reviray Almunia, D. Manuel Reyna y</t>
  </si>
  <si>
    <t>JoisépKCEüstía</t>
  </si>
  <si>
    <t>Joseph António Caballero.p'D. DotnirigOyGrahdállaria; D. Miguel Cayetano Soler; D. Díegb de Godojr; D. JoisépKCEüstía^óip ?M0renü;¿Mar^ués dé Gerralbo; Marques de San Simón; Conde déTrastainara; Marqués de Quintana ; Conde de Fernannuñez ; D. Rafael Muzquiz, Arzobispo de Santiago; Conde de Santa</t>
  </si>
  <si>
    <t>Jones</t>
  </si>
  <si>
    <t>disposiciones favorables del gobierno francés, que se le pagaban ahora 4 meses anticipados. Añadió Mr. Jones, que nada puede consolidar tanto la armonía que existe entre las dos naciones, como el restablecimiento de la religión en Francia. En Portsmouth se ha mandado que no baxe á tierra</t>
  </si>
  <si>
    <t>Jonullá, Salvador Ignacio</t>
  </si>
  <si>
    <t>Salvador Ignacio Jonullá</t>
  </si>
  <si>
    <t>da, del círculo, de trigonometría &amp;c. con sus demostraciones y már riiobras. En el segundo dia dixo D. Salvador Ignacio Jonullá uná árengá manifestando la gran utilidad de la geografía, dando luego una sucinta noticia de la instrucción y manejo del globo y esfera, elementos del álgebra, principios fundamen</t>
  </si>
  <si>
    <t>Jorge, Conde</t>
  </si>
  <si>
    <t>Conde Jorge</t>
  </si>
  <si>
    <t>Núm 91. i XI2X mam DEL MARTES 9 DE NOVIEMBRE DE 1802. Corfú 23 de Agosto. E I Conde Jorge. Mocenigo, que ha llegado á esta isla en calidad de Ministro plenipotenciario del Emperador de Rusia, fué recibido con todos los honores correspondientes á su carácter. Los dias 1</t>
  </si>
  <si>
    <t>Jós</t>
  </si>
  <si>
    <t>D. Joseph Basurto y Vargafc, 1&gt;; ;Bo^itó\Gorir«k .y HeAíique*, ’Dóíi Francisco- Correa y Henriquez, D. Jós^ph Jalón y Bañuéió$y D. Migtíel Merlos y Basabilbaso, D Joseph Camaño y Homero, D. Benito^©átísoain^ Perez, D- Francísco Mandiáiy JSHclrrayjDWJosóph ^aifcja Campero, Don Manuel de</t>
  </si>
  <si>
    <t>Jos, Príncipe</t>
  </si>
  <si>
    <t>Príncipe Jos</t>
  </si>
  <si>
    <t>tinúan sm novedad en su importante salud.' * ■ *.-v d 5óói-fUvd , .Con motivo del fallecimiento del-Príncipe Jos,eph:Benito .Placido, hermano del Rey de Cerdeña^^ ha^mandadd S.t qpe la cpKtq se.vista de luto por 15 dias , contados desde el martes 28 de este me$.</t>
  </si>
  <si>
    <t>Josef Acuña</t>
  </si>
  <si>
    <t>70. 18. Id. Josef Acuña......................... Tomas, María Olbeyro.... Puerto del Sol. León.........</t>
  </si>
  <si>
    <t>Josef Aguirre</t>
  </si>
  <si>
    <t>24. 32. Id. Josef Aguirre................... Manuel, Margarita Olivar. Salmanton... Vitoria......... 8. 20. Presidio. Sargento 2.0 Manuel Zarao' rano.....................</t>
  </si>
  <si>
    <t>Josef Álvarez</t>
  </si>
  <si>
    <t>..... 128. 17. I&lt;L. Josef Alvarez........................ Juan, María Rodríguez... Linares........... Astúrias......... 177. 3. Id. Felipe Cocero................... Andrés, Vicenta Moreno.. La Granja.... Madrid</t>
  </si>
  <si>
    <t>72. 16. Id. Josef Alvarez................. Josef, Mar ía Vaqueyro.... Leyrado.......Salvatierra... 13a* 8* Id. Pedro Carracedo................. Jacobo, Jos</t>
  </si>
  <si>
    <t>Josef Angulo</t>
  </si>
  <si>
    <t>50. 13. Licenciado. Josef Angulo.....Francisco, Teresa Lozano.. Solora no..... Búrgos^.......... 50. 19. Id. Ignacio Rodríguez... r.... Sítit</t>
  </si>
  <si>
    <t>Josef Antunez</t>
  </si>
  <si>
    <t>563. Id. Josef Antunez...................... Algabea......... Portugal........ 206. 19. Presidio. Miguel Fuertes................ . Juan, Manuela Garda. Gijon.</t>
  </si>
  <si>
    <t>Josef Aparicio</t>
  </si>
  <si>
    <t>...... 204. 30. Id. Josef Aparicio.......................Antonio, María Luengo... Abelon............ Zamora..,.., 40. 10. Id.</t>
  </si>
  <si>
    <t>Josef Arias</t>
  </si>
  <si>
    <t>Id. Josef Arias............................ Manuel, María Ruiz.......... León......... León.............. 474. 17. Id. Hermenegildo Alonso......... Gabriel, Rosa Fernandez.. S. Christóbal.. León.........</t>
  </si>
  <si>
    <t>Josef Barreros</t>
  </si>
  <si>
    <t>. Domingo Alvarez.. Josef Barreros........ Badajoz......... Badajoz......... 431. 30. Id. Juan Pasamente...</t>
  </si>
  <si>
    <t>Josef Braíia</t>
  </si>
  <si>
    <t>..... 146* * «• Id* Josef Braíia.... Andrés, Ines González....... S. Martin.... Búrgos.......... 146. 5. Id. Félix Bruña... Andrés, Inés González:.... S</t>
  </si>
  <si>
    <t>Josef Calvo</t>
  </si>
  <si>
    <t>...... 135. 28. Id. Josef Calvo........................... Antonio, Angela Martinez. Rabanal.. ... Astorga. ..... 51. 10. Id. Tomas Mansariño............... Juan, Manuela Frayle..... Ribas...</t>
  </si>
  <si>
    <t>Josef Chautada</t>
  </si>
  <si>
    <t>........ 61. 6. Id. Josef Chautada.................. Manuel, Josefa Laredo..., S. Adrián.... Santiago..... xoi. 14. Id. Josef Fernandez.................. Manuel,Madalena Jaynaro. Xaboazas.... Rubillon..... 109.</t>
  </si>
  <si>
    <t>Josef de Diego</t>
  </si>
  <si>
    <t>23. 26. Id. Josef de Diego..................... Josef, María Perez........... . Guadalaxara. Guadalaxara. 80# 27. Id.</t>
  </si>
  <si>
    <t>Josef de Lago</t>
  </si>
  <si>
    <t>82. 23. Muerto. Cabo 2.0 Josef de Lago....... . Josef, Josefa Ramírez....... S. Julián de Lamas....... Oviedo.............</t>
  </si>
  <si>
    <t>Josef de Mora</t>
  </si>
  <si>
    <t>.. 360. 11* Muerté. Josef de Mora............. Antonio, Bárbara Molina.. Monreal............. Pamplona.... 1002. 23. Licenciado* Josef Utrera............. Antonio, Manuela Gotera.. Pueb</t>
  </si>
  <si>
    <t>Josef de Noboa</t>
  </si>
  <si>
    <t>895. 33. Id. Josef de Noboa... .... Francisco,Jacinta Fernandez.S. Clodio..... Galicia........... 70. 23. Muerto. Vicente Tejeda........ Vic</t>
  </si>
  <si>
    <t>Josef Dieguez</t>
  </si>
  <si>
    <t>70. 23. Id. Josef Dieguez..................... Estéban, Gertrudis Alvarez. Pefiafolenche. Trives............ 14S. 26. Id. Romualdo Daporta............. Josef, Juliana Lucio....... S Adrián.... Santiago.....</t>
  </si>
  <si>
    <t>Josef Domínguez</t>
  </si>
  <si>
    <t>Id. Josef Domínguez....... Otero, Ana Alonso.............. Sta.María Bu* dino.............</t>
  </si>
  <si>
    <t>Josef Estébez</t>
  </si>
  <si>
    <t>rra... 100. 28. Id. Josef Estébez............ Leyrado........ Salvatierra.. . 13. 1. Id. Sebastian Ortega.......</t>
  </si>
  <si>
    <t>Josef Fernández</t>
  </si>
  <si>
    <t>...... 340. 11. Id. Josef Fernandez................... Antonio, Olaya Perez........ Meyron..........León............. . 414. 2. Id. Francisco Aparicio...............Felipe, Teresa González... Pobladura.... León....</t>
  </si>
  <si>
    <t>60. 26. Licenciado. Josef Fernandez............... Josef, Josefa Tampcla........ Astorga......... León.............. 1. 4. Id. Francisco Telmo................... Manuel, Cecilia</t>
  </si>
  <si>
    <t>'..... a4i. 1*. Id. Josef Fernandez.............. . Josef, María Cástrelo......... S. Pelayo......... Salvatierra... 51. 3. Id. Josef Garrido..................... . Marcelo, Luisa Arias</t>
  </si>
  <si>
    <t>o..... xoi. 14. Id. Josef Fernandez.................. Manuel,Madalena Jaynaro. Xaboazas.... Rubillon..... 109. 13. Id. Cárlos Garaboa.................... Francisco, VicentaMontey* S. Pedro de</t>
  </si>
  <si>
    <t>Josef Ferreyro</t>
  </si>
  <si>
    <t>.. 305. 27. Muerto. Josef Ferreyro...................... Juan, AntoniaUnteyro.... Sta. María... Santiago....... 96. 7. Id. Pedro Maxide............... . Pedro, Ana Fernandez</t>
  </si>
  <si>
    <t>Josef Fierro</t>
  </si>
  <si>
    <t>285. Id. Josef Fierro.......................... Blas, María Huerta........... Canales.......... León............... 32. 23. Id. Josef Roxo................... . Antonio, Bárbara Per</t>
  </si>
  <si>
    <t>Josef Forcen</t>
  </si>
  <si>
    <t>85. 5. Licenciado, Josef Forcen................. * • • • Antonio, Teresa Sánchez.. Jadraque....... Calatayud... 381. 18. Id. Juan Antonio Cabero......... Alonso, Josefa Alvare</t>
  </si>
  <si>
    <t>Josef García</t>
  </si>
  <si>
    <t>73* 9* Id. Josef García............... Vicent^ Bárbara Prieto... Herreros....... León.. 432. 31. Id. Manuel Garcés................................. .........</t>
  </si>
  <si>
    <t>... ... 305. ». Id. Josef García............... Bobadilla....... Palencia........ ii5* Id* Santos Ferrero.......</t>
  </si>
  <si>
    <t>d.;.... 21. 12. Id. Josef García.............. , Baltasar, María Piornada. Castromil.... Orense........... 300. 8. Muerto. Santiago González........ Esteban.,' Joseía Rosa......... Rio-Vega.... León* 4■•&gt;••</t>
  </si>
  <si>
    <t>Josef Garrido</t>
  </si>
  <si>
    <t>51. 3. Id. Josef Garrido..................... . Marcelo, Luisa Arias...... Loirodeabaxo.Sobrado...... 340. 30. Id. Agustín García............. . . Andrés, Juana Sánchez.... Tornavacas... Plasenda..... 41.</t>
  </si>
  <si>
    <t>Josef Gómez</t>
  </si>
  <si>
    <t>40. 12. Id. Josef Gómez....................... Josef, Romana Puga....... Armariz........Orense.. ISO. 11. Id. Manuel del Olmo.............. Josef, Angela Marcos....... Lav</t>
  </si>
  <si>
    <t>2. Licenciado. Josef Gómez......... ................Manuel, Josefa Castro......... S. Mamed... Otero del Rey. 160. 20. Muerto. Juan Antonio Alvarez........ Francisco, María flaquera.. Tabueyja...</t>
  </si>
  <si>
    <t>Josef González</t>
  </si>
  <si>
    <t>...... 201. ir. Id. Josef González........... ........... Josef, Josefa Miranda........Madrid....... Madrid......... 300. 8. Presidio.' Domingo de Castro.. ........ Matías, María de S Pedro. Quintanilla...</t>
  </si>
  <si>
    <t>....... 113. 8. Id. Josef González............. Manuel, Isabel Rodríguez. Lamas............. S. Clodio.... us&gt; 6. Id. Matías Barreyro.............. Vicente, Vicenta Cancela.. Sta. María de</t>
  </si>
  <si>
    <t>Josef Guerrero</t>
  </si>
  <si>
    <t>...... 430. «2. Id. Josef Guerrero.................... Salvador, Ana Beteta..*,. . Arpio............... Murcia........... 128. 17. I&lt;L. Josef Alvarez........................ Juan, María Rodríguez... Linares........</t>
  </si>
  <si>
    <t>Josef Higueras</t>
  </si>
  <si>
    <t>...... 414. 16. Id. Josef Higueras.................... Francisco, Juana Guisado.. Jaén............ Jaén............. 160. 24. Id. Pedro Arricado................... Juan, Juana Linea............. Santander.... San</t>
  </si>
  <si>
    <t>Josef Hortelano</t>
  </si>
  <si>
    <t>..... 1090. 20. Id. Josef Hortelano.... Francisco, Angela la Casa. Valverde...... Cuenca......... 135. 14. Muerto. Manuel Borrego... Antonio, María Llano</t>
  </si>
  <si>
    <t>Josef Lucio</t>
  </si>
  <si>
    <t>Muerto, Josef Lucio ....... ....... . Alonso , Manuela Boyero., Salces............. Zamora......... 18. Id. Tomas Gutiérrez.............. . Manuel, Teresa</t>
  </si>
  <si>
    <t>Josef Marín</t>
  </si>
  <si>
    <t>29. 22. Muerto. Josef Marín.......................... Fernando,DoroteaSta.María.Arenzana ...» Sto.Domingo. 13. 13. Id. Vicente García..................Tadeo, Ursula Calvo............... Abajas .........</t>
  </si>
  <si>
    <t>Josef Martinez</t>
  </si>
  <si>
    <t>...... Los Baños.., Josef Martinez.................... Martin, Josefa Rodríguez. Hospital de 310. 16. Licenciado,</t>
  </si>
  <si>
    <t>...... 371- ao. Id. Josef Martinez............ Manuel, Ana Ortega......... Amusco......... Palencia..... 285. Id. Josef Fierro.......................... Blas, Ma</t>
  </si>
  <si>
    <t>Josef Meodez</t>
  </si>
  <si>
    <t>1. Pa6Ó á Zaragoza. Josef Meodez....................... Francisco, Lucía Prieto.... Morales........ Zamora......... 200. 9. Muerto. Villa</t>
  </si>
  <si>
    <t>Josef Miguelez</t>
  </si>
  <si>
    <t>...,.. 303. 19. Id. Josef Miguelez........... . Lorenzo, Rosaura Fresno. Busendos....... León........... ... 350. 10. Id. Pedro González. ... ......... . Mateo, María Andrés....... Valderas...</t>
  </si>
  <si>
    <t>Josef Murrueta</t>
  </si>
  <si>
    <t>...... 3*°- 32- Id. Josef Murrueta.................... Vicente, Micaela Villarroel. Torrenueva.. Infantes........ 13. 23. Id. Juan Hernández....... ........... Juan, Bernarda Adriana;.... Nava...</t>
  </si>
  <si>
    <t>Josef Otero</t>
  </si>
  <si>
    <t>.... .. 562. 8. Id. Josef Otero.................. . Cayetano , Luisa Vega....... Búrgos........... Búrgos......... .. aa. 29. Id. Diego de Viar.............. Josef, María</t>
  </si>
  <si>
    <t>Josef Pascual</t>
  </si>
  <si>
    <t>Licenciado. Josef Pascual....... ............... Roque , María Beresueta... Logroño.......... Logroño......... 50. si. Id. Luis Gatimies....................... Josef, Teresa Gonz</t>
  </si>
  <si>
    <t>Josef Pérez</t>
  </si>
  <si>
    <t>. 8. 32. Id. Josef Perez....................... . 30. 18. Id. Miguel Losada....»........ ,. Padre incógnito, María Lo- Cas</t>
  </si>
  <si>
    <t>Josef Ponce</t>
  </si>
  <si>
    <t>34. 30. Id. Josef Ponce.......................... Sebastian, Margarita Quijada........................... . Villamez........León................. 463. 8. Licenciado. Fernando García.................. M</t>
  </si>
  <si>
    <t>Josef Prieto</t>
  </si>
  <si>
    <t>17* Id. Josef Prieto....................... ; Juan, Angela Puerta.......... Valverde.... León............. 28).. 19. Id. Francisco Rodríguez.......... Juan, Antonia Sánchez.... Sta.Euge</t>
  </si>
  <si>
    <t>Josef Ribera</t>
  </si>
  <si>
    <t>...... 195* 20. Id. Josef Ribera........................ Josef, Josefa Cadavid....... Villaverde... S. Clodio.... 9S. 19. Id. Josef Baba fia..................... . Pedro, Fra</t>
  </si>
  <si>
    <t>Josef Roxo</t>
  </si>
  <si>
    <t>32. 23. Id. Josef Roxo................... . Antonio, Bárbara Perez... Sta. María... León............ . s. 17. Id. Juan Antonio CUbillas........ Alonso , María Diez..</t>
  </si>
  <si>
    <t>Josef Ruiz</t>
  </si>
  <si>
    <t>16. 20. Id. Josef Ruiz............................ Pedro, Manuela García;... Rebolledo.... Aguilar......... Severo Martin..................... Ambrosio, Mónicá Duque. Valladolid.... Valladolid....</t>
  </si>
  <si>
    <t>Josef Sánchez</t>
  </si>
  <si>
    <t>74* 17. Licenciado. Josef Sánchez.................... . Tomas, María Romera.... Losan........... Plasencia......... 617. 8. Presidio. Eusebio Ribas..................... i Juan, Manuela Castro....... Sarria........</t>
  </si>
  <si>
    <t>Josef Utrera</t>
  </si>
  <si>
    <t>02. 23. Licenciado* Josef Utrera............. Antonio, Manuela Gotera.. Puebla de.... Sanabria............. 608. Id. Esteban Gómez.......... Jacinto,</t>
  </si>
  <si>
    <t>Josef Veloso</t>
  </si>
  <si>
    <t>...... 37. ¿¿^Idl ‘ Josef Veloso.......................... Juan Agustina Perez........ Latorre........ Orense--------- 4. 27. Id. Casimiro García.................. Santiago , Teresa García... Rioseco...</t>
  </si>
  <si>
    <t>Josef Ximenez</t>
  </si>
  <si>
    <t>....... 136. 4. Id. Josef Ximenez................ . Gregorio, Francisca Padilla. Guadix.......... Guadix........ . 270. is. Id. Juan Fernandez................. Mateo, Micaela Perrero... Riego............ Zamor</t>
  </si>
  <si>
    <t>Josef Ximeno</t>
  </si>
  <si>
    <t>77. 4. Id. Josef Ximeno....... .............. . Agustin , Sebastiana Arri- ........................ bayo...............</t>
  </si>
  <si>
    <t>Josepb Pajares</t>
  </si>
  <si>
    <t>azo se les asigna, acudan por el tribunal del Alcaide mayor de Cartagena, y escribanía de número de D. Josepb Pajares, por sí ó por apoderado, á encargarse de los bienes que han quedado por fallecimiento de dicha Rosalía Ximenez: con apercibimiento que no haciéndolo, se venderán, y su producto se</t>
  </si>
  <si>
    <t>Joseph Dionisio</t>
  </si>
  <si>
    <t>omas Blanco Cabrera, D: Felipe Bausá,:0on Favio Aliponzoni, .D. Jacobo Morfi, D. Madano Isazbinbil, D. Joseph Dionisio: de Rivera, D. Andrés Otero , D.Franci co Dáviji y :Guzma[n.&gt; Don Lorenzo JJrtu^austegui, n. Juan Joseph Velasco, D. Benito Ortiz Llagu-r ¿o, D, Antonio Caípptiz3no , D. Joaquín,í</t>
  </si>
  <si>
    <t>Joseph Joachín</t>
  </si>
  <si>
    <t>ha promovido S. M. á Director al en xefe D. Fausto Caballero; y á ordinarios á los extraordinarios D. Joseph Joachin.de Pineda, D. Alberto de Córdoba, D. Francisco Martí y D. Joseph Santa Cruz. En América. El Rey se ha servido nombrar para el Arcedianato de la catedral de Sta. Cruz de la Sierra,</t>
  </si>
  <si>
    <t>Joseph Nicolás</t>
  </si>
  <si>
    <t>de Estado de la República bátava, han nombrado por sus Plenipotenciarios; á saber, S. M. Católica á D. Joseph Nicolás de ¿\zara, caballero Gran Cruz de la Real orden de Carlos iii, Consejero de Estado, y su Embaxador extraordinario cerca de la República francesa; y el Gobierno de Estado de ia Repúbl</t>
  </si>
  <si>
    <t>Joseph Ramón</t>
  </si>
  <si>
    <t>nes cónicas, series, cálculo diferencial é interal, dinámica y estáticaasistidos1 de su catedrático D. Joseph Ramón de f barra, Capitán* de Ingenieros Cosmógrafos de i&amp;tado. Demostraron los alumnos con singular inteligencia las' proposiciones que les fueron pregurttadas-por varias personas del num</t>
  </si>
  <si>
    <t>Joseph Salvador</t>
  </si>
  <si>
    <t>. Ignacio de la Quintana, D. Agustín Lasala, D. Pedro Nolasco dei Rio, Don Joseph Sabido de Vargas, D. Joseph Salvador, D. Francisco Muñoz y San Clemente , D. Juan Antonio de laMata,D. Alexo García Condes Don Antonio Alvarez Ximenez, y D. Manuel Salcedo. A grado de Coronel los Tenientes Coroneles!</t>
  </si>
  <si>
    <t>Josepha</t>
  </si>
  <si>
    <t>ción que.se da a los ñiños y ninas en las escuelas. Flabiéndose presentado las ninas con su maestra Dona Josepha, Marcial a de Anteparaluceta , fuéron examinadas en doctrina christiana y manifestaron completa instrucción en el catecismo de Ripalda , y en el método y.realas para recibir digna</t>
  </si>
  <si>
    <t>Josephá</t>
  </si>
  <si>
    <t>iruela vacuna con sus-verdaderos fenómenos de tal, cuya inoculación nó pudo practicarse, en la Sra. Doña Josephá, , de edad de cerca de 4 años, por una particular indisposición. No se ha visto hasta ahora que dichos seis inoculados hayan sido acometidos de viruelas naturales , sin embargo de</t>
  </si>
  <si>
    <t>Josepha de Herrera y Retes</t>
  </si>
  <si>
    <t>Carpió, dé la de una fianza de ducados otorgada para su administración por los testamentarios de la Doña Josepha de Herrera y Retes , á cuya seguridad se hipotecaron unas casas sitas en esta corte en la calle de S. Rartc lomé , señaladas con el núm. ai : rcon apercibimiento que pasado dicho término sin hab&lt; rí</t>
  </si>
  <si>
    <t>Josepha de Herrera y Retes, María</t>
  </si>
  <si>
    <t>María Josepha de Herrera y Retes</t>
  </si>
  <si>
    <t>ien les representen, para que en el término de ¿o días comparezcan en los autos de testamentaría de Doña María Josepha de Herrera y Retes, viuda de D» Felipe Zapata , administrador que fué del estado de Conquista, radicados,en su juzgado y escribanía de D. Gervasio Feruax dez Izquierdo , y presenten el estado de ío</t>
  </si>
  <si>
    <t>Josepha Lexalde y Almazan</t>
  </si>
  <si>
    <t>es de legítimo matrimonio, como herederos nombrados de los bienes que dexó por su muerte su hermana Doña Josepha Lexalde y Almazan, acudirán ¿ legitimar su derecho ante D. Agustín Kamis, Canónigo de la catedral de Tarazona, en Aragón , executor testamentario de la difunta ^ y de no hacerlo Ee les seguirá perj</t>
  </si>
  <si>
    <t>Josepha Rebolledo de Palafox, María</t>
  </si>
  <si>
    <t>María Josepha Rebolledo de Palafox</t>
  </si>
  <si>
    <t>e 23 del corriente. El 31 de Enero falleció en esta corte de edad de 79 años y medio la Excma. Sra. Doña María Josepha Rebolledo de Palafox, Castro y Urries; Duquesa de Granada de Ega, viuda; Grande de España de primera clase ; Camarera mayor que fue de la Serenísima Sra. Infanta Doña María Ana Victoria, y Dama Noble</t>
  </si>
  <si>
    <t>Josepha Xaviera</t>
  </si>
  <si>
    <t>o tínico el 6 dé Diciemere del año pasado cpnr fluido que* le remitió.enfre-cristales ia Ekcma. Sra.Doña Josepha Xaviera de ^alá. Pero^poco satisfecho con qué este singular preservativo del azote de viruelas quedase sepultado en ei expresado su hijo , determinó proponer los efectos favorables</t>
  </si>
  <si>
    <t>Josepha, María</t>
  </si>
  <si>
    <t>María Josepha</t>
  </si>
  <si>
    <t>. JosepÜ de Ocariz, Ministro residente de España, comunicado al Señado la muerte de la Sra. Infanta Doña María Josepha, hermana de S. M. Católica, hómbró el Senado una diputación que en su nombre pasó á ifianifestát ál Ministro el sentimiento que le causaba esta triste noticia. Hablase de la venta</t>
  </si>
  <si>
    <t>Enero. &lt;n la iglesia de la corte se celebráron el dia 16 solemnes exequias por A. R. laSra. Infanta Doña María Josepha, como Dama de la orden de la Cruz estrellada. La Emperatriz, la Reyna de Ñapóles y sus hijas asistieron á esta ceremonia, como también la Gran Duquesa y todas las Damas de dicha o</t>
  </si>
  <si>
    <t>Josephi</t>
  </si>
  <si>
    <t>el mayor acierto á presencia de muchos facultativos así de la ciudad como forasteros. Se espera que Mr. Josephi publique el método que observó en esta ocasión, con la descripción circunstanciada de un suceso tan extraordinario, y en que interesa no menos la medicina que la historia natural.</t>
  </si>
  <si>
    <t>JosephjRaux, Nicolás</t>
  </si>
  <si>
    <t>Nicolás JosephjRaux</t>
  </si>
  <si>
    <t>Las Ultimas carta&amp; de i82nton en la: China«&gt; recibidas por el navio Reql 'Alniifañte ^réfieren que ^Mr. Nicolás JosephjRaux t xefe de los misioneros ijrauceee^'Uégdoá vP&amp;jju «1' dih 3 de* Setiembredel-añoúltimo: vid al Em*perador/y aquel Soberano lé: concedió permiso para. exercér las funcionéis deír s</t>
  </si>
  <si>
    <t>JosephTde</t>
  </si>
  <si>
    <t>ncgra, D. Juan Coronado, D. Joseph Doronzoro, D« Joseph R.eynoso Roldan , 0. Angel Crespo Martínez, D. JosephTde^éspj^§, Í&gt;; Antonio Van-halen y Morfi, Don Joseph Bernia , &lt;D.j6sephBrandaTÍs ,D. igna.cio Meftdizafcaí, D. Fernando Noguera, D. Pedro Agar y Bustiilos, D. Joseph Salazar y Rodríg</t>
  </si>
  <si>
    <t>JosepK Antonio de Estrada</t>
  </si>
  <si>
    <t>de la colegiata de Ntra. Sra. de Guadalaxara, vacante por fallecimiento dé D. .Victoriano Plama,; á D. JosepK Antonio de Estrada, Cura delpartído de Tecoaleya; y para una Media-Radon de la catedral de Durahgo, .vacante por renuncia de D. Juan Rodríguez Granados, á D. Fernando ■ Cortes, " ■ del Rey. ‘ * * i</t>
  </si>
  <si>
    <t>JosepK Siiarez</t>
  </si>
  <si>
    <t>a impuesto. Los Cadetes, D&gt; Francisco Caamaño y Romero , !). Ale*xandro Monfort, D. Manuel Piñeyro, D. JosepK Siiarez, D. Alfonso Gutiérrez , D. Asensio Rosique y D. Cáelos López Vidal * fuéron ¡examinados de ordenanza, aritmética y principios de geometría, y lo continuó D. Do» .mingo de lá Igles</t>
  </si>
  <si>
    <t>Josepli</t>
  </si>
  <si>
    <t>rges, Médico consultor de los Reales exércitos, y D. Ventura Roca, y por los Licenciados en cirugía D. Josepli</t>
  </si>
  <si>
    <t>Joséplt de Luna</t>
  </si>
  <si>
    <t>óMaZuéloq ; flDLsLuiis Alifíélá J Dí Joaquín: ¡Domínguez y'./JoaquinMontenegro,* B^Atnéonio Záfate^ D. Joséplt de Luna, D. Christóbahde Rey na, D. Joaquin de‘Miguel, Ooñf Joaquin Crame, D. Miguel Antonio Panes ^D.5Ramón Tovar y¡ IX RamOii Cucalón. . . ’ -- * - . ..j-. - * j^ ¿^ »i -4. *. *. ¡ x l*</t>
  </si>
  <si>
    <t>Josepn Villavicencio y IX Luis Goqneíin</t>
  </si>
  <si>
    <t>co Mancha, D. Antonio Delgado, í&gt;.; Jóseph Cardona7, JX Francisca Mantener .gro, D. Antonio Quirós, D. Josepn Villavicencio y IX Luis Goqneíin; y en la tercera D. Antonio Letoná y - D. Joseph Ducascar. A los det estas ^^^P^^^^O ^P^ ^ ^ci^fentp^é.se esnéStífca^e su ap^ar cion,y del esmero de su maestro. i ¡yú-.-'J'■ :v *</t>
  </si>
  <si>
    <t>Josepn Zuaznavar y Francia</t>
  </si>
  <si>
    <t>chaval y Orueta, D. Pedro Ballesteros y Patino, Don Pedro Afán de Rivera, D. Benito Prieto Solares, D. Josepn Zuaznavar y Francia, D. Joseph Julián Jovani, D. Luis Moreno y Mendoza, D. Franf cisco Basurto y Vargas, D. Joseph de lá Azuela, P. Antonio Castaños, D. Ignacio Acedo, D. Francisco García González, D</t>
  </si>
  <si>
    <t>JosepnConde de Vallejo</t>
  </si>
  <si>
    <t>is de Salamanca: para el Arciprestazgo de Tovalina, en la diócesis de Burgos, vacante por muerte de D. JosepnConde de Vallejo, á Don Matías Paredes : para una Canongía de la catedral de Pal encía, vacante por promoción de D. Amonio Moreno Ximenez de Roxas á una de Cuenca, áD. Felipe de Villalobos ‘/para</t>
  </si>
  <si>
    <t>JosepÜ de Ocariz</t>
  </si>
  <si>
    <t>l Reyno, con particularidad en el Báltico y en la isla Gothlandia. Hamburgo 1$ de Enero. H abierido D. JosepÜ de Ocariz, Ministro residente de España, comunicado al Señado la muerte de la Sra. Infanta Doña María Josepha, hermana de S. M. Católica, hómbró el Senado una diputación que en su nombre pa</t>
  </si>
  <si>
    <t>Josqph, Juan</t>
  </si>
  <si>
    <t>Juan Josqph</t>
  </si>
  <si>
    <t>Pardos libres de Panamá ; y la del esquadroñ, de dragones de Milicias discipliríadas del Coroza! á D. Juan Josqph.Indaburu, Capitán del cuerpo veterano de infantería de Quito.; Te</t>
  </si>
  <si>
    <t>Joubert</t>
  </si>
  <si>
    <t>imos militares premiados con sables de honor por el primer Cónsul se cuentan el ciud. Joubert, Capitán de la. media brigada de infantería de línea num. 85, que en la acción de Rivoli hallándose al frente de un destacamento de 50 hombres de su compañía,</t>
  </si>
  <si>
    <t>Jouen, Pedro</t>
  </si>
  <si>
    <t>Pedro Jouen</t>
  </si>
  <si>
    <t>reuil; á esta resulta al primer Tenieñte D. Carlos de España; á la de este al segundo de granaderos D. Pedro Jouen; á segundo Teniente de granaderos al de fusileros D. Luis Derobert Duchatelet; á segundo Teniente al Subteniente de granaderos J)..Santiago Noguer; á esta resulta al primer Subten</t>
  </si>
  <si>
    <t>Jouffroi</t>
  </si>
  <si>
    <t>mayor extensión á la biblioteca , la qual tendrá entonces 250 pies de largo. El ciud. Jouffroi está solicitando una patente para hacer uso de una invención suya, que consiste en dirigir una lancha por los rios y contra su corriente, sin mas impulso que una</t>
  </si>
  <si>
    <t>Jourdan, General</t>
  </si>
  <si>
    <t>General Jourdan</t>
  </si>
  <si>
    <t>en las aguas de Terracina. Turin 7 de Diciembre. L os Prefectos de los departamentos han enviado al General Jourdan, Administrador del Piamonte, la lista de los alumnos de este pais destinados para el Pritaneo francés. Las tropas piamontesas se van incorporando con las de Francia según sus dife</t>
  </si>
  <si>
    <t>ciones serán convocadas dichas juntas en asamblea general por otro decreto.” Tnrin ij de Enero. E 1 General Jourdan recibió el 25 un extraordinario despachado de León, y dos horas después salió para aquella ciudad.</t>
  </si>
  <si>
    <t>las llamas , de suerte que solamente el teatro pereció. Turin 27 de Enero. D esde León escribió el General Jourdan á esta junta de gobierno díciéndolc que el primer Cónsul habia aprobado todas las proposiciones que le hizo para mejorar la suerte de los 6 departamentos nuevos de Píamente. Asimi</t>
  </si>
  <si>
    <t>aves, que juntó en su viage, y forman una colección •muy preciosa. Hállase ya de vuelta en Turin el General Jourdan, Administrador general de Piamonte, en donde se esperan quanto antes las resoluciones definitivas sobre el gobierno de aquel pais. De Strasburgo avisan que en Mullíausen, departam</t>
  </si>
  <si>
    <t>zo en el congreso He León’relativamente á esta República. •- ... .i'-.- Ttirin 2 / de* Marzo. - Jtk General Jourdan, Administrador general del Piañtionte, ha concedido socorros á 5 conventos» de religiosas de está ciudad ; yí habiendo señalado una buena; pensión: á 6 ó 7- religibsos * .qué comp</t>
  </si>
  <si>
    <t>ndrá que pagar mas que i.Sco© francos, y el mes siguiente 1.600©. Tarín 27 de Marzo. H a mandado el General Jourdan se restituyan al Abad de S. Benigno los bienes que se le habían seqüestrado, y cuya renta asciende á 9© libras. Asimismo, ha dispuesto se paguen las pensiones concedidas por el an</t>
  </si>
  <si>
    <t>yo. d :rr— JL/os fabricantes de paños de Ormea, Coni, Mondoví y otras ciudades hicieron presente al General Jourdan él atraso de- sus fábricas, y tsu¡-dmposi-: bilidad de mantener gente en ellas por falta dé fondos; y pedían por auxilio 1 o© libras cada uno, pagando por ellas 10 por ioo'de rédi</t>
  </si>
  <si>
    <t>Joúrdan, General</t>
  </si>
  <si>
    <t>General Joúrdan</t>
  </si>
  <si>
    <t>ctura magnífica. Por la noche habrá soberbias funciones de pólvora. Turin 11 de Julio. D eseando el General Joúrdan que en la 27 división militar cesasen la inquietud y los rezelos que podrían tener algunos ciudadanos sobre la suerte del Piamonte, publicó en el diario de oficio de su jurisdicci</t>
  </si>
  <si>
    <t>ella, y se les confiscarán sus bienes en beneficio del tesoro público.” Con este motivo publicó el General Jourdan la proclama siguiente: ^Ciudadanos. Quando todos los pueblos de Europa gozan los beneficios de la paz; quando por medio de negociaciones sabias se fixan los límites de todas las pote</t>
  </si>
  <si>
    <t>s por la ascensión de un aeronauta. Hubo también bayle en las muchas salas dispuestas para ello. El General Jourdan, Administrador del Piamonte, dio por su parte una espléndida comida, y por la noche cena, sarao y otras diversiones. Brusélas jo de Setiembre. P or resolución del Consejo de Estad</t>
  </si>
  <si>
    <t>Jovani, Joseph Julián</t>
  </si>
  <si>
    <t>Joseph Julián Jovani</t>
  </si>
  <si>
    <t>steros y Patino, Don Pedro Afán de Rivera, D. Benito Prieto Solares, D. Josepn Zuaznavar y Francia, D. Joseph Julián Jovani, D. Luis Moreno y Mendoza, D. Franf cisco Basurto y Vargas, D. Joseph de lá Azuela, P. Antonio Castaños, D. Ignacio Acedo, D. Francisco García González, D„ Francisco Xaviejr Pined</t>
  </si>
  <si>
    <t>Joven de Salas, Joaquín</t>
  </si>
  <si>
    <t>Joaquín Joven de Salas</t>
  </si>
  <si>
    <t>1 Rey se ha servido nombrar para el Deanato, Dignidad y primera Silla de la catedral de Tarazona á D. Joaquín Joven de Salas, Canónigo Doctoral de la misma: para la Dignidad de Arcediano mayor de la catedral de Barcelona, vacante por fallecimiento de D. Felipe Paysa, á D. Pedro María de Marimon y Bail:</t>
  </si>
  <si>
    <t>Jqaa</t>
  </si>
  <si>
    <t>eacionvpr'o^ moviendo á Subtenientes • del- • másmo Rezh ouérpo ái ÍX Amtomói ^ IXqJoiseph Vargas , D. Jqaa:Estellér 4 •lojisóMaZuéloq ; flDLsLuiis Alifíélá J Dí Joaquín: ¡Domínguez y'./JoaquinMontenegro,* B^Atnéonio Záfate^ D. Joséplt de Luna, D. Christóbahde Rey na, D. Joaquin de‘Migu</t>
  </si>
  <si>
    <t>Júait</t>
  </si>
  <si>
    <t>í&gt;; Jüan _Antómo : Ribera reécuítí&amp;ra, ál D. Júait. Reyes i 'arqtiitéctiira, % D. Juan, íerez Juaná. Segunda clase» Medallas de oto de una onza. Pintura, á D- Joseph Alonso del Ribero: escultura, áD.Manuel&lt;3arcía Baillo : arquitec</t>
  </si>
  <si>
    <t>JuamlLopez Fando</t>
  </si>
  <si>
    <t>las 4, 3 cel. y 6 estad, de que se compone este pedazo zggp rs.: acuda i la escribanía de número de D. JuamlLopez Fando, que se admitirán las posturas y mejores que se hicieren: y está sefialado para el remate de dichas fincas el dia ¿o de éste mes á las xz.de su jnsfiana en la audiencia del Sr. Te</t>
  </si>
  <si>
    <t>Juan Alonso</t>
  </si>
  <si>
    <t>65. 25. Id. Juan Alonso.......... ........... Josef,Ursula Lúeas....... Galvarros.... Búrgos.......... 622. 12. Id. Alonso Bravo .......:........ Diego, María Barrantes... Cáceres......... Cáce</t>
  </si>
  <si>
    <t>Juan Antonio</t>
  </si>
  <si>
    <t>*4 rs., se ha señalado el sábado 30 de este mes á las 12 de su mañana en la audiencia del mismo Sr. D. Juan Antonio* Santa María, por ante D. Antonio Fernandez, Escribano del número.. * Por providencia de 14 de este mes del Sr. D. Ignacio Martínez de Viliela, del Consejo de S. M., Alcalde de su</t>
  </si>
  <si>
    <t>■. ... . ... ' 547 diencia del Sr. D. Juan Antonio. Santa María, teniente Corregidor de esta vllla^ y escribanía-de número , que exerce B. Tomas de Sancha y . Prado. Para el remate de dos casas contiguas, sitas en la calle del Ayu</t>
  </si>
  <si>
    <t>lasco dei Rio, Don Joseph Sabido de Vargas, D. Joseph Salvador, D. Francisco Muñoz y San Clemente , D. Juan Antonio de laMata,D. Alexo García Condes Don Antonio Alvarez Ximenez, y D. Manuel Salcedo. A grado de Coronel los Tenientes Coroneles! en España. D. Mateo Iruegas, D. Narciso Belloc, D. Agustra</t>
  </si>
  <si>
    <t>Juan Bautista</t>
  </si>
  <si>
    <t>Medallas de tres onzas de plata á D. Antonio Poza y: Muñoz ,. y á D. Evaristo Rubian: escultura, á D. Juan Bautista: arquitectura á D. Miguel Antonio Maríchalar. Grabado de estampas.^ Medallade úna onza de oro á D. Manuel Alvaréz Mon. Perspectiva. Medalla deunaidii* za de oro á D. Angel Humanes</t>
  </si>
  <si>
    <t>Juan Francisco</t>
  </si>
  <si>
    <t>amentarios de dicho Vicuña, dirigieron desde la ciudad de S. Sebastian el 14 de Setiembre de 1801 á D. Juan Francisco deLezeta,de Cádiz,un vale Real de 300 pesos, crea* cion de t.° deJVIayo, núm. 482,715 $ y habiéndose extraviado, quien supiere de él avisará en S. Sebastian al referido Urrutia, en M</t>
  </si>
  <si>
    <t>Juan Joseph</t>
  </si>
  <si>
    <t>Maceda , y Doña Catalina Herrera, viuda, de D. Juan de Lucena y Prada , y única heredera de su hijo D. Juan Joseph , administrador que fue del estado de Tcvaruela, sobre aprobación de las cuentas presentadas de dicha administración. Estos autos estuviéron suspensos por algún tiempo} pero habié</t>
  </si>
  <si>
    <t>ázquez, D. Manuel Quiroga y Cornide, D. Gonzalo4H¿1 Lema, D. Xavier García Flores, D. Rosendo Abal, D. Juan Joseph. Navajas, D. Juan Patricio Rodríguez, D. Joseph Benito Romero, D. Joaquín de Ponte, D. Joseph Molina, D. Lázaro de Avila, D. Baltasar Calvache, Don Francisco Ruiz, D. Alfonso Rami</t>
  </si>
  <si>
    <t>Juan Miguel</t>
  </si>
  <si>
    <t>áximo du-Bouchet; á esta resulta á D. Antonio Castilla, y á la de Alférez, que este dexa, ai Cadete Don Juan Miguel du-Bouchet: en el regimiento de milicias disciplinadas de infantería de la Havana, á Tenientes Veteranos de granaderos los de fusile* ros D. Joseph Ximenez, graduado de Capitán, y D.</t>
  </si>
  <si>
    <t>Juan Ramón Mateo</t>
  </si>
  <si>
    <t>59. 31. Id. Juan Ramón Mateo.. S Francisco.. Ciudad-Rodrigo.............. ... 305. ». Id. Josef García...............</t>
  </si>
  <si>
    <t>Juan Salvador</t>
  </si>
  <si>
    <t>nombrar eñ el cuerpo veterano de infá'ntéríaidé Quito á Capitanes á los Tenientes Pablo Martínez y Don Juan Salvador ; á Téniéhtes á los Subtenientes D. Nicolás Aguilera -y Don Gaspar dé Santistébán y' á Subtenientes á los Cadetes D. Joseph de Gastro y í). Manuel Aguilar. Catón español político</t>
  </si>
  <si>
    <t>Juan Vicente</t>
  </si>
  <si>
    <t>jde?Ezéta^ M Nie¿la^ EltfadH, seph Pascual de Bonanza!, D.tJuanaRuiaj Apodaca t:P. Antoriio Escaño^ D. Juan Vicente, Yáñe*, D. Baltasar Cisñeros.^ D¿ JoSeph Bustarhante y Guerra \ D. Juañ Joseph GáTQWsíiD^IJPSepkíSaJcjesloj yjAliaiíCo , yiDi To^ mas ligarte y Liaño.- ¿i . -•;&lt;íri vo &gt;i r.csaoX</t>
  </si>
  <si>
    <t>Juan'López Moreno</t>
  </si>
  <si>
    <t>r prprnociop ae D. Diego de la Torre y Arce á una Canongía de la metropolitana de aquella ciudad* á D. Juan'López Moreno,Cura Párroco de la villa de Pohyoranca de este arzobispado. &gt; S. M. se ha dignado promover en el regimiento de infantería de Saboya á segundo Teniente de granaderos al dé fusilero</t>
  </si>
  <si>
    <t>Juan, Archiduque</t>
  </si>
  <si>
    <t>Archiduque Juan</t>
  </si>
  <si>
    <t>3 : dura todavía, y es de temer cause nuevos desastres á los navegantes^ Viena 26 de Noviembre. E 1 Archiduque Juan, que fué á reconocer algunas plazas del Tirol, se halla ya de vuelta aquí. ■ ' V -V v: &gt; • ; ^ y De Madrid llegó un correo á esta capital con las plenipotencias détKey de España p</t>
  </si>
  <si>
    <t>stas provincias. ¡ Se asegura que la ciudad de Trevisó se convertirá; en plaza de guerra* y que" él Archiduque Juan ;dirigirá las obras que than -de hacerse á este efecto. ' », ' ' . : ,:v ' A la entrada del puerto de Chioggia ha zozobrado un barco portugués cargado de azúcar , y toda su tripul</t>
  </si>
  <si>
    <t>os del Rey de Inglaterra; pero que de todos modos debe esto quedar al cuidado de S. M. Imperial, El Archiduque Juan volverá esta primavera á reconocer las fronteras del territorio austríaco en Italia; y al mismo tiempo señalará los parages mas á propósito para levantar fortificaciones. Se lian</t>
  </si>
  <si>
    <t>runn otro destacamento de las jpismas entró el día 4 en Buch&amp;rest. .... Ha nombrado el Emperador al Archiduque Juan por Inspector gene-? tai de marina. *"■ ,v;/?</t>
  </si>
  <si>
    <t>erritorio de S. M. I. $ y por conseqiiencia pide que lás rechacen á viva fuerza. En breve saldrá el Archiduque Juan para Trahsilvania, á fin de dar las disposiciones que requiere este asunto. Se ha suprimido la orden de que no se recibiesen abogados hasta nueva disposición del Emperador; pero e</t>
  </si>
  <si>
    <t>co, que la guardia interior del serrallo estaba de continuo sobre las armas. Viena 4 de Agosto. E 1 Archiduque Juan despacha actualmente la Presidencia del Gohsejo de Guerra, y firma todos los asuntos en nombre del Archiduque Carlos. Ha pedido el Emperador le presenten un proyecto para renovar los</t>
  </si>
  <si>
    <t>,~ Se envuñ mas tropas,austríacas á las fronteras de Turquía, adondesé* gun dicen se. trasladárá él Archiduque Juan para vi sitar el cordori, .El objeto de estas disposiciones es poner en estado de defensa aquellas i provinr cías austríacas. ■ ; -o ■ : -. : En toda esta parte délos dominios del</t>
  </si>
  <si>
    <t>JuanBernazi y Retamar</t>
  </si>
  <si>
    <t>es, D. Juan Antonio Careaga, D. Vicente Foxa y Montúfar, D. Rosendo Porlier, D. Joseph Iturrigaray, D. JuanBernazi y Retamar, D. Ramón Blanco Criado, D. Pedro Valencia, D. Tomas rando, D. Antonio Aguirre y Villalba, D. Joseph González y Ortiz, D. Antonio. Aguilera, D. Ciríaco de Plano y GarayyD.1 Pedro</t>
  </si>
  <si>
    <t>JuanCasou</t>
  </si>
  <si>
    <t>en la Real casa Aduana, y en las provincias á los CQ* ínisionados siguientes : En Alicante......... D. JuanCasou y compañía. En Avila............... D. Fernando de Echepare y sobrinos. En Badajoz.......... D. Estéban de Valdivielso. En Barcelona..D. Ramón de Llórdella é hijo. En Biirgos.......</t>
  </si>
  <si>
    <t>JuanEantista Geram</t>
  </si>
  <si>
    <t>opoldo Menead», P- JosephTorres, D. Luis Vidarte, i D-Í'o¿qum del ÍÜo, D. Frabciscf» trespalaeios y D, JuanEantista Geram; los seminaristas D. Joseph María Munive y D. Agustín Duran ajo fueron examinados por indisposición de salud. Todos los concurrentes aplaudieron en esta variedad de ramos, así los</t>
  </si>
  <si>
    <t>Juanes, Domingo</t>
  </si>
  <si>
    <t>Domingo Juanes</t>
  </si>
  <si>
    <t>443- 11. Id. Domingo Juanes.................. Juan , Catalina Padierna.. Padierna.......... León......... 4&gt;o. 22. Id. Toribio Martinez................. Santiago , Teresa Oma</t>
  </si>
  <si>
    <t>JuanNuñez</t>
  </si>
  <si>
    <t>D. Benito Tolra Lafita , D. Serafín Alonso, D. Rafael Nestares, D. Joaquín Ruiz, D. Miguel Aguirre, Don JuanNuñez , D. Juan Navarro , D. Anselmo Plaza , D. Francisco González de la Vega, D. Joseph Antonio de Terán, D. Vicente Vázquez, Don Juan Vázquez, D. Manuel Quiroga y Cornide, D. Gonzalo4</t>
  </si>
  <si>
    <t>Juano, Manuel</t>
  </si>
  <si>
    <t>Manuel Juano</t>
  </si>
  <si>
    <t>cí^^Ria«Í segundo y quarto, xefes 4eJ mismocuerpo y otros concurrentes., Losde primera clase iuéron D. Manuel Juano, D. Manuel Catrera y D. Antonio Chicheri soJbre;yarjo? puntos ^ J^ ordena^ailliálilirí y se*vfc*&gt; *y¿Mg®hasipartéf;i4«. 4e cpsmog^g^ y geografía ¿ilgebr^y dlEjixo ;*&lt;y ios .3 pres</t>
  </si>
  <si>
    <t>Juano, Pedro Antonio</t>
  </si>
  <si>
    <t>Pedro Antonio Juano</t>
  </si>
  <si>
    <t>última se omitid que D. Antonio Vila y Camps es Obispo de Menorca &gt; para cuya resulta está nombrado D. Pedro Antonio Juano. -Se halla vacante él partido de Médica del lugar de Na valúe i líos dé Toledo y Talavera: su dotación es de r‘$. cobrados, ppr a,Justicia, sin incluir el estado eclesiástico. Con</t>
  </si>
  <si>
    <t>Juáp</t>
  </si>
  <si>
    <t>D.Pablo de la Puerta, D. Joseph Ruiz'Huidobrq, Di Francisco Sotómaycr, D. Matías- Bayoti; y Rayón, D. Juáp de $als¿ Bcxadórs J D. Manuel Nuñez Portocarrero, D; Ramón Losada y QuíVos, D. Joaquín Goñi y&gt; San Juan ¿D. Mahuel Agüero y Ruiz, D.'Joaquín de Salas y Falces, D. Marcos Gtirnceta, D</t>
  </si>
  <si>
    <t>Juaú Jorge, Príncipe</t>
  </si>
  <si>
    <t>Príncipe Juaú Jorge</t>
  </si>
  <si>
    <t>. ■ El Elector deSaxoniaba llamado á Dresde al l?r. Magnus de Morgan para que inocule la vacuna ai Príncipe Juaú Jorge y á la Princesa María ,de: Saxonia. ■ •:* YYYY Y.--Y;Y.Y Y V Y:Y. Y :y:f’YY' - YYs. Se ha descubierto en Dinamarca'que la práctica de la vacúna está muy conocida y se usa hace mucho</t>
  </si>
  <si>
    <t>JuaW Bássecourt</t>
  </si>
  <si>
    <t>ro Antonio TE^éjo, Don Pedro Fermín de Meiidinueta, el Marques Dpuchét, P. Ramón Fernández Idarga , D. JuaW Bássecourt, D. Jaán Joseph de San Juan; I). ToriSid Montes, D. Gerónimo Peinado, el Conde de la Torre del Freino, *DY Casimiro BofaruÜ, D."AntonioCorrea, D. Joseph Joaquín Martí, D. Mateo Ar</t>
  </si>
  <si>
    <t>Jubert, Joseph</t>
  </si>
  <si>
    <t>Joseph Jubert</t>
  </si>
  <si>
    <t>ayores y Capitanes: **-■ ' en España.. ■ ;. D. Roque Parrada, D. Joseph Lasala, D. Francisco Oviedo,D. Joseph Jubert, D. Ramón Figueroa, D. Francisco Uztariz, D. Juan de Dios Cabrera, D. Joseph Arredondo, D. Luis María Bonsteten, D. Luis Aygremont, D. Cárlos VauverdenyD. Aüigei Foxá, D. Joaquín</t>
  </si>
  <si>
    <t>Julio César Tassoni</t>
  </si>
  <si>
    <t>nero. JAI 26 del mes último llenó aquí con dos secretarios de embajada el ciud. Julio César Tassoni, Ministro de la República cisalpina cerca de este Soberano. Los piratas, aunque en corto número, siguen infestando todavía los mares de Liorna , y ce tiempo en tiempo creen algunos barcos.</t>
  </si>
  <si>
    <t>Juñan</t>
  </si>
  <si>
    <t>n oficio de Receptor de los Reples.Consejos , tasado en 1 &lt;5§ rs., perteneciente á los herederos de D. Juñan y D. Antonio Martin de Guevara. Quien quisiere hacer postura á él aci&gt;da ante dicho Sr. Alcalde por la escribanía de provincia de D. Juan Antonio Díaz Noriega. Se cita y emplaza á los</t>
  </si>
  <si>
    <t>Junot, General</t>
  </si>
  <si>
    <t>General Junot</t>
  </si>
  <si>
    <t>aprobación de cuerpos sabios.” Madama de Permont, descendiente de la casa de Commene, y suegra dei General Junot, Comandante de París, murió hace 8 dias, y fue enterrada en el cementerio de Sta. Margarita con un acompañamiento y una pompa que por no ser ahora común mereció la atención públic</t>
  </si>
  <si>
    <t>Juste Pastor Pérez</t>
  </si>
  <si>
    <t>as al Real sitio de rÓnimo en -Mádritd. fescuek. de • moral y política de los nifios: traducida por D. Juste Pastor Pérez: un tomo en 8.° marquilla. Esta bbrita es un cursa de educación práctica ó en acción; y el autor convencido dé que las máximas especulativas sirven de poco ente práctica, consider</t>
  </si>
  <si>
    <t>Justino Matute</t>
  </si>
  <si>
    <t>ue se elevan los bienhechores de la humanidad , fueron argumentos de las odas leídas por los socios D. Justino Matute, D. Félix Reynoso y D. Alberto Lista. Después siguieron ios exámenes de las ciases de matemáticas establecidas por la sociedad, .en. los quales D. Blas Vidarte, Alférez de Carabin</t>
  </si>
  <si>
    <t>Justo</t>
  </si>
  <si>
    <t>ctoría á D. Manuel Antonio de Palacio : para Teniente del Resguardo de la Factoría de. Valladolid á D. Justo* Antonio Fernandez : para Guarda de la. Factoría, de Guadalaxara á Don: Agustín Yurami: para la plaza de Oficial 3.0 de la Contaduría de la misma Factoría ú D.. Joseph Antonio de</t>
  </si>
  <si>
    <t>Justo Arison</t>
  </si>
  <si>
    <t>ndro Morales,D.Pedro Joseph de Lemus, Don Manuel Arcavna y Ximenez, D. Francisco Meñaca y Arechaga, D. Justo Arison yRooaud, D. Pedro Iriarte y Zerezera, D. Joseph Sáavedra y Chaves, D. Miguel Basabru, £&gt;. Ramón Pardo y Lama, D. Francisco Ruiz de la Escalera, D. Juan Venéro y Senli, D. Francisco</t>
  </si>
  <si>
    <t>Justo Asensio</t>
  </si>
  <si>
    <t>3"68. 5- Id. Justo Asensio....................... Jacinto, María García..:.. Aceves....... León A....... 503- 14. Id. Rosendo Alinuzarra.... ; Tomas, Eugenia Maldonado. Villa m3 ña n.. León........</t>
  </si>
  <si>
    <t>Justo de Giiemes, Manuel</t>
  </si>
  <si>
    <t>Manuel Justo de Giiemes</t>
  </si>
  <si>
    <t>politana de Zaragoza, vacante por fallecimiento de D. Ignacio de Barrenechea, Marques del Puerto, á D. Manuel Justo de Giiemes, Canónigo Doctoral del Real sitio de S. Ildefonso; y para ia Prestamera de la Miración denominada de Zaragoza, en la diócesis dé Córdoba , vacante por muerte de D. Francisco Anton</t>
  </si>
  <si>
    <t>Justo García, Juan</t>
  </si>
  <si>
    <t>Juan Justo García</t>
  </si>
  <si>
    <t>xplica en el prospecto que se da con esta gazeta. Elementos de aritmética, álgebra y geometría, por D. Juan Justo García, catedrático de matemáticas de la universidad de Salamanca: tercera impresión en 1 tomos en 8.° El autor agradecido de que se haya adoptado en la mayor parte de los estudios matem</t>
  </si>
  <si>
    <t>Justo Joseph de Cosío</t>
  </si>
  <si>
    <t>D. Luis Antonio de Musques en la fragata correo nombrada la Priucesa , pará entregar ¿ la órden de D. Justo Joseph de Cosío; y comó no se haya presentado persona alguna á recibirla, se da este aviso para que ocurra á la Coruña la persona á quien corresponda , pues se entregará acreditándolo con los doc</t>
  </si>
  <si>
    <t>Justo Pascual</t>
  </si>
  <si>
    <t>838. 13. id. Justo Pascual....................... Andrés^ juana Sánchez... Torread rada.. Aranda......... 30. 31. Id. Martin Parra....................... Juan , li aría González......</t>
  </si>
  <si>
    <t>Justo, Juan</t>
  </si>
  <si>
    <t>Juan Justo</t>
  </si>
  <si>
    <t>90. 4. Id. Juan Justo......... ................... Juan,MadalenaUntumuro. Pereyra...... Sobrado...... 195* 20. Id. Josef Ribera........................ Josef, Josefa Cadavid....... Villaver</t>
  </si>
  <si>
    <t>Kalkreuth, General</t>
  </si>
  <si>
    <t>General Kalkreuth</t>
  </si>
  <si>
    <t>II mar en Silesia un ejército al manda del General Kalkreuth. Desmienten las gazetas lo que dixéron sobre que la evacuación de Hannover se habia hecho de resoltas de una nota comunicada por el Barón de Reden, Ministro de aquel Electorado; y</t>
  </si>
  <si>
    <t>Kamis, Agustín</t>
  </si>
  <si>
    <t>Agustín Kamis</t>
  </si>
  <si>
    <t>dexó por su muerte su hermana Doña Josepha Lexalde y Almazan, acudirán ¿ legitimar su derecho ante D. Agustín Kamis, Canónigo de la catedral de Tarazona, en Aragón , executor testamentario de la difunta ^ y de no hacerlo Ee les seguirá perjuicio. M. Auleiii Clementis Prudentii carmina, ad óptim</t>
  </si>
  <si>
    <t>Kamon de Careaga</t>
  </si>
  <si>
    <t>434,078 , de 180 rs. 17 mrs., firmados ámbos por el referido D. Tomas. Asimismo remitió dicho dia á D. Kamon de Careaga 2 recibos de intereses de vales del mismo año, creación de i.° de Julio,uno de ri vales de 300 pesos,núms.44,045,63,539, 39,026, 44,820, 44,110, 49,314,38,873, 53,9&amp;3&gt; 3&lt;5&gt;798, 41</t>
  </si>
  <si>
    <t>Kastner</t>
  </si>
  <si>
    <t>1 ¿iud. Jea'n-Boii-Saint-André, Comisario general del gobierno, acompañado del ciud. Kastner, Ingeniero en xefe de puentes y calzadas , y de otros oficiales y empleados, se embarco en él Rhin en una lancha empavesada para Saint-Goar, adonde irán tambié</t>
  </si>
  <si>
    <t>Kehlgren, Capitán</t>
  </si>
  <si>
    <t>Capitán Kehlgren</t>
  </si>
  <si>
    <t>ngrienta. . Stockolmo *8 de Febrero. H an sido presentados al Rey el Sargento Mayor Klinteberg y el Capitán Kehlgren, que vuelven de Turquía, en donde han estado 7 años estableciendo un nuevo método de construcción naval, no mértos en Constantino-; pía que en otros puertos de aquel Imperio. Vien</t>
  </si>
  <si>
    <t>Keith y Mr, Lord</t>
  </si>
  <si>
    <t>Lord Keith y Mr</t>
  </si>
  <si>
    <t>e S. M, el Racoon surto en Ñapóles : avba que el dia de Navidad salió de Malta, en donde quedaban J Lord Keith y Mr. Bickerton con muchos buques de guerra en buen estado. Mr. Hlphinstone , Capitán de la esquadra, habia muerto pocos dias antes. .El General Ilutchinson, que el 24 de Diciembre fue</t>
  </si>
  <si>
    <t>Keith, Almirante</t>
  </si>
  <si>
    <t>Almirante Keith</t>
  </si>
  <si>
    <t>a las colonias holandesas. Ñapóles 23 de Noviembre. E spérase aquí parte de la esquadra inglesa dei Almirante Keith, que se reparará y abastecerá en este puerto-----Las tropas rusas de esta guarnición no hacen todavía disposiciones para su marcha; pero entre tanto observan la mas severa discipl</t>
  </si>
  <si>
    <t>erá á 12 millones de libras esterlinas *: ó 72 millones.de pesos. Ha recibido la corte pliegos; del Almirante Keith, y de resultas se ha divulgado que el General Hiitchinson quedaba enfermo. , De Piimouth y Portsmouth han salido 8 fragatas para perseguir en estos mares á los barcos de contraban</t>
  </si>
  <si>
    <t>Keith, Lord</t>
  </si>
  <si>
    <t>Lord Keith</t>
  </si>
  <si>
    <t>das para volver aquí. Sunúmero no pasaba de 10© hombres. Ayer recibió el Almirantazgo pliegos:, del,Lord Keith, escritos en ^ta á ^rf:4híQ^ubtev .Este Almirante hábia</t>
  </si>
  <si>
    <t>oviembfé, ... . . ... ;.., . H a llegado, aquí un. .bergantín,¿ingles .despachado, de Mglta por. el Lord Keith, quien preguntaba ;si atendidos los preliminareSpde paz . podrían lo* navios ingleses, entrar,Jibreiufcnte en los puertos. ,d"e Ía&gt;JppsfSiciíias. El. Embaxaáor francés, á quien se</t>
  </si>
  <si>
    <t>eguido 'su libertad Haxo fianza; y que Napper irá desterrado por toda £-u vida á Bahía-Botánica. El Lord Keith y.el General Hutchinson han recibido el título de Báron de los Reynos-Unídos de la Gran Bretaña e Irlanda ^transmisible 4 sus herederos legítimos. •: . ,"r, v : . i * ' . n •.; • -o</t>
  </si>
  <si>
    <t>la fragata nombrada la Medusa. Las cartas de Egipto y Malta de 25 y 27 de Diciembre expresan que el Lord Keith no habia aun recibido la noticia de oficio de haberse firmado los preliminares; pero habiéndola sabido indirectamente por Gibraltar, despachó un aviso para que los buques de guerr</t>
  </si>
  <si>
    <t>te-Islas, y el estado de incertidumbre y debilidad en que se halla aquel gobierno , han obligado al Lord Keith á despachar al Capitán Martin con el navio de línea el Northumberland y algunas fragatas para restablecer el buen orden en aquella República naciente.” Milán 6 de Abril. A ntes de</t>
  </si>
  <si>
    <t>Keitht, Almirante</t>
  </si>
  <si>
    <t>Almirante Keitht</t>
  </si>
  <si>
    <t>asta que la concluyan no se sabrá el objeto de su venida. Según cartas recibidas por este buque, el Almirante Keitht entró en Malta el 29 de Noviembre con toda su esquadra. También llegó de Egipto á dicha isla el General Hutchinson pocos dias antes de la salida de dicha fragata. Ha mandado el Rey</t>
  </si>
  <si>
    <t>Kellerman, General</t>
  </si>
  <si>
    <t>General Kellerman</t>
  </si>
  <si>
    <t>s Arezzo , Arzobispo de Seleucia-, á Petersburgo. También está nombrado el Nuncio que na de ir 4 El General Kellerman, despachado de París para dirigir la marcha de las tropas francesas que salen de Ñapóles, se halla en Loreto. Diariamente pasa por la Romaña parte de dichas tropas que vuelven 4 F</t>
  </si>
  <si>
    <t>Kemon, Joseph Antonio</t>
  </si>
  <si>
    <t>Joseph Antonio Kemon</t>
  </si>
  <si>
    <t>&gt;s: Capitanes de i batallón fixo de Panamá al Ayudante D. Manuel Yuste y al Teniente de granaderos D. Joseph Antonio Kemon; Ayudante al Teniente D. Francisco Xavier de Arosemana; iTeniente de granaderos al de fusileros D. Juan Fernandez; Tenientes de fusilero$““al Subteniente de granaderos D. Andrés S</t>
  </si>
  <si>
    <t>Kenrique Forvin, Joseph</t>
  </si>
  <si>
    <t>Joseph Kenrique Forvin</t>
  </si>
  <si>
    <t>y Orta', Ií Joseph de Villegas y Córdoba , D. Antonio Calvillo y Lata, Di Luis'Blanchi y Munarini, D. Joseph Kenrique Forvin, D. Joaquiir dé Villalba, D. Candido de Lasala ¿ D. Gerónimo Caballero y Obando, Don Dmñiirqo Mótiteverdéi¡ Dí Joireph' dé li Muela‘;Gutierrez , D Pedro Marfand ^Gallego i D. Rafa</t>
  </si>
  <si>
    <t>Keppei</t>
  </si>
  <si>
    <t>s habitantes manifestaban su gozo de pertenecer nuevamente á la Francia. El modo con que me recibió Mr. Keppei no podía ser mas amistoso y franco. Le hallé con las mejores intenciones y el mayor anhelo dé coadyuvar á los intentos de su gobierno paca entregarnos la cojonia qiianto ántes fue</t>
  </si>
  <si>
    <t>Keppei, General</t>
  </si>
  <si>
    <t>General Keppei</t>
  </si>
  <si>
    <t>o para él. Han llegado á S. Pedro dos barcos mercantes de Burdeos, y uno de Marsella; y alcancé del General Keppei que desde aquel dia,fuesen ^admitidos á vender sus cargamentos en todos los puertos de la colonias no ;mér;ois aquellos tres barcos que los demas que sucesivamente lleguen , y no</t>
  </si>
  <si>
    <t>Kervelegan, General</t>
  </si>
  <si>
    <t>General Kervelegan</t>
  </si>
  <si>
    <t>Puerto-Republicano y Puerto de la Paz, y de que varios territorios de la isla se han entregado. El General Kervelegan ha entrado en la primera de di</t>
  </si>
  <si>
    <t>Kerversau, General</t>
  </si>
  <si>
    <t>General Kerversau</t>
  </si>
  <si>
    <t>en donde se reunieron las esquadras despachadas de Brest, Loriente y Rochefort. El 30 se destacó el General Kerversau para Sto. Domingo, y el 31 la esquadra se halló á la altura de la Granja. El Almirante envió á Monte-Christo por pilotos, los quales aseguraron que Santos Louverture estaba dispue</t>
  </si>
  <si>
    <t>a fragata Sirena, han ido mejorando nuestras cosas, y el exéreito ha conseguido varias ventajas. El General Kerversau se ha hecho dueño de la ciudad de Sto. Domingo, la qual se libró enteramente del incendio, y no padeció ningún daño. Se han cogido muchos xefes subalternos délos negros, y están p</t>
  </si>
  <si>
    <t>Kerverseaux, General</t>
  </si>
  <si>
    <t>General Kerverseaux</t>
  </si>
  <si>
    <t>omandante de las fragatas Fraternidad y Preciosa,que llevaban un cuerpo de tropas á las órdenes del General Kerverseaux , se presentó el 2 de Febrero delante de la ciudad de Sto. Domingo, en la qual, y en todo el departamento del Ozama, mandaba Pablo Louverture, hermano de Santos. A la intimación q</t>
  </si>
  <si>
    <t>nard. Se hizo preciso esperar el efecto de las disposiciones conocidas de sus habitantes, porque el General Kerverseaux no tenia fuerzas suficientes para acometer la plaza. La noche del 9 se apoderáron á viva fuerza de uno de los fuertes, y nos abrieron las puertas de la ciudad aquellos para quiene</t>
  </si>
  <si>
    <t>Kevth, Lord</t>
  </si>
  <si>
    <t>Lord Kevth</t>
  </si>
  <si>
    <t>ocos días unas 200 embarcaciones mercantes; lo qual sucede pocas veces en tiempo de paz. Escribe ci Lord Kevth con fecha de 20 de Enero que el exército ingles que fue de la India a ilgipto quedaba disponiéndose para volver á nuestros establecimientos asiáticos. En la Cámara baxa declaró el</t>
  </si>
  <si>
    <t>Keyth, Lord</t>
  </si>
  <si>
    <t>Lord Keyth</t>
  </si>
  <si>
    <t>rajtar, en la fragatafMerr maid para visitar á su hermano. ’ •, ' La mayor parte de la esquadra dei Lord Keyth ha salido de Malta para Inglaterra». El ¿Almirante Bickerton quedaba en aquella isla con lps buques de su mando. . .) :r].r v/; El Reyno de Marruécos'está .conmovido ;pdr una guer</t>
  </si>
  <si>
    <t>aumarez salió de Menorca el 8 de Mayo para encargarse del mando de la esquadra del Mediterráneo. El Lord Keyth había entrado en Gibraltar con 4 navios de guerra y varias fragatas. Añaden las mismas noticias que sigue la peste haciendo estragos •cft varias partes dé Berbería; por lo’qual la</t>
  </si>
  <si>
    <t>ashington , viuda del célebre General de este nombre. ' La esquádra del Mediterráneo mandada por el Lord Keyth se avisto ayer tarde en las aguas de la isla de Wight. El 29 del mes último fondeó en Portsmouth él navio Saturno de 74 cañones: trae el cadáver del Contra-Almirante Tomas Totty,</t>
  </si>
  <si>
    <t>rado en eP puerto deLisboa con la noticia de que el Capitán de iriaívina B^rlóW ^despachado por' él Lord Keyth á Argel, alcanzó completa satisfacción jde parte del Deyyqüien al mismo tiempo ofreció portarse con mas moderación en adelante. Expresan 'también dichas cartas qué de Lis. h?»a¿ha</t>
  </si>
  <si>
    <t>Kieffer</t>
  </si>
  <si>
    <t>, al ciud. Lamarre para segundo Secretario, al ciud. Record» para tercero, y al ciud. Kieffer para Secretario intérprete de la misma embatada : al ciud. Lefebre, primer Secretario de la legación francesa en Florencia, para Secretario de la de Ñápoles; y</t>
  </si>
  <si>
    <t>Kiginio Antonio Lorente</t>
  </si>
  <si>
    <t>ne pública; y defectos notables de la traducción. Los publica para utilidad y desengaño del público D. Kiginio Antonio Lorente , Medito honorario de cámara de SI M. y Catedrático de química del Real estudio de medicina práctica zquádemóg.® Se hallará con los anteriores en la librería de Calleja, cnlle&amp;|rg</t>
  </si>
  <si>
    <t>Kindelan, Joseph</t>
  </si>
  <si>
    <t>Joseph Kindelan</t>
  </si>
  <si>
    <t>Leopoldo Menendez y D. Ignacio de Lardizabal, Ln el ba) le, al cargo de su maestro D. J uan Castro, D. Joseph Kindelan , Don Ignacio Empatan, D. Pedro Tavira, D. Rodrigo Tavira, D. Antonio Gil-, mán, D. Fernando Adan de Yarza, D. Manuel de la Riva Agüero, D. Joseph Cia, D. Leopoldo Menendez, D. Jo</t>
  </si>
  <si>
    <t>Kindelan, Joseph María</t>
  </si>
  <si>
    <t>Joseph María Kindelan</t>
  </si>
  <si>
    <t>de Lardizabal y Montoya, y D. Manuel Claessens: del cálculo diferencial y principios dei integral, D. Joseph María Kindelan. En esfera, baxo la dirección de los mismos dos profesores, D. Luis Verganza, D. Joachín del R io, D. Joseph Catalan, D. Pedro Tavira, D. Rodrigo Tavira, D. Francisco Trespalacios</t>
  </si>
  <si>
    <t>Kindelan, Juan</t>
  </si>
  <si>
    <t>Juan Kindelan</t>
  </si>
  <si>
    <t>Y Casimiro BofaruÜ, D."AntonioCorrea, D. Joseph Joaquín Martí, D. Mateo Arrióla, D. Gerónimo Verde, D. Juan Kindelan, D. Juan O-Neilie, el Conde de Castrillo y Orgaz, D. Joseph Casamayor , D. Joseph GenaroSa-? lazar, D. Gerónimo la Grúa* D. Joaquín Manuel de ViHena, D. Luis Idia-’ quez, D.' Manu</t>
  </si>
  <si>
    <t>Kindelan, Tomás</t>
  </si>
  <si>
    <t>Tomás Kindelan</t>
  </si>
  <si>
    <t>cisco Soler, el Conde de Maceda, D. Joseph Bermudez de Castro, D. Roque Antía, D. Antonio Darcourt, D. Tomas Kindelan , D. Juan de Dios Alvarez Ordoño, D. Gabriel Mendizabal, D. Ignacio Martinez Vallejo, D. Matías Piriz, D. Pedro Baylin, D. Bartolomé de Castro, D. Santiago Puig, Don Francisco Cor</t>
  </si>
  <si>
    <t>Kleinscrod</t>
  </si>
  <si>
    <t>á ya concluido el nuevo código para los estados bávaro-p al atinos. Por encargo del Elector lo hizo Mr. Kleinscrod, criminalista muy conocido que reside en Wurtzburgo: después se comunicó el código á varios jurisconsultos , quienes le pusiéron notas y objeciones , las quales se están imprimien</t>
  </si>
  <si>
    <t>Kleist, Teniente General</t>
  </si>
  <si>
    <t>Teniente General Kleist</t>
  </si>
  <si>
    <t>stantino, el Duque de Brunswick y el Landgrave de Hesse-Cassel. Ha regalado el Rey de Inglaterra al Teniente General Kleist un hermoso caballo padre, de sus caballerizas de Hanncver, cuyo jaez es tan rico como de bellísimo gusto. Viena jj de Abril. E st’e Consejo de Hacienda ha propuesto al Emperador s</t>
  </si>
  <si>
    <t>Klingspor, Conde</t>
  </si>
  <si>
    <t>Conde Klingspor</t>
  </si>
  <si>
    <t>de ‘ encontrará ¿ Sus d^5 hermanas la Emperatriz viuda de Rusia y* la?. Princesa Amalia de Badep. . Conde Klingspor, Gobernador general de FinUndia4 acompana á S. j¡f #f hasta U frontera, en donde, la .espera' éh Barón de; Stediog fiiE^iha^adpr 4e. 3ue^iíl eft Petersburgo. íh¿&gt;V.v. -7' ¡-C ■ ■'</t>
  </si>
  <si>
    <t>Klinteberg</t>
  </si>
  <si>
    <t>omendador de la orden de la Estrella del Norte. También ha nombrado él Rey caballero de la Espada á Mr. Klinteberg, constructor de ma&lt;rm’á ferien Segado de Turquía , y caballero de la * orden de Vasa á MK ^tgreñ. V'., - ^' /;í‘^ Hasta mediados de Junio no se formará el campamento lLéaf dé Ráro</t>
  </si>
  <si>
    <t>Klmgspor, General</t>
  </si>
  <si>
    <t>General Klmgspor</t>
  </si>
  <si>
    <t>evxiluci6n és lá&amp; t^bpgf3 del campamento de Parola-liíatm. Ei día 23 comieron SS. M&amp;i. eneaía del ¿General Klmgspor, acompañándolesias oficialesJde plana mayór' ¡y ^ljunas personas delapnmeradisnneion.Ei 24 se.dio de comer á^jodas^ias tmpis por6rdenydecuentadelil.ey.Estabran;sefta!ados;losd&lt;ioí</t>
  </si>
  <si>
    <t>Knieper, Coronel</t>
  </si>
  <si>
    <t>Coronel Knieper</t>
  </si>
  <si>
    <t>ontera de Rusia, .sirviéndole de escolta un esquadron de dragones. Al mismo tiempo vino el Teniente Coronel Knieper, comandante del destacamento ruso apostado en dicha frontera, á avisar á la Reyna que la Emperatriz y la Princesa Amalia de Badén se hallaban en Storra Abborfors. Pasó nuestra Sob</t>
  </si>
  <si>
    <t>Knorring</t>
  </si>
  <si>
    <t>tán de los tártaros situados al lado de allá del Cuban, y servirá en el Cáucaso baxo las órdenes de Mr. Knorring, Gobernador de Georgia. Por un ukase imperial recien publicado se prohíbe que de aquí adelante los Gobernadores y principales empleados de las provincias admitan los regalos que l</t>
  </si>
  <si>
    <t>Knorring, Teniente General</t>
  </si>
  <si>
    <t>Teniente General Knorring</t>
  </si>
  <si>
    <t>su Imperio la Georgia, 6 Grusinia rusa^, salid de las fronteras de Rusia'el día i.° de este mes el Teniente General Knorring, Xefe supremo de aquella provincia, acompañándole ti Consejero de Estado efectivo Kowalinsky, Gobernador civil de la misma, el Mayor Bankow, primer Edecán dei Inspector, y los Ase</t>
  </si>
  <si>
    <t>Kofraanñ</t>
  </si>
  <si>
    <t>asistiesen a la dieta t ótro tanto babia hecho por su'^rtéPel Mifuflb de Saxónia.: v-'&gt;ftcjo^*10 ^ Mr. Kofraanñ; Secretarios de légacioá de Brandembnrgo, recibió el; 8 un correo de Berlín , y el 9 entregó á varios Ministros una nota de ofició contra la proposición hechaúltimamenrede que la</t>
  </si>
  <si>
    <t>Kollouitz, Conde</t>
  </si>
  <si>
    <t>Conde Kollouitz</t>
  </si>
  <si>
    <t>aí* do en Mr. Gcrgo , cuyas tareas en varios ramos, y en especial el buen éxito en la educación del Conde Kollouitz y defPríncipe JPajblo Íist.erhazy, que es:á casi concluida, han decidido lá confianza del 'Hmperador. Las dos abadías inmed atas de Salmanshveiier y de Petershausen , en Suabja.,, .sea</t>
  </si>
  <si>
    <t>Kourakin, Príncipe</t>
  </si>
  <si>
    <t>Príncipe Kourakin</t>
  </si>
  <si>
    <t>l paso! inmediata? mente á presentarse al Elector, y lé entregó: cartas del Emperador su aroe y del Príncipe Kourakin , su primer Ministro. Hubo.despues una confecenl cia de estado ¿presencia del Elector; y hoy se ha sabido que Alexandro i¿ ha ratificado el convenio sobre las indemnizaciones de l</t>
  </si>
  <si>
    <t>ta una sortija de una esmeralda guarnecida de brillantes primorosamente trabajada; y otra carta del Príncipe Kourakin, Ministro del Emperador, en que dice que se la envía de parte de S. M. como uña señal de su estimación y benevolencia. El 26 de Junio pasado murió de 103 años, 6 meses y 20 día?,</t>
  </si>
  <si>
    <t>sfecho del cuidado que han tenido de los prisioneros durante un camino tan largo, mandó al Ministro Príncipe Kourakin regalase de su parte á cada uno una sortija ricamente guarnecida de. diamantes 'Vtena 2 r de Agosto. Y a se ha cerrado Ja Dieta de Hungría. Vendrán de Presburgo diputados ü JViena</t>
  </si>
  <si>
    <t>la diputación das dos notas importantes y conformes entre sí firmadas por el ciud. Talleyrand y el Príncipe Kourakin, Ministros de Estado de Francia y Rusia, y entregadas por el ciud. Laforet y el Barón de Buhler, Ministros de las dos potencias en Ratisbona. Leídas estas notas, se acordó comunic</t>
  </si>
  <si>
    <t>Kramer</t>
  </si>
  <si>
    <t>Roschlaub ; en él n.° dé la calentura pútrida por elDr. Malfati, y el de la convale?» cencía por el Dr. Kramer ; en el 3.0, el que se intitula el Dudoso 6 el jQven Browniano á Ja cabecera del enfermo, por el Dr. MayV Los 3 siguientes , que parece se están imprimiendo actualmente en Florenc</t>
  </si>
  <si>
    <t>bc al fin un tratado de Ja calentura p: trida por el Dr. Malfati ; otro de la convalecencia por el Dr. Kramer , y Jos formuarics de recetas correspondientes. Vendes? e'1 rústica á 14 rs. én las libre rí.s de Castillo, frente á las gradas de S. Felipe , y de la viuda de Cerro, red de S. Lu</t>
  </si>
  <si>
    <t>Krusemarck</t>
  </si>
  <si>
    <t>erra; pero parece mas cierto que va en derechura á París, en donde se hallará casi al minino tiempo Mr. Krusemarck, Sargento mayor que fué del cuerpo de Guardias holandesas. El objeto de su viage es, según parece, tratar directamente con el gobierno francés sobre las indemnizaciones que le ha</t>
  </si>
  <si>
    <t>Kuhn</t>
  </si>
  <si>
    <t>tiene á su cargo el despacho de lo interior, el ciud. S.chmit el de guerra, el ciud. Kuhn el de policía y justicia, y el ciud. Dolder el de rentas. Habiendo declarado el Secretario general que reconocía la legitimidad y autoridad del Consejo pequeño,</t>
  </si>
  <si>
    <t>ller. 7: ■ V De resultas de algunos altercados ha hecho dexadon de su empleo el ciud. Kuhn j Ministro de justicia y pqlicía. Para sucederle en Leí ministerio está hombrado el ciud. TriboletPrefecto de Berna , y este, empleo sé ha conferido ai ciud. M</t>
  </si>
  <si>
    <t>Kurakin, Príncipe</t>
  </si>
  <si>
    <t>Príncipe Kurakin</t>
  </si>
  <si>
    <t>cesa, y el mismo dia asistida la asamblea ó junta del cuerpo diplomático en casa del Vice-Canciller Príncipe Kurakin. Ha sido nombrado Mayor general del exército ruso el Coronel Mangla Girey, hijo de Arslan Girey, Sultán de los tártaros situados al lado de allá del Cuban, y servirá en el Cáucaso</t>
  </si>
  <si>
    <t>onde de R ornanzoff será su sucesor. El Emperador de Alemania ha enviado de regalo alVtce-Canciller Príncipe Kurakin un magnífico ramillete de porcelana, valuado en yo© rublos. Gomo el Neva empieza á helarse se ha recogido el gran puente de barcas. El numero de embarcaciones que entráron este añ</t>
  </si>
  <si>
    <t>Kuster</t>
  </si>
  <si>
    <t>olentos. Los que se han distinguido en estos ensayos de una manera honrosa y digna de elogio son el Dr. Kuster, Médico de círculo en Konitz en la rrusia occidental, los Cirujanos de exército Wihurg en Silesia, Riesenbeck en JLandsberg, é Immelen Anspach. El Dr; Kuster, seguil su relación j</t>
  </si>
  <si>
    <t>Kutiman</t>
  </si>
  <si>
    <t>nado acaba de nombrar por Landammann al ciud. DoUer, y por primer Stathalter al ciud. Kutiman, y por segundo al ciud. Fusly.</t>
  </si>
  <si>
    <t>la Barre, Manuel</t>
  </si>
  <si>
    <t>Manuel la Barre</t>
  </si>
  <si>
    <t>ller, D. Jayme García Conde, D, Manuel Jáuregui, D. Cárlos Reynaldp de Coup'igni, D. Joseph Lebrun, D. Manuel la Barre, D. Juan Bernardo Laporte, Don Felipe Crame, D. Francisco Ruigomez, D. Cándido Higuera, D. Diego Navarro , D. Bernardo Luque, D. Rafael Pezzino, D. Luis Ranea ño, Don Juan Meric,</t>
  </si>
  <si>
    <t>la Barrera, Francisco</t>
  </si>
  <si>
    <t>Francisco la Barrera</t>
  </si>
  <si>
    <t>..... 140. 5. Id. Francisco la Barrera... . . Lorenzo, María Rodríguez. Robledo....... León.............. 176. 18. Muerto. Dionisio Zaim rano..'.......... Baltasa</t>
  </si>
  <si>
    <t>la Carrera, Rafael</t>
  </si>
  <si>
    <t>Rafael la Carrera</t>
  </si>
  <si>
    <t>'vr ;v; - sS.- M. se ha servido promover á Ayudante del regimiento de Cazadores de Viilav iciosa á D. Rafael la Carrera, Teniente del mismo cuerpo. Atendiendo el Rey á los distinguidos méritos de D. Francisco Xavier dé la Vega , Oficial mayor primero dé la Secretaría dél '.despacho uníarersal, dé H</t>
  </si>
  <si>
    <t>la Carte, Juan</t>
  </si>
  <si>
    <t>Juan la Carte</t>
  </si>
  <si>
    <t>isco Ignacio Rafols, D. Francisco Nuñez Robles, D. Francisco Nuñez * Don Gaspar Pascual de Bonanza, D. Juan la Carte, P. Rodrigo Moscoso, Pon Benito San Juan, y D. Juan Alvarez.</t>
  </si>
  <si>
    <t>la Cruz, Francisco</t>
  </si>
  <si>
    <t>Francisco la Cruz</t>
  </si>
  <si>
    <t>jos del Alcaide de esta villa Dr. D. Vicente Colas, y de los médicos Dres. Don Christóbal Cavaller, D. Francisco la Cruz y D. Nicolás Esteller. Con estos exemplos se animaron tanto los demas vecinos, que en solos 3 meses se inocularon 633 de todas edades, por aquellos y otros facultativos, los quales si</t>
  </si>
  <si>
    <t>La Estrelladle</t>
  </si>
  <si>
    <t>stillo*, en Córdoba en ‘la de Rodríguez , ^ -en Málaga1 en la de C*t*reras*1 -j&gt;. ¿oifo too u? c-,' D La Estrelladle la- mañana cnüe las. nieblas i sermón tpanegíricó álalnrnaculada Concepción de Ja Madre de Dios* que en el cajétulo del órden de lá Merced, Celebrado en el'desierto de la villa de Ri</t>
  </si>
  <si>
    <t>la Grúa, Gerónimo</t>
  </si>
  <si>
    <t>Gerónimo la Grúa</t>
  </si>
  <si>
    <t>D. Juan O-Neilie, el Conde de Castrillo y Orgaz, D. Joseph Casamayor , D. Joseph GenaroSa-? lazar, D. Gerónimo la Grúa* D. Joaquín Manuel de ViHena, D. Luis Idia-’ quez, D.' Manuel Továrv -D.!‘Pascual1 de la V egay 0. R aymundo Capece Minutólo, D. Joseph Zarauz , D. Francisco- Salinas Moñino, 0. P</t>
  </si>
  <si>
    <t>la Iglesia, Santiago</t>
  </si>
  <si>
    <t>Santiago la Iglesia</t>
  </si>
  <si>
    <t>xt 3* Muerto. Santiago la Iglesia......... Valentjjj|j), Manuela Corral. Santibañez... Búrgos. 35. 7. Id. Tomas González.................. Gabrie¡] * María Madalena</t>
  </si>
  <si>
    <t>La Touche, Almirante</t>
  </si>
  <si>
    <t>Almirante La Touche</t>
  </si>
  <si>
    <t>nión dado á todas las embarcaciones. En él encontré la división de Rochefort mandada por *el Contra-Almirante La Touche , el navio Scipion , donde tiene arbolada su insignia el General Delmotte, el navio San Francisco de Asís, el bergantín Vigilante, y algunas embarcaciones del convoy separadas de</t>
  </si>
  <si>
    <t>la Varga, Santiago</t>
  </si>
  <si>
    <t>Santiago la Varga</t>
  </si>
  <si>
    <t>.... . 125. 11. Id. Santiago la Varga............... Santiago,Bernarda Martinez.viiiamartin.. León................. 3*°- 32- Id. Josef Murrueta.................... Vicente, Micaela Villarroel. Torrenueva.. Infant</t>
  </si>
  <si>
    <t>La-Touche, Almirante</t>
  </si>
  <si>
    <t>Almirante La-Touche</t>
  </si>
  <si>
    <t>e Sto. Domingo. Tampoco se han recibido noticias de Puerto-Príncipe, adonde fué destinado el Contra-Almirante La-Touche. El navio Guatiñi con 1500 hombres de desembarco ha dado la vela hoy mismo para el muro de S. Nicolás. Si antes de mi partida para la Havana se recibieren noticias del éxito que h</t>
  </si>
  <si>
    <t>La-Touche, General</t>
  </si>
  <si>
    <t>General La-Touche</t>
  </si>
  <si>
    <t>as los atacaron y desalojaron de los fuertes que guarnecían la entrada del puerto y de la plaza. El General La-Touche con 6 navios de guerra y 3 fragatas, y con 3® hombres de desembarco á las órdenes del General Boudet, se dirigió á Puerto Príncipe: y los 7 navios restantes de la esquadra frances</t>
  </si>
  <si>
    <t>Labayen, Joseph</t>
  </si>
  <si>
    <t>Joseph Labayen</t>
  </si>
  <si>
    <t>res y Lastiri, D. Joaquín Bilbao y Angosto, D. Rafael Asprer y Janer,D.Francisco Pareja y Tortolero,D. Joseph Labayen, Don Domingo de Paz, D. Aiexandro Morales,D.Pedro Joseph de Lemus, Don Manuel Arcavna y Ximenez, D. Francisco Meñaca y Arechaga, D. Justo Arison yRooaud, D. Pedro Iriarte y Zereze</t>
  </si>
  <si>
    <t>Laboissíere, General</t>
  </si>
  <si>
    <t>General Laboissíere</t>
  </si>
  <si>
    <t>urgo para cargar algunos objetos que necesitaba , y de allí seguirá á. su destino. Está nombrado el General Laboissíere por Inspector general de infantería en la Cisalpina. Durante la ausencia del primer Cónsul los Ministros de Estado que han quedado en Paris tendrán por su turno, dos veces cada se</t>
  </si>
  <si>
    <t>Laborda, Manuel</t>
  </si>
  <si>
    <t>Manuel Laborda</t>
  </si>
  <si>
    <t>l Beneficio préstamo de Robredo, en la de Burgos, vacante por muerte de Don Miguel Perez Casabal, á D. Manuel Laborda. En el regimiento de Reales Guardias Walonas se ha servido promover S. M. á Capitán de granaderos al de fusileros, graduado de Brigadier, Don Manuel de Craiwinckel; á segundo Teni</t>
  </si>
  <si>
    <t>Laborda, Marcos</t>
  </si>
  <si>
    <t>Marcos Laborda</t>
  </si>
  <si>
    <t>nte al Subteniente de granaderos D. Francisco González; á Subteniente de granaderos al de fusileros D. Marcos Laborda , y á Subteniente de bandera al Sargento primero de granaderos Don Joseph Moreno: y en el batallón de infantería provincial de Guadalaxara á Capitán de granaderos al de fusileros</t>
  </si>
  <si>
    <t>Laborde y Navarro, Ángel</t>
  </si>
  <si>
    <t>Ángel Laborde y Navarro</t>
  </si>
  <si>
    <t>D. N.colas DanreR y l-ándelino, D. Francisco Luis del Castiho , D. Juan v.anz, D.Franciscó Matheus, D. Angel Laborde y Navarro, D. Gabriel Antolinez y Salazar, D. Fernando Govantes y Valdivia,.D..Joaquín de Arce y Fronce-, da , D. Toaquin Mella y Barbeyto, D. Joíeph Manuel Bilbao, D. Tuis; Tabón v Ro&lt;icme</t>
  </si>
  <si>
    <t>Laborde, General</t>
  </si>
  <si>
    <t>General Laborde</t>
  </si>
  <si>
    <t>E l 17 entre nueve y diez de la noche vimos pasar dos berlinas: en una de ellas iba un Ayudante del General Laborde, y en otra Santos Louverture con uniforme de General,y con 5 gensdarmes. Se detuvieron una hora en la casa de postas, y siguieron su camino á París. * Brest 2 2 de Agosto. * E 1 d</t>
  </si>
  <si>
    <t>Lacaba, Ignacio</t>
  </si>
  <si>
    <t>Ignacio Lacaba</t>
  </si>
  <si>
    <t>ua, vacante por promoción de D. Pcdto Breicio, á D. Manuel Cortés y Olarte, Cura en dicho obispado. D. Ignacio Lacaba, Cirujano de Cámara de S. M., que por los ventajosos efectos de la inoculación de las viruelas naturales había fomentado y practicado en esta villa dicha operación con notorio bue</t>
  </si>
  <si>
    <t>Lachatre</t>
  </si>
  <si>
    <t>de los xefes y oficiales, y la razan de la pérdida que hubo en esta acción.) El ciud. Lachatre, Edecán de Rocbambeau , un Capitán de carabineros y 12 soldados fueron muertos, y 40 quedáron heridos^ El dia 3 á las dos de la tarde llegué con el Almirante y</t>
  </si>
  <si>
    <t>Lacróse, Almirante</t>
  </si>
  <si>
    <t>Almirante Lacróse</t>
  </si>
  <si>
    <t>para Santo Domingo, que están prontos á salir. Créese que el General Richepanse va á reemplazar al Almirante Lacróse en calidad de Capitán general de la Guadalupe. Dunkerque 31 de Marzo. E 1 navio de guerra ingles nombrado la Asistencia, de 50 cañones, salín de Yarmouth el dia 28 para Plimouth, y</t>
  </si>
  <si>
    <t>Lacrosse, Almirante</t>
  </si>
  <si>
    <t>Almirante Lacrosse</t>
  </si>
  <si>
    <t>Keppel que está pronto á entregar la colonia á qualquier persona enviada por Bonaparte, excepto al Almirante Lacrosse, á quien (dice) tuvo que echar de dicha isla por atender á su propia seguridad. Añade que espera subsistan entre las dos potencias, inglesa y francesa, las relaciones de paz y ami</t>
  </si>
  <si>
    <t>tillo de Gougeot. También han escrito al Ministro de Marina el Prefecto de la Guadalupe y el Contra-Almirante Lacrosse, con fecha de 6 de Agosto. Ambos dan cuenta de la entrada de dicho General Lacrosse en aquella isla, en la qual fué recibido con el mayor gusto de todos ios habitantes. En el pala</t>
  </si>
  <si>
    <t>.-;. 'y;-o:'Con fecha de 8. de Setiembre escribe desde la Guadalupe al Ministro de Marina el Contra-Almirante Lacrosse , Capitán General de aquella isla¿( que el día,3 murió el General Riebepanse, cuyá pérdida ha sido llorada por las tropas y po%tódo% los habít^tfs de lqxplqni^r!$e le hid^pn todos</t>
  </si>
  <si>
    <t>Lacrosse, General</t>
  </si>
  <si>
    <t>General Lacrosse</t>
  </si>
  <si>
    <t>des disensiones: en la segunda de estas dos ‘nías prendieron los conspiradores y echaron de ella al General Lacrosse , que con los demas individuos del gobierno nombrados por el primer Cónsul, ha tenido que refugiarse á la Dominicaen donde residen con previo consentimiento del Gobernador ingles</t>
  </si>
  <si>
    <t>a en* una piragua ■de negros* é inmediatamente se presento al Gobernador ingles,conel qual halló al General Lacrosse , quién sé disponía » acompañar aEGobernador la cabeza de las tropas' que ser juntaban pauármarchar contra*los- negros!dé la isla^ que habismtremolado el estandarte dedírebélion;</t>
  </si>
  <si>
    <t>e y el Contra-Almirante Lacrosse, con fecha de 6 de Agosto. Ambos dan cuenta de la entrada de dicho General Lacrosse en aquella isla, en la qual fué recibido con el mayor gusto de todos ios habitantes. En el palacio del Tribunado se ve una nueva experiencia física digna de la atención de las gente</t>
  </si>
  <si>
    <t>Lacuee</t>
  </si>
  <si>
    <t>. irá el dia 24 áPresburgo para dar fin á la. Dieta del Reyno de Hungría. &lt; Los ciudadanos Lacuee, Vacy y Remont, Secretarios dé est^ embaxada francesa, hicieron recientemente un viage áPest en Hungría. EÍprime^ rot está destinado para desempeñar un encargo</t>
  </si>
  <si>
    <t>Ladrón de Guevara, Bartolomé</t>
  </si>
  <si>
    <t>Bartolomé Ladrón de Guevara</t>
  </si>
  <si>
    <t>ias , D. Joseph Espinosa, D. Miguel de Gerona, D. Manuel Henriquez, D. Francisco Xavier de Mendíri, D. Bartolomé Ladrón de Guevara, D. Gerónimo Montóya, Don Manuel de la Breña, D. Manuel de Alva, D. Juan Vázquez, D. Alberto Moreyra, D. Joseph de Lago, D. Juan María de Moráles, Dé 'Joseph Coppola, D. Pedro Ant</t>
  </si>
  <si>
    <t>Lafayette, General</t>
  </si>
  <si>
    <t>General Lafayette</t>
  </si>
  <si>
    <t>su cumpleaños. La mesa del banquete era de mas de .100 Cubiertos, y entre los-convidados estaban el General Lafayette, el Ministro y el Agente de comercio de los Estados-Huidos de América , ílos ciudadanos Monge, Senador, Berüer, Consejero deEstado &amp;c. Hubo varios cobros de mudcá, y. duro la func</t>
  </si>
  <si>
    <t>Laforest</t>
  </si>
  <si>
    <t>ismo estado en que se hallaba. Stuttgard /f de Mayo. D e Munich escriben que el ciud. Laforest, Ministro de la República francesa cerca del Elector, tiene freqiientes conferencias con Mr. de Montgelas, primer Ministro de S. A. En la noche del 6 al 7 de e</t>
  </si>
  <si>
    <t>na al ciud. francés Mathleu, qué se halla íya * en Strasburgo. Le acompañará el ciud. Laforest, actual ^Ministro -francés en Munich , id qual como fué Secretario general de la legación de Francia en el congreso.de Lurteville,se hallacompetentementé impue</t>
  </si>
  <si>
    <t>es extraordinarios nombrados para ello; á saber, por parte del primer Cónsul el ciud. Laforest, Ministro de la República cerca del Elector Palatino de Baviera, que ha recibido orden de ir á Ratisbona; y por parte del Emperador de Rusia el Barón de Buhler</t>
  </si>
  <si>
    <t>epresentar contra muchas proposiciones def gobierno. RatUbtma *0 de Agosto. E I ciud. Laforest, Ministro francés, presentó ayer al Barón de Albini el convenio de París: de 4 de Junio, y una declaración importantísima de su gobierno* Otra casi en los prop</t>
  </si>
  <si>
    <t>Laforet</t>
  </si>
  <si>
    <t>ió de Achaffenburgo el 29 de Enero para Wurtzburgo. Espérase aquí de Baviera al ciud. Laforet, Ministro de Francia; y haáta su llegada no saldrán para Munich el Conde de Hardemberg, Ministro prusiano, y Mr. de Schuckmann, Consejero íntimo, que van á tra</t>
  </si>
  <si>
    <t>M. se dignó concederle su súplica. Munich 13 de Abril. E I dia 6 llegó aquí el ciud. Laforet, Ministro-de Francia cerca del Elector, y ayer entregó sus credenciales a S. A. E. En la ciudad de Abensberg, en Baviera, se dio orden para que se trasladase e</t>
  </si>
  <si>
    <t>Príncipe Kourakin, Ministros de Estado de Francia y Rusia, y entregadas por el ciud. Laforet y el Barón de Buhler, Ministros de las dos potencias en Ratisbona. Leídas estas notas, se acordó comunicarlas á la; dictadura y darlas á luz:impresas. __LlDesde en</t>
  </si>
  <si>
    <t>guncia levó á la junta la dhima nota que le entregaron el Barón, dé Buhler y el ciud. Laforet. También hizo lectura de una representación de Mr. de Radenau y Ulrich , subdelegados del Gran Maestre de la orden Teutónica, que piden resarcimientos para dic</t>
  </si>
  <si>
    <t>táé alBaron dé •• Buhlet, Ministro-pleípppifctoipiaj^ ¿ ^r. cW.-• v^-.é n¿ - El ciud. Laforet contestó el 27 ¿pl Élqiñpdt^^brtó^peñd^dicidfi^edé que enviaba dicha juQt3¿#á;peEder&gt; tieihpéo^ su? gobierno y. no..deteniéndose áhora en señalar las íechas„rl</t>
  </si>
  <si>
    <t>gado él Barón Gunderrode , su Ministro cerca de la Dieta, una representación al ciud. Laforet y al Barón de Buhler, en que repite su instancia, ó por mejor decir parece que pide que la Francia le indemnice en Ja izquierda del Rhia. El Conde de Goertz, Min</t>
  </si>
  <si>
    <t>lo hiciéron así; pero los demas pidiéron tiempo para resolver. Al comunicar el ciud. Laforet dicho nuevo plan al Barón de Albini le escribió en estos términos: „Tiene el infrascripto el honor de dirigir á S. E. «1 Ministro directoría! una nota 6 declar</t>
  </si>
  <si>
    <t>nza del público.__ Ratisbona 26 de Setiembre de 1802.__-El Barón de Buhier._ El ciud. Laforet.*’ Augsburgo i&lt;5" de Octubre. n cuerpo de tropas austríacas, compuesto de infantería y caballería, fe ha reconcentrado nuevamente en los contornos de Feldkirch</t>
  </si>
  <si>
    <t>y en ella se leyó la siguiente memoria firmada por el Barón de Buhler y por el ciud. Laforet. ,, Recibiéron los infrascriptos el 26 del corriente una nota de S. E. el Subdelegado de Bohemia, que contiene las mismas aberturas y el mismo deseo que los in</t>
  </si>
  <si>
    <t>Lagrange</t>
  </si>
  <si>
    <t>s preparativos para recibir y depositar en el Vaticano el cadáver de Pió vi. El ciud. Lagrange, Ayudante del General Murat , ha llegado aquí de Egipto, adonde fue con la noticia del ajuste de los preliminares de paz. No tardará en trasladarse á Milán. Há</t>
  </si>
  <si>
    <t>Lagranja, Antonio</t>
  </si>
  <si>
    <t>Antonio Lagranja</t>
  </si>
  <si>
    <t>63. 26. Id. Antonio Lagranja .............. Nicolás, María de Dios....... Robedichado. Orense........... 124. 3. Id. Cabo 2." Ventura Morante. Juan, Teresa Blas............... Palencia........Palencia...</t>
  </si>
  <si>
    <t>Laguna Calderón, Joseph</t>
  </si>
  <si>
    <t>Joseph Laguna Calderón</t>
  </si>
  <si>
    <t>na.cio Meftdizafcaí, D. Fernando Noguera, D. Pedro Agar y Bustiilos, D. Joseph Salazar y Rodríguez, D. Joseph Laguna Calderón,: D. Diego Ochando, D. Ramón De. loves, D. Joseph Sartorio, D. Juan Desloves, D.: Bernardo González, D. Joaquín Guzman, D. AntOnio Guzmaa^y Cárrion j D. Alonso Maiin Navarro, 0. .</t>
  </si>
  <si>
    <t>Laguna, Alexo</t>
  </si>
  <si>
    <t>Alexo Laguna</t>
  </si>
  <si>
    <t>..... 222. Id. Alexo Laguna...................... 1. Corvinas......... León.................. 453. 7. M. Bernardo González.............. Tamar</t>
  </si>
  <si>
    <t>Laguna, Martín</t>
  </si>
  <si>
    <t>Martín Laguna</t>
  </si>
  <si>
    <t>3S- 33. Id. Martin Laguna........... ..... Pedro, Froylana Redondo Curvillos....... León.......... .. 424. 15. Id. Francisco Díaz.............. / Francisco, Ramona Jorge Briviesca..... B</t>
  </si>
  <si>
    <t>Laharpe</t>
  </si>
  <si>
    <t>Consulta de París, se han hecho ya lagunas elecciones. Berna ha nombrado á los ciudadanos Laharpe, ex-Director; Ki;hn, que ha ¿ido Ministro de Justicia; Koch, ex-Legislador, y al Sesador Pfauder.__ Basilea á los ciudadanos Schmid, Ministro de Guerra, y Berr</t>
  </si>
  <si>
    <t>en la torre del Lago.' La Dieta de Zowg ha elegido para su diputado en París al ciud. Laharpe, el qual sé halla nombrado por Representante de tres cantones y de varias ciudades 1 pero se duda admita el encargo de diputado. Parts 2_9 de Noviembre* H a re</t>
  </si>
  <si>
    <t>Lai’uente, Gregorio</t>
  </si>
  <si>
    <t>Gregorio Lai’uente</t>
  </si>
  <si>
    <t>907. 9. Licenciado. Gregorio Lai’uente...............Santiago, María Brasa......... Viílalebrin... León............. 230., 4. Muerto. ManuelSaez......................... Manuel, Francisca Guante. Briviesca.. .. Bú</t>
  </si>
  <si>
    <t>Lajosa, Pedro</t>
  </si>
  <si>
    <t>Pedro Lajosa</t>
  </si>
  <si>
    <t>Pedro Lajosa........................ JuanPascuala Garrote... Torrlenzo.... León............... 427. ai. Muerto. Miguel Aguado................... Juan, María Huete.............El Monte.... Cuenca..</t>
  </si>
  <si>
    <t>Lalande</t>
  </si>
  <si>
    <t>del instituto de París, con reilexiones sobre las estrellas observad ¡s por el ciud. Lalande: juicio de obras en prosa y verso publicadas en España, y de los dramas representados en nuestros teatros, entre ellos el Serrallo del Gran Mocol y el .OiU le</t>
  </si>
  <si>
    <t>neados. Los contraventores serán presentados á la J unta de policía.” Quando el ciud. Lalande. ofreció en el instituto el premio de astronomía de cjue.se ha hablado, hizo ei discurso siguiente : ,,Ciudadanos compañeros. La sociedad Real de Londres adjud</t>
  </si>
  <si>
    <t>Emperador de Rusia una magnífica sortija de brillantes de primoroso trabajo. El ciud. Lalande ha publicado el siguiente aviso. ,,La oficina de longitudes en su junta de 23 de este mes adjudicó el premio de 62) francos que había propuesto en favor del qu</t>
  </si>
  <si>
    <t>aoSÍ hombres. París j de Julio. U na diputaciop del instituto, compuesta de los ciudadanos Lalande, Bougainville, Fleúrieu y Chabert, tuvo el 25 del mes último audiencia del primer Cónsul, á quien dió Cuenta de haber el instituto adjudicado el premio de 6© f</t>
  </si>
  <si>
    <t>embargo de que el gobierno le ha jubila-? do con una pensión* v Ha publicado el ciud. Lalande que el ciud. Pons, Gonserge del observatorio de Marsella , ha descubierto otro'cometa, por lo qual le ha enviado una gratificación, y desea que: el ministerio</t>
  </si>
  <si>
    <t>Lamadrid, Francisco Xavier</t>
  </si>
  <si>
    <t>Francisco Xavier Lamadrid</t>
  </si>
  <si>
    <t>ngelé, D. Juan Caequillo, D. Pedro Barat, D. Antonio Vayllant, D. Lúeas Alvarez, D. Joseph Maitmez, D. Francisco Xavier Lamadrid, D. Joseph Antonio HerrezuéloD. Joseph Soto, D. Francisco Leysél, D. Mauricio de Zúñiga, D. Pedro Bermudez, D. Ramón de Villar, D. Francisco Collell, D. Cárlos Villemont, D. Tomas</t>
  </si>
  <si>
    <t>Lamarre</t>
  </si>
  <si>
    <t>Parandier para primer Secretario de la embaxada francesa en Constantinopla, al ciud. Lamarre para segundo Secretario, al ciud. Record» para tercero, y al ciud. Kieffer para Secretario intérprete de la misma embatada : al ciud. Lefebre, primer Secretari</t>
  </si>
  <si>
    <t>Lamartiiliere</t>
  </si>
  <si>
    <t>do de despachar los asuntos corrientes de gobierno. Ha sido nombrado Senador el ciud. Lamartiiliere, General de división de artillería. Se ha publicado el siguiente aviso en gazetas de Francia; ,,IJn escribano de Hamburgo tiene de venta un manuscrito del famo</t>
  </si>
  <si>
    <t>Lamb, General</t>
  </si>
  <si>
    <t>General Lamb</t>
  </si>
  <si>
    <t>ión en frutos, que era muy gravosa, especialmente á causa del modo con que se cobraba. Ha muerto el General Lamb, vice-Presidente del Colegio de Guerra. Durante su. enfermedad le visitó muchas veces el Emperador, y poco» dias antes de su fallecimiento le regaló una hacienda, que ha recaído e</t>
  </si>
  <si>
    <t>Lamberti</t>
  </si>
  <si>
    <t>Lambí, Joseph María</t>
  </si>
  <si>
    <t>Joseph María Lambí</t>
  </si>
  <si>
    <t>llas, D. Manuel Herrero, D. Jóaquin Egaña, D. Alexandro Antonio Ojéá, D. Gaspar Barón de Rocreusse, D. Joseph María Lambí, D. Joseph Villaiba, Don Julián de Sequera, D. Joseph Graulle, D. Gerónimo Valladares, D. Rafael Cravallo, D. Guillermo Chicheri, D. Pedro Saenz, D. Angel de Lana, D. Felipe de la</t>
  </si>
  <si>
    <t>Lamela, Manuel</t>
  </si>
  <si>
    <t>Manuel Lamela</t>
  </si>
  <si>
    <t>...... 260. 28. Id. Manuel Lamela................... Jorge, Ventura Sótelo......... Leyra............ Salvatierra... 1 ss» *5. Muerto. Miguel Rueda...................... Domingo, Manuela Blanco. Morales del.. Rey</t>
  </si>
  <si>
    <t>Lamí, Bernardo</t>
  </si>
  <si>
    <t>Bernardo Lamí</t>
  </si>
  <si>
    <t>arretas. Entretenimientos sobre las ciencias: escritos ea fraDces por: el R. P. Bernardo Lamí, presbítero del oratorio: tra¿ucidos é ilustrados por D. Domingo Ugena. presbítero. Esta obra presenta un plan exlcto y sencillo para estudiar las denc·ias, y servirse de ellas con utilidad p</t>
  </si>
  <si>
    <t>Lancástér, Ignacio</t>
  </si>
  <si>
    <t>Ignacio Lancástér</t>
  </si>
  <si>
    <t>zquiz, Arzobispo de Santiago; Conde de Santa Clara; D* Pedro Díaz dé v aldes» Obisób de Bateeloba'; D. Ignacio Lancástér; - D.f Francisco Xavier dé Negrece; X). Francisco dé Borja; D. Juan Joaquín Moreno; Conde de Fuéntéblanca&gt; y D. Jdseph dé Urrutia: ’ ' \ — v7 v' ' 7" ;; ,-7- • ‘ 7 r; Bandas de la</t>
  </si>
  <si>
    <t>Landaburu, Ramón Matías</t>
  </si>
  <si>
    <t>Ramón Matías Landaburu</t>
  </si>
  <si>
    <t>María Scherer de Scherboorg y D. Joseph Rurz de Porras ; á Alférez de granaderos al de fu-: sileros D. Ramón Matías Landaburu; y ¿ Alférez de fusileros al Cadete Dv Manuel Luis de Cray winckel. Habiendo establecido .el Rey por resolución ¿ consulta del Consejo de las Ordenes Vara de Alcalde mayor Juez de</t>
  </si>
  <si>
    <t>Landaeta, Joseph</t>
  </si>
  <si>
    <t>Joseph Landaeta</t>
  </si>
  <si>
    <t>iente de graiTadcros al de fusileros D. Pedro Garrido ; á Tenientes de fusileros á los Subtenientes D. Joseph Landaeta, D. Joseph Muxica, D. Manuel Párraga, D. Ramón Marvés y D. Francisco Antonio Malpica; á Subteniente de granaderos ai de fusileros D. Francisco Cazoria ; á Subtenientes de fusilero</t>
  </si>
  <si>
    <t>Lang</t>
  </si>
  <si>
    <t>as de la Guadalupe no se derramó un# gota de sangre. Un bergantín anglo-ainericano, perteneciente á Mr. Lang, de Halifax, de donde navegaba á S. Juan de Nuevo-Bmnswick , se incendió en alta mar. Iban á bordo 28 personas, las quales se echaron en la lancha para librarse del fuego. Anduvie</t>
  </si>
  <si>
    <t>Langelé, Joaquín</t>
  </si>
  <si>
    <t>Joaquín Langelé</t>
  </si>
  <si>
    <t>rera, D. Antonio Figueroa, Don Diego Calvo, D. Manuel Antonio de Mora y Ramos, D. Francisco Campos, D. Joaquín Langelé, D. Juan Caequillo, D. Pedro Barat, D. Antonio Vayllant, D. Lúeas Alvarez, D. Joseph Maitmez, D. Francisco Xavier Lamadrid, D. Joseph Antonio HerrezuéloD. Joseph Soto, D. Francisc</t>
  </si>
  <si>
    <t>Lanusse</t>
  </si>
  <si>
    <t>que volvió de Palermo aquí, salió el 22 para Paris. Asimismo llegaron el 21 los ciudadanos Reille y Lanusse, Ayudantes del General Murat, y Aimé, su Secretario: fuéron presentados al Sto. Padre, y el 23 marcháron á Nápoles , adonde van á hacer las disposiciones que s</t>
  </si>
  <si>
    <t>Lapayese, Joseph</t>
  </si>
  <si>
    <t>Joseph Lapayese</t>
  </si>
  <si>
    <t>s Carretas. Tratado de hilar, devanar, doblar y torcer las sedas según el método de Vaucanson , por D. Joseph Lapayese; con una disertación sobre la ventaja de este método respecto del antiguo , por el Dr. D. Francisco Ortells y Gombau , presbítero : publicado para que se propague la perfección de</t>
  </si>
  <si>
    <t>Lapeña, Manuel</t>
  </si>
  <si>
    <t>Manuel Lapeña</t>
  </si>
  <si>
    <t>ancisco de Córdoba, D. Carlos Mori, D. Felipe Beautort, D. Salvador Perillos, D. Melchor Calatayud, D. Manuel Lapeña, D. Joseph Bureau, D. Juan Carrafa, el Marques de la Solana, D. Arturo O-Neille, Duque de San Carlos, D. Francisco Xavier Castaños, D. Francisco Ta— raneo, el Marques de Alcocebar</t>
  </si>
  <si>
    <t>Lapeña, Miguel</t>
  </si>
  <si>
    <t>Miguel Lapeña</t>
  </si>
  <si>
    <t>D. Tomas de la Madrid. EnZeuta................D. Pedro Huguet, comisionado subalterno del de Cádiz. Don Miguel Lapeña, Cirujano en esta corte , que vive en la calle de las Maldonadas , casa nueva , núm. x , quarto entresuelo, anunció ¿1 público en el afío de 1797 la curación radical de la tiña po</t>
  </si>
  <si>
    <t>Laplace</t>
  </si>
  <si>
    <t>que reciben de ellas la fermentación. El Ministro de lo Interior Chapthal y el ciud. Laplace, individuos del instituto de Francia , han sido nombrados socios extrangeros del instituto de la República cisalpina. Toro 2 de Mayo. D on Juan Alaejos, vecino</t>
  </si>
  <si>
    <t>Laplume, General</t>
  </si>
  <si>
    <t>General Laplume</t>
  </si>
  <si>
    <t>50 que era comandante de la parte española; y tengo fundamentos para esperar que el General Laplume, que manda en la parte meridional, se entregará como Clervaux. He enviado una brigada á reformar el cuerpo de este, á fin de restablecer el cordon en los límites de la parte españ</t>
  </si>
  <si>
    <t>ingo durante ei mando de Santos y de sus partidarios. Como el General Boudet sabia la intención del General Laplume, comandante de la parte del Sur, de sometere al gobierno francés, no quiso abandonar aquella parte interesante, y así envió al Ayudante general Darboys con 1500 hombres para oblig</t>
  </si>
  <si>
    <t>Laporte, Juan Bernardo</t>
  </si>
  <si>
    <t>Juan Bernardo Laporte</t>
  </si>
  <si>
    <t>a Conde, D, Manuel Jáuregui, D. Cárlos Reynaldp de Coup'igni, D. Joseph Lebrun, D. Manuel la Barre, D. Juan Bernardo Laporte, Don Felipe Crame, D. Francisco Ruigomez, D. Cándido Higuera, D. Diego Navarro , D. Bernardo Luque, D. Rafael Pezzino, D. Luis Ranea ño, Don Juan Meric, D. Antonio Bocarro, D. Jua</t>
  </si>
  <si>
    <t>Laprieta, Antonio</t>
  </si>
  <si>
    <t>Antonio Laprieta</t>
  </si>
  <si>
    <t>sola^'D. Joseph*Molina , D. Miguel Taboada, D. Pedro Espinosa, D. Ramón Varela ¿ D. Melchor Magrat, Don Antonio Laprieta, D. Francisco Ezpeleta, D. Juan Albérni, D. Joaquín Puertolas, D, Vicente Pinzón, D. Félix Muñoz, D. Gines Albadalejos . D. Juan Pelayo Sánchez', D. Joseph María Crespo , D. Barto</t>
  </si>
  <si>
    <t>Lapuente, Santiago</t>
  </si>
  <si>
    <t>Santiago Lapuente</t>
  </si>
  <si>
    <t>Patrimonial de la parroquia de Fuentes de Ebro¿ diócesis de Zaragoza, vacante por fallecimiento de D. Santiago Lapuente, á D. Santiago Anajona: para otro Beneficio de ia parroquia de Castellón de Ampurias,diócesis de Gerona, vacante por muerte de D. Joseph París, á D. Narciso Gingi; para otro funda</t>
  </si>
  <si>
    <t>Lara, Antonio</t>
  </si>
  <si>
    <t>Antonio Lara</t>
  </si>
  <si>
    <t>Blanco, á D. Joseph de Aguilar y Valdes: para otra de la catedral de Cuenca, vacante por muerte de D. Antonio Lara , á I). Miguel Alonso Alcalá: para una Ración de la de Plasencia, vacante por fallecimiento de D. Angel Parejo, á D. Joseph María de Castilla: para otra de la de Málaga, vacante p</t>
  </si>
  <si>
    <t>Lardizabal, Ignacio</t>
  </si>
  <si>
    <t>Ignacio Lardizabal</t>
  </si>
  <si>
    <t>geográfico elemental de Vázquez D. Manuel de Lardizabal , D. Manuel Cíaeessens, D. Antonio Ligarte, D. Ignacio Lardizabal, Cadete de Reales Guardias Española*, D. Jo«e:&gt;k Alaría KindeUn, primer Subteniente del regimiento de infantería de Uátonia, D. Ignacio lim</t>
  </si>
  <si>
    <t>ReaL sejgisnario patriotic o. De aritmética y geometría eÍ^n^qi[q||í^^|,qaoxínj|na^los ^el -Cadete D. Ignacio Lardizabal. De lo mismo y ~de^ trigpc^i^^i^pl|;q|i|5. Antonio de ygarte y D. Bernardino de Echagüe. De las series,&gt;;^álciilo diferencial con sus aplicaciones, y elíntegrai con parte ^e.%u^íi</t>
  </si>
  <si>
    <t>Larochefoucault</t>
  </si>
  <si>
    <t>r principio á sus tareas. .Francfort 30 de Diciembre» E scriben de Dresdeque el ciud. Larochefoucault presentó el dia 13 sus credenciales á S. A. S, el Elector de Saxouia en calidad de Ministro plenipotenciario de la República francesa. Pocos días ántes , el Co</t>
  </si>
  <si>
    <t>Larra-zabal, Manuel</t>
  </si>
  <si>
    <t>Manuel Larra-zabal</t>
  </si>
  <si>
    <t>dicha Factoría á D. Joseph María de la Sota y Riva: para ías de Guardas de la Factoría de Puebla á D. Manuel Larra-zabal, D. Vicente Segura y D. Ramón Tapia: para Administrador del partido deTlapa á Don Joseph Antonio Gortázar: para la de Cabo del Resguardo de la Factoría de Puebla á D. Joseph María</t>
  </si>
  <si>
    <t>Larras, Carlos</t>
  </si>
  <si>
    <t>Carlos Larras</t>
  </si>
  <si>
    <t>D. Ignacio Paino y Mateos, grado de Milicias. En América, D. Pedro Salcedo, D. Francisco de Torres, D. Cárlos Larras, D. Joseph del Castillo, D. César Baibiam, D. Bartolomé Arguelles, D. Casimiro Montero, D. Antonio Montaña, D. Joseph S?avedra, D. Joseph Sastre, D; Francisco Nuñez, D. Maximilian</t>
  </si>
  <si>
    <t>Larrimbe, Manuel</t>
  </si>
  <si>
    <t>Manuel Larrimbe</t>
  </si>
  <si>
    <t>l ííobUrno. dlzagra, en Navarra, 28 de Febrero. L os profesores de medicina y cirugía de esta villa D. Manuel Larrimbe y D. Miguel Mascaré), en fuerza de su patriotismo y amor á sus semejantes, y convencidos de la verdad é inocencia del preservativo de viruelas, la vacuna, han introducido aquí, y sigu</t>
  </si>
  <si>
    <t>Larrion, Domingo</t>
  </si>
  <si>
    <t>Domingo Larrion</t>
  </si>
  <si>
    <t>ntre de la metropolitana de Lima, vacante por fallecimiento de D. Joseph Francisco de Arquellada, á D. Domingo Larrion, Dignidad de Tesorero de la propia iglesia: para la Tesorería al Canónigo D. Ignacio de Albarado: para la Canongía al Racionero D. Matías Querejazu; y para la Ración al Medio-Raci</t>
  </si>
  <si>
    <t>Larripa, Domingo</t>
  </si>
  <si>
    <t>Domingo Larripa</t>
  </si>
  <si>
    <t>n Francisco Dionisio Vives, D. Joseph Canellas, D. Joseph García Orozco, D. Joaquín Regnart y Pont, D. Domingo Larripa, £&gt;. Juan Rayberte, D. Juan Borlasca, D. Víctor Wirtz , D. Francisco Schnernaver, Don Jayme Stóffel, D. Joseph Chaqué, D. Jayme Steudinger, D. Juan Cristiano Bagnioud, D. Francisc</t>
  </si>
  <si>
    <t>Lasala, Agustín</t>
  </si>
  <si>
    <t>Agustín Lasala</t>
  </si>
  <si>
    <t>1023 En América. D. Roque Abarca, D. Joan Leonart,D. Manuel González, D. Ignacio de la Quintana, D. Agustín Lasala, D. Pedro Nolasco dei Rio, Don Joseph Sabido de Vargas, D. Joseph Salvador, D. Francisco Muñoz y San Clemente , D. Juan Antonio de laMata,D. Alexo García Condes Don Antonio Alvare</t>
  </si>
  <si>
    <t>Lasala, Joseph</t>
  </si>
  <si>
    <t>Joseph Lasala</t>
  </si>
  <si>
    <t>do de Teniente Coronel tos Sargentos mayores y Capitanes: **-■ ' en España.. ■ ;. D. Roque Parrada, D. Joseph Lasala, D. Francisco Oviedo,D. Joseph Jubert, D. Ramón Figueroa, D. Francisco Uztariz, D. Juan de Dios Cabrera, D. Joseph Arredondo, D. Luis María Bonsteten, D. Luis Aygremont, D. Cárlos</t>
  </si>
  <si>
    <t>Lasaleta, Bernardo</t>
  </si>
  <si>
    <t>Bernardo Lasaleta</t>
  </si>
  <si>
    <t>s á primer Teniente al segundo de granaderos D;1 Domingo Dúbláisél, y á segundó Teniente al Alférez D. Bernardo Lasaleta.'___................................................................'■ . En el . regimiento de. infantería ;de Saboya se ha servido promover el Rey á Subteniente de .granaderos al</t>
  </si>
  <si>
    <t>Lasaref</t>
  </si>
  <si>
    <t>rlo á la Emperatriz por 450® rublos y las cartas de nobleza. El dia 9 fue enterrado con mucha pompa Mr. Lasaref, Consejero de Estado, armenio de nación, y uno de los fundadores de la casa de expósitos. Dexa una herencia de 12 millones de rublos ó pesos fuertes, que consiste principalmente e</t>
  </si>
  <si>
    <t>Lasauca, Andrés</t>
  </si>
  <si>
    <t>Andrés Lasauca</t>
  </si>
  <si>
    <t>vacantes en el Consejo Reai á los Sres. D. Joseph Navarro Vida!, D. Domingo Fernandez Campo manes, D, Andrés Lasauca, D. Bartolomé de Ra</t>
  </si>
  <si>
    <t>eras, á D. Juan Benito Hermosilla; y para la de la Audiencia de Oviedo, por igual promoción del Sr. D. Andrés Lasauca á D Pascual Quiiez y Talón: para la plaza de Oidor que este obtiene errla Chancille:ía de Granada, al Alcalde del Crimen de la misináT). Blas García de Quesadá; y para ésta result</t>
  </si>
  <si>
    <t>Lascy, Mariscal</t>
  </si>
  <si>
    <t>Mariscal Lascy</t>
  </si>
  <si>
    <t>s'parece que la Sublime Puerta envía un número muy crecido de tropas. Entre los papeles del difunto Mariscal Lascy se ha encontrado la siguiente carta que le escribió el Emperador Joseph 11, y que dicho General á nadie había enseñado. 9fViena 19 de Febrero. (Dia de la muerte de este Soberano).</t>
  </si>
  <si>
    <t>Lasne, General</t>
  </si>
  <si>
    <t>General Lasne</t>
  </si>
  <si>
    <t>la Francia podría darle testimonios reales de esta satisfacción. Ha salido de aquí para Portugal el General Lasne, Embajador de la República francesa cerca de la corte de Lisboa. En Burdeos ha entrado un barco procedente de Nueva-Yorck. Su Capitán declara que á fines de Diciembre se hallaba e</t>
  </si>
  <si>
    <t>Lasqueti y Gal, Luis</t>
  </si>
  <si>
    <t>Luis Lasqueti y Gal</t>
  </si>
  <si>
    <t>richena , D. Manuel Vacaro X Valcarcel, D. Antonio Bobadi!la|y Ángulo, D. Miguel Martínez y Montes, D. Luis Lasqueti y Gal vez, D. Joaquín Ramírez de Arellano* Don Ignacio Munive, D. Juan de Latre y Aissa, D. Tomas Urrecha y Assua, D. Ramón de Móyua y Mazarredo, D. Francisco Tamayo y Reynalte, D. Jose</t>
  </si>
  <si>
    <t>Lasqueti y Lasqueti, Francisco</t>
  </si>
  <si>
    <t>Francisco Lasqueti y Lasqueti</t>
  </si>
  <si>
    <t>. Miguel Basabru, £&gt;. Ramón Pardo y Lama, D. Francisco Ruiz de la Escalera, D. Juan Venéro y Senli, D. Francisco Lasqueti y Lasqueti, DI Joseph de Castró y Navarro, D. Ramón Saavedra y Guiralde, D. Juan de Castro Gómez, D. Manuel Uliente y Gabilla , t). Pedro Quevedo y Hoyos, D. Joseph Ruiz de la Madrid, D. Agu</t>
  </si>
  <si>
    <t>Lasqueti y Lasqueti, Manuel</t>
  </si>
  <si>
    <t>Manuel Lasqueti y Lasqueti</t>
  </si>
  <si>
    <t>, D. Jacinto Romarota y Salamanca^D. Joseph Corones y Alberola, D. Nicolás dé la Vega y San Julián, D. Manuel Lasqueti y Lasqueti , D. Miguel Pascual y Menocal, Don Ramón Rato y Ramírez, fk Roque Díaz Pardo, D. Miguel Daza y García, D. Diego Padura y Vargas, D. Juan Pinedo y Anuncibay, D. Ramón Truliól y And</t>
  </si>
  <si>
    <t>Lassus</t>
  </si>
  <si>
    <t>de dragones de Villaviciosa , y al presente del cuerpo de inválidos de Lugo. El ciud. Lassus es niuy conocido por sus obras: esta es el fruto dé sus tareas'meditadas en el largo tiempo de su práctica de catedrático dé anatomía y operaciones: contiene los</t>
  </si>
  <si>
    <t>Lastres, Joseph María</t>
  </si>
  <si>
    <t>Joseph María Lastres</t>
  </si>
  <si>
    <t>^ar.ai'-.Qo'nniér IfiíJwJfeíjPfe *£m*m &lt;í&amp;jroJ9el!|}ejiL4%^;ápi^j: el ds Teniente Coronel del Rey á D. Joseph María Lastres;, Comandante del de Farnesio: el de Teniente Coronel, de este regimiento á D. Beremundo Ramirez. Comandante del; de Santiagoy el d? Tenjejite Coronel de Alcáqtara ál Coronel D. An</t>
  </si>
  <si>
    <t>Latouche, Almirante</t>
  </si>
  <si>
    <t>Almirante Latouche</t>
  </si>
  <si>
    <t>ron que Santos Louverture estaba dispuesto á recibirnos amistosamente. El i.° de este mes el Contra-Almirante Latouche, llevando en su esquadra una división del exército al mando del General Boudet, se dirigió hácia Puerto-Republicano, para ocupar la parte del sur: y el dia 3 el Capitán de Navio M</t>
  </si>
  <si>
    <t>Látouche, Almirante</t>
  </si>
  <si>
    <t>Almirante Látouche</t>
  </si>
  <si>
    <t>ncluida 4a distribución de las tropas, y hechas todas nuestras disposiciones, di la señal al Contra-Almirante Látouche y al Capitán Magon para que fuesen á exeeutar su encargo, y á la mañana siguiente me presenté con el resto de las fuerzas delante del Cabo.” ___ (Sigue dando cuenta de las dificulta</t>
  </si>
  <si>
    <t>quanto es posible á Santos Louverture y sus parciales. — El General de división Boudet y el Contra-Almirante Latouche se presentaron el dia 4 delante de PuertoRepublicano (Puerto-Príncipe) , y se destacó la fragata Guerrera para llevar la proclama del gobierno, y las cartas del General dirigidas</t>
  </si>
  <si>
    <t>en el Cabo y en el fuerte de la Libertad. Ahora os informo de que la tercera, mandada por el Contra-Almirante Latouche, estaba destinada á favorecer el ataque de Puerto-rRepublicano. Presentóse $ste General allí el 4 de Febrero, habiéndole precedido la fragata la Guerrera para sondear las disposic</t>
  </si>
  <si>
    <t>Latouche-Treville, Almirante</t>
  </si>
  <si>
    <t>Almirante Latouche-Treville</t>
  </si>
  <si>
    <t>yeuse se juntó á la altura de Belle-Isle con la división que zarpó de Rocheíort al mando del Contra-Almirante Latouche-Treville , v con la de Loríente mandada por el ciud. Delmotte, y juntas estas fuerzas hicieron rumbo á Sto. Domingo. A León 14 de Enero. -tientes de ayer comió con el primer Cónsul el Card</t>
  </si>
  <si>
    <t>LatoucheTreville, General</t>
  </si>
  <si>
    <t>General LatoucheTreville</t>
  </si>
  <si>
    <t>n no obstante su avanzada edad de mas de 80 años. Una división bátava y otra francesa, al mando del General LatoucheTreville, esperarán á cierta altura la esquadra de Brest, la qual, según las.' últimas noticias de aquel puerto, está aun detenida por los vientos contrarios. Se han concluido las obras di</t>
  </si>
  <si>
    <t>Laureano Antonio Escarnida</t>
  </si>
  <si>
    <t>va á las circunstancias, que hizo el citado D. Félix Antonio Spina, y con un discurso que pronunció D. Laureano Antonio Escarnida , secretario de la sociedad, demostrando los perjuicios de la ignorancia de la religión, y las ventajas que logrará la nación con la instrucción que.se da a los ñiños y ninas en l</t>
  </si>
  <si>
    <t>Laureano Miravete</t>
  </si>
  <si>
    <t>fusileros 1&gt;. Joxeph María Olona8: en el de Málaga i primer Temente^ de granaderos al de fusileros D. Laureano Miravete: en el batallón de Voluntarios de Valencia a. Xer Subteniente al segundo D. Francisco Antonio Rodrigo; y en el re-; Siento de infantería de Borbon á Subteniente de granaderos al p</t>
  </si>
  <si>
    <t>Lautier, Capitán</t>
  </si>
  <si>
    <t>Capitán Lautier</t>
  </si>
  <si>
    <t>francesa que iba á Alexandría. En el puerto de Trípoli se hallaba una nave francesa mandada por el Capitán Lautier, el qúal tuvo tremolada la bandera miéntras duró la visita, y saludó al Baxá con 21 cañonazos á su entrada y á su salida. El castillo correspondió al saludo. Hamburgo 7 de Mayo. L</t>
  </si>
  <si>
    <t>Lavat, Pedro</t>
  </si>
  <si>
    <t>Pedro Lavat</t>
  </si>
  <si>
    <t>e ha extraviado un vale Real de 300 pesos, creación de i.° de Setiembre, núm. 45,803, con endoso de D. Pedro Lavat á Don Toseph Campanaga , del comercio de Santander, y por este a D. Joachín de Quixano vecino del valle de Buelna , concejo de S. Felices , en el obispado de Santander. Quien supi</t>
  </si>
  <si>
    <t>Lavedan, Antonio</t>
  </si>
  <si>
    <t>Antonio Lavedan</t>
  </si>
  <si>
    <t>la salud, y pueda servir de alivio y curación de algunos males; por el Lie. 1&gt;. Antonio Lavedan, cirujano de exército y de la Real familia. Véndese en la. librería de Gómezcalle de las Carretas. Pyrothecnia entretenida, 6 arte de cohetería; tratado útil á los maestros polvoristas por</t>
  </si>
  <si>
    <t>Laville</t>
  </si>
  <si>
    <t>de mi mando. No hay noticias posteriores á las que ha traído el Cisalpino.” El ciud. Laville al Ministro de Mariií'a. Copenhague gi de Marzo. ,,Os participo que sabemos por cartas de Riga del dia 14 que el Emperador de Rusia acaba de permitir en sus es</t>
  </si>
  <si>
    <t>Laviña, Luis</t>
  </si>
  <si>
    <t>Luis Laviña</t>
  </si>
  <si>
    <t>á ordinario á D. Juan de Retz, Ingeniero extraordinario, y á empleos de esta •dase á los Ayudantes D. Luis Laviña y D. Gaspar Durwel. En el regimiento de caballería del Rey se ha servido S. M. promover á 'Capitán al Ayudante D. Rafael de Armenta y Godoy, y á Alférez al Portaestandarte D. Baltasar</t>
  </si>
  <si>
    <t>Lawrence y Mr</t>
  </si>
  <si>
    <t>no se pueden comunicar formalmente, y cuyo examen, produciría inconvenientes graves. Mr. Elliot, el Dr. Lawrence y Mr. Jones repitiéron sus quejas sobre esta reserva del Ministro, como también sobre la salida de la esquadra de Brest , manifestando temores de que unas fuerzas tan considerables pod</t>
  </si>
  <si>
    <t>Lazaga, Martín</t>
  </si>
  <si>
    <t>Martín Lazaga</t>
  </si>
  <si>
    <t>a y Alcedo, D. Santiago Zaldivar y BurgíSa, D. Joseph Caamuño y Pardo, IX Martin Sarratea y Mayora, D. Martín Lazaga ys Uria , D. Manuel- de Camba -y Leys, D. Salvador Escandon y Antayo, D. Asiutin Maldonadoy Piméntel,:D. Miguel del Busto, D. Manuel Fu-* ne?&gt;, IX Vicente Burragi, D. Manuel Echevar</t>
  </si>
  <si>
    <t>Lázaro de Avila</t>
  </si>
  <si>
    <t>avajas, D. Juan Patricio Rodríguez, D. Joseph Benito Romero, D. Joaquín de Ponte, D. Joseph Molina, D. Lázaro de Avila, D. Baltasar Calvache, Don Francisco Ruiz, D. Alfonso Ramiro, D. Antonio de la Rocha , D. Juan López de Molina,D. Lucas Salazar, D. Ramón Serrano, D. Juan Joseph Martínez, D. Jose</t>
  </si>
  <si>
    <t>Lázaro de Dou, Ramón</t>
  </si>
  <si>
    <t>Ramón Lázaro de Dou</t>
  </si>
  <si>
    <t>cion, y con tal que no esten maltratados. Instituciones del Derecho público general de España , por D. Ramón Lázaro de Dou: tomo 3.0 Se vende en la librería de Dávila, calle de las Carretas , y en Barcelona en la de Ribas al mismo precio y con la distinción entre papel fino y regular, y entre Madrid y</t>
  </si>
  <si>
    <t>Lazcano, Joseph</t>
  </si>
  <si>
    <t>Joseph Lazcano</t>
  </si>
  <si>
    <t>ncia de Don Miguel García de la Madrid, en el término de 30 dias, contados desde el 16 de este mes. Don Joseph Lazcano,sus herederos,a por falta de estos los de su hermano Don Joaquín, que por los años de 1750 y 55 pasáron á Nueva-Espafia y Manila, remitirán á D. Joseph Lizcano, primo de estos, ve</t>
  </si>
  <si>
    <t>Lcclercse, General</t>
  </si>
  <si>
    <t>General Lcclercse</t>
  </si>
  <si>
    <t>extrangeros qu^ lostmpoiten 20 pornoo según ébvaHot déla factura, v , : r: - lH -Por otra orden del General Lcclercse ha mandado ló siguiente: „ Ar-&gt; tículo 1. Desde 20 de Junio hasta el 21 de Diciembre entrarán en los püei^ tos abaxo mencionados, libres de todo derecho, los ganados y la madérá d</t>
  </si>
  <si>
    <t>Leach, Capitán</t>
  </si>
  <si>
    <t>Capitán Leach</t>
  </si>
  <si>
    <t>go ; muchos de ellos perdieron la vida, y ios demas se sometieron. La embarcación nombrada Reward , Capitán Leach, reci-en llegada de Jamayca, ha perdido en su víage 7 hombres que murieron por haber comido tiburón, y principalmente su hígado: algunos de ellos se volvieron locos ántes de morir</t>
  </si>
  <si>
    <t>Leal de Ibarra, Antonio</t>
  </si>
  <si>
    <t>Antonio Leal de Ibarra</t>
  </si>
  <si>
    <t>Hoyos, D. Joseph Ruiz de la Madrid, D. Agustín Wauters y Donesteves, D. Vicente Guillen y Busaran, D. Antonio Leal de Ibarra, D. Juan de Vivero y Silva, D. Angel Texeyro y Zafra, D. Joseph María Autran, D. Joseph de Varas Barnóla, D. Bartolomé Pose Valledor, D. Juan Orozco y Herrera, D. Alexo Gutiérrez</t>
  </si>
  <si>
    <t>Leandro de Cáceres</t>
  </si>
  <si>
    <t>ncisco Párraga, D. Vicente de la Torre Puebla ,D. Joseph Pardo y Lama, D. Lorenzo de Toro y Toledo, D. Leandro de Cáceres, D. Juan Izquierdo, D. Manuel de Lobo y Campo, D. Carlos Sellery, D. Lorenzo de la Puente, D, Ruperto Calderón,D. Pedro de Toro y Toledo, D. Carlos Engracia Carrasco , D. Felipe U</t>
  </si>
  <si>
    <t>Leandro Echevarría</t>
  </si>
  <si>
    <t>. Joseplf Antonio Diaz. En el regimiento fixo de Cartagena ha promovido S. M. á Capitán al Ayudante D. Leandro Echevarría. r En la extracción de la Real lotería executada el lunes 6 de este mes saliéron los números 27, 9, 68, 30 y 46; y con ellos han ganado los jugadores 438,280 rs. A cónseqiiencia d</t>
  </si>
  <si>
    <t>Leandro Quintana</t>
  </si>
  <si>
    <t>rracin y Quero: para el Arciprestazgo de Cuellar , en la diócesis de Segovia, vacante por muerte de D. Leandro Quintana, á D. Juan Ramón de Iscar, con la obligación de precisa residencia que tiene anexa: para la Préstamela de Monte'agndo, en la Vicaría de S. Lúear de Barrameda, arzobispado de.Sevil</t>
  </si>
  <si>
    <t>Lear</t>
  </si>
  <si>
    <t>60 casas enteramente libres-de daño de resultas del último incendio. El General Leclerc reconoció á Mr. Lear en su calidad de Cónsul anglo-americano. Quando las tropas francesas entraron en el Cabo había en aquel puerto 35 embarcaciones de los EstadosUnidos. Ofreeiéron los franceses pagar</t>
  </si>
  <si>
    <t>Lebas</t>
  </si>
  <si>
    <t>da a Céres , que se habia de poner*éa medio de .ana plaza , le ha conseguido el ciud. Lebas; del quarto proyecto, que era un edificio para und.wq^de emSUcK&gt;n,.se han reparttSo &lt;lós premios , el »no al mismo ciud. Eel^s, y #tro al ciud. Gaste. v V More</t>
  </si>
  <si>
    <t>LeboaeC, Capitán</t>
  </si>
  <si>
    <t>Capitán LeboaeC</t>
  </si>
  <si>
    <t>bra de aquel! célebre artista.' * Ay, -A.. •i: •--A-VI • sí Hallándose én .el mar el 12 de Enero el Capitán LeboaeC* coraandáñfé de la fragata Cloririda, al N. E. de la Guadalupe á la lar.N. I9gr»2iség. y a la iong. occidental de París de .5 3 gr. y 2,1 seg¿, echó al aguá urta bótella que conte</t>
  </si>
  <si>
    <t>Lebrun</t>
  </si>
  <si>
    <t>á la prosperidad de esta República. A mediados del mes anterior llegó á Roma el ciud. Lebrun, hijo dei tercer Cónsul, y Ayudante de Bonaparte : entregó los pliegos que llevaba para el Secretario de Estado de S. S. y para el Ministro francés, y siguió s</t>
  </si>
  <si>
    <t>á despacharse sus bulas para el Arzobispado de Milán; y se las enviarán por el ciud. Lebrun, Ayudante del primer Cónsul, quando vuelva de Palermo, para donde ha continuado su viage desde Roma.” Por el ministerio de Marina se han publicado las cartas d</t>
  </si>
  <si>
    <t>hillo á los blancos. Respondí al General Christóbal, y le envié mi carta por el ciud. Lebrun, Edecán del Almirante Villaret. Entretanto vino una diputación de la municipalidad del Cabo á suplicarme considerase la desgraciada situación de los habitantes</t>
  </si>
  <si>
    <t>os y venganzas entre sus habitantes. • '• ¡ t Ñapóles 27 de Febrero. ... • E .1 ciud. Lebrun, Ayudante del primer Góhsul, no hallando aquí al Ministro Acton, xe embarcó inmediatamente para Palermo^;; « " f Permanecen en este puerto 3 fragatas rusas; un</t>
  </si>
  <si>
    <t>aquí la marina, ha tremolado su bandera en el navio Jemmappes.” Se sabe que el ciud. Lebrun, Ayudante del primer Cónsul, ha llegado ya á Falermo. Para los gastos de los caminos y puentes que han de componerse este año , ha destinado el gobierno 16.009</t>
  </si>
  <si>
    <t>Lebrun, Joseph</t>
  </si>
  <si>
    <t>Joseph Lebrun</t>
  </si>
  <si>
    <t>. Diego María Fiballer, D. Jayme García Conde, D, Manuel Jáuregui, D. Cárlos Reynaldp de Coup'igni, D. Joseph Lebrun, D. Manuel la Barre, D. Juan Bernardo Laporte, Don Felipe Crame, D. Francisco Ruigomez, D. Cándido Higuera, D. Diego Navarro , D. Bernardo Luque, D. Rafael Pezzino, D. Luis Ranea</t>
  </si>
  <si>
    <t>n el. de Realas Guardias Walonas á Capitán at pruner Teniente de granaderos , graduado. ds Coronel, D. Joseph Lebrun. *• _ . El Rey; se ha servido,conferir el empleo d^ Coronel del regimiento de infantería de Ja Corona a\ Teniente Coronel de él, graduado de Corone), parques de Gasatremáñes*: el</t>
  </si>
  <si>
    <t>Leceta y la Iglesia, Francisco</t>
  </si>
  <si>
    <t>Francisco Leceta y la Iglesia</t>
  </si>
  <si>
    <t>o y Abarca, D. Pablo de Villa y Gutiérrez, D. Joaquín Sanchiz Verenguer, D. Rafael de Lobo y Campo, D. Francisco Leceta y la Iglesia, D. Manuel Ocarol y Fuertes, D. Antonio Magadan y Entrenos, D. Norberto de Mella-y Barbeyto, I&gt;. Juan de Bustamante y Bustamante, D. Joaquín del Pollo Sagasú, D. Pedro Negrete y T</t>
  </si>
  <si>
    <t>Leclerc y del Almirante Villaret, General</t>
  </si>
  <si>
    <t>General Leclerc y del Almirante Villaret</t>
  </si>
  <si>
    <t>nde ha continuado su viage desde Roma.” Por el ministerio de Marina se han publicado las cartas del General Leclerc y del Almirante Villaret, Comandantes de la expedición de Sto. Domingo, traídas por la fragata Sirena, recien entrada en Brest, y dirigidas al M inistro de Marina y las colonias. La primera del General Le</t>
  </si>
  <si>
    <t>Leclerc, General</t>
  </si>
  <si>
    <t>General Leclerc</t>
  </si>
  <si>
    <t>n otros dos navfós y ái^hbs fránsp&lt;&amp;teí ccon varios efectos, y muchos* pasagero» que se esperan._El General Leclerc, que se ha embarcado en el navio Océano, nalló en aquel buquéunafcámara primorosa y ricamente adornad^ dispuesta pará £1 y1 si*'¿frpOsáw '¡l v'!yí&gt; -,:'T ; ^ •' E t Parts jo, de D</t>
  </si>
  <si>
    <t>pues (si era posible) los males y desastres que amenazaban á esta desgraciada colonia, determinó el General Leclerc desembarcar todas las tropas de transporte, para apoderarse por tierra de la ciudad y de sus fuertes: y para hacerme sabedor el Almirante Villaret de la resolución en que estaba el G</t>
  </si>
  <si>
    <t>negros para impedirle, todos, fueron inútiles perlas sabias y acertadas disposiciones militares del General Leclerc, quien se apoderó inmediatamente de uno ó dos cañones con que los negros tiraban sobre la.playa, forzando todos loí demas que coronaban las alturas de los montes inmediatos á una</t>
  </si>
  <si>
    <t>Sirena, recien entrada en Brest, y dirigidas al M inistro de Marina y las colonias. La primera del General Leclerc contiene lo que sigue: „Quartel general del Cabo, 9 de Febrero. El 29 de Enero avhtámos el cabo Samaná , en donde se reunieron las esquadras despachadas de Brest, Loriente y Roche</t>
  </si>
  <si>
    <t>nimos , se restablezca la tranquilidad pública, y renazca la felicidad de la colonia. Al remitir el General Leclerc al General Christóbal una proclama paralos isleños , le escribió la siguiente carta: ,,He llegado á saber con indignación que os negáis á recibir la esquadra francesa, y el exérci</t>
  </si>
  <si>
    <t>contra Fuerte-Delfín. Condtixe yo el resto de la es-quadrá y las tropas con que se había quedado el General Leclerc para apoderarse dé la ciudad del Cabo y los distritos inmediatos , que son los pun-: tos mas principales de la colonia. El 2 de Febrero al anochecer, concluida 4a distribución de</t>
  </si>
  <si>
    <t>quelrpaís 5 por 100 de su valor. -1 „ . nv f •' :¡V : Entre varías órdenes de buen ^gobierno-que el General Leclerc publicó en la isla de Sto. Domingo , diay una proclama * que extractada dice1 así: 9fQttarte¿ general, dei Üabá 77 de Febreroi He venido aquí en nombre del gobierno de ^rancia á t</t>
  </si>
  <si>
    <t>pues 150 cañones que los negros tenían depositados en un soja punto, y de los quales se apoderó el General Leclerc, hacen inútil toda ífemesa de esta especie. Quadrillas cíe negros se presentaron al General Leclerc ofreciéndole sus brazos y sus armas. Envió dicho General á Santos sus dos hijos</t>
  </si>
  <si>
    <t>sis. (Se concluirá). El Ministro de la Guerra ha enviado á los Cónsules el siguiente infor^me: ,,El General Leclerc desembarcó en Sto. Domingo sin llevar consigo un General ni un Xefe de brigada de ingenieros. El ciud. Carnot, á quien el primer Inspector habia nombrado para la expedición, porque e</t>
  </si>
  <si>
    <t>que Santos Louverture, derrotado por el exército francés , se retiró á Ib interior de la isla, y el General Leclerc quedaba disponiéndose á persé-, guirle. _—El i§ de Febrero fondeó ert Puerto Real de-Jamayca la-fragatá francesa la Cornelia , mandada por, el. Capitan Villemadrin, y despachada d</t>
  </si>
  <si>
    <t>ite, estrechados entre el exército del General en xefe y el cuerpo mandado por Boudet.__ Ansioso el General Leclerc de lograr el principal objeto de sus empresas, que era destruir enteramente los dos xefes de la insurrección , no hizo caso en su acelerada marcha de algunas partidas de negros rebel</t>
  </si>
  <si>
    <t>io que se ha construido en estos arsenales en 18 meses. París 2¿T de Abril. L as últimas cartas del General Leclerc publicadas por el gobierno son de 27 de Febrero y i.° de Marzo. La primera contiene un diario de las operaciones del exército de su mando desde el dia 17 de Febrero en que entro e</t>
  </si>
  <si>
    <t>rxes no han quedado mas que 60 casas enteramente libres-de daño de resultas del último incendio. El General Leclerc reconoció á Mr. Lear en su calidad de Cónsul anglo-americano. Quando las tropas francesas entraron en el Cabo había en aquel puerto 35 embarcaciones de los EstadosUnidos. Ofreeiér</t>
  </si>
  <si>
    <t>ucba regularidad.Los Generales Debelie,Dugua, Devaux y Boudet saliéron heridos de esta refriega; al General Leclerc le dio una bala fría en la cintura, y fuéron heridos á su lado 4 Ayudantes suyos. Nuestra pérdida subió á 500 hombres entre muertos y heridos ; pero los rebeldes consternados al v</t>
  </si>
  <si>
    <t>y el puerto de Ambéres» ^ Varis 1.* de Juntó. ra carta en que con fecha de 26 de Marzo comunica el General Leclerc al Ministro de Marina los últimos sucesos militares acaecidos en la isla de Sto. Domingo ^contiene en resúmenlo siguiente: „ Tengo la honra de daros cuenta de la toma de los morro</t>
  </si>
  <si>
    <t>cinco de ia madrugada. »t -; r-/ Parts 5 de; Junto. S e han publicado las dos cartas siguientes del General Leclerc al Ministro de Marina. La primera fecha en Puerto-Republicano el i.0 de Abril, dice sísí i: „ Ciudadano Ministrov Dessalines , perseguido por nosotros, inmediatamente después de l</t>
  </si>
  <si>
    <t>ue el estado de aquella colonia es el que se sabe por las noticias: que traxo esta diyisionq que él General Leclerc había formado un cordon detropas, pará impedir la comunicación á los insurgentes, que efectivamente estaba corta-* da entre las tropas de Santos y las de Dessalines, las quales «e</t>
  </si>
  <si>
    <t>j $ de Junio. -■ . ■&gt;. P or el ministerio dé Marinarse han publicado las dos siguientesjcantas del General Leclerc, comandante' fen 'xéfé del exército republicanoen Sto. Do*miiigo, ambas cón?féch * de 8 dé -iMayo*. lia primera dice así„ Despacho ú toda priesa mi Ayudante el ciud. Bruyéres para</t>
  </si>
  <si>
    <t>isla está quieta , y los xefes sometidos á las leyes de la República. Ayer vi á Santos en casa del General Leclerc, y vi todo un. hombre. Quanto. hablaba era'-meditado ; tiene juicio ,4ngenio, un grande hábito de mandar;, y es muy superior á todos los de su casta. Los juicios .que de él han fo</t>
  </si>
  <si>
    <t>la retaguardia de dicho exército francés ha entrado ya en este departamento. Parts 13 de Julio. E 1 General Leclerc ha escrito al Ministro de Marina la siguiente carta. „Quartel general del Cabo, 11 de Junio. En uno de mis últimos plieos os di cuenta del perdón que tuve á bien conceder al Gener</t>
  </si>
  <si>
    <t>us artículos quedarán sin fuerza miéntras dure su actual estado de guerra. Por otra providencia del General Leclerc se divi-: déla parte francesa de la colonia en departamentos, distritos y pueblos. Los'departamentos son 3, del Norte , del Oeste y del Sur.__ A fines de Jumo llegaron de Tolos al</t>
  </si>
  <si>
    <t>mel. v. El Prefecto de la colonia hará qué se imprima, publique y execute¿elpresente decreto.” ^ El General Leclerc enviaba un cay man vivo de Santo Domingo á 'Fdfítg cia&gt;; pero murió en la navegación :de Biest al’ Havre pOttjúe estandomuy borrascoso el mar, no: pudo resistir á la violenciá de;lo</t>
  </si>
  <si>
    <t>mado: Cirios Mauricio TaUeyrand.” ' : Según cartas de Sto. Domingo, el 4 de Julio estaba alojado el General Leclerc en el morro del Cabo, donde es mas sano el ayre, y gozaba una buena salud. Trabaja sin cesar en el arreglo de aquella inmensa colonia, se esmera en vencer todas las dificultades que</t>
  </si>
  <si>
    <t>e han recibido cartas y gazetas de Sto. Domingo de fines de Agosto. Contienen varias proclamas del General Leclerc sobre asuntos de gobierno,comercio y tranquilidad pública. Una de ellas dice substancialmente así:,,En nombre del gobierno francés. El General en xefe Capitán General decreta: Art</t>
  </si>
  <si>
    <t>Viene de Sto. Domingo, y solo tardó 18 dias en su navegación, fallábase á su bordo un Ayudante del General Leclerc, que apénas desembarcó se pujo ea marcba con pliegos para este ministerio. . ÍP El Enviado q$o: is Regenciade Túnezha nombrado para cumplimentar al prímer Cón^i , Uegó á Leoq el d</t>
  </si>
  <si>
    <t>Leclercy, General</t>
  </si>
  <si>
    <t>General Leclercy</t>
  </si>
  <si>
    <t>ades en que está dividida esta ciudad. . El Mirustro de íMarina ha publicado la siguiente carta.del General Leclercy fecha ¿14 de junio en el quartel general del Cabo: .», Prosigue esta Colonia gozándo la mayor tranquilidad1» sobre, todo &gt; desde que se han disuelto las pandillas que se habían fo</t>
  </si>
  <si>
    <t>Leclere, General</t>
  </si>
  <si>
    <t>General Leclere</t>
  </si>
  <si>
    <t>uestras tropas sus disposiciones para el ataque general: ayer le principiáron, y ahora dicen que el General Leclere se ha apoderado dei campamento de Santos, derrotando completamente á los negros. En la división que ha llegado de Tolon al mando del General Gantheaume han venido mas de 3® soldad</t>
  </si>
  <si>
    <t>Leclttc, General</t>
  </si>
  <si>
    <t>General Leclttc</t>
  </si>
  <si>
    <t>ido las tropas desde su desembarco', sea por las enfermedadesy sea pecando contra los rebeldes! El. General Leclttc sé'disponía 'a ponerse en maicha para perseguir* á los insurgentes que se han acogido ¿ las montañas.^.La ciudad del Cabo estaba casi enteramente reedificada, y en los demas puebl</t>
  </si>
  <si>
    <t>Lecourbc, General</t>
  </si>
  <si>
    <t>General Lecourbc</t>
  </si>
  <si>
    <t>T errible un. exércíto francés encargado de cierta operación militar muy importante. La llegada dei General Lecourbc á Berna dió motivo á varias conjetu</t>
  </si>
  <si>
    <t>Lecourbe, General</t>
  </si>
  <si>
    <t>General Lecourbe</t>
  </si>
  <si>
    <t>sepa el motivo del aumento de fuerzas de aquella nación en lo interior de Suiza. Ayer llego aquí el General Lecourbe ; y también se ignora la causa de Sti venida. Igualmente, el General Ansey transitó antes de ayer por esta ciudad para Thun, en donde hay 4 compañías de tropas francesas. Se asegu</t>
  </si>
  <si>
    <t>Lector, Blas</t>
  </si>
  <si>
    <t>Blas Lector</t>
  </si>
  <si>
    <t>ada... 331.■... Id. Blas Lector..................... . . . Martin, Alfonsa López.... Fuenlabrada. Madrid......... 70. 33. Id. Lorenzo Domínguez......... . Gaspar , María Martínez... Cas</t>
  </si>
  <si>
    <t>Leelerc, General</t>
  </si>
  <si>
    <t>General Leelerc</t>
  </si>
  <si>
    <t>e Julio, S e han divulgado las siguientes circunstancias en orden á la tos Louverture. Noticioso el General Leelerc de las nuevas tramas de aquel caudillo, despachó secretamente la fragata Criolla á Marcos, y en ella uno de sus ayudantes cop algunas tropas, que desde aquel puerto se dirigieron á la ha</t>
  </si>
  <si>
    <t>es lá ciudadela de Turín. ^ ! • •• '»í.i UlO allegado * á París bel íéiué* huyeres**! Ayudante dél? General Leelerc¿ que salió de t Cabo Francés el ic* de Octubre. Los Genérales Leclerc, Dugua y Rochambeau- quedaban al frente de sus respectivas tropas, y todos 1</t>
  </si>
  <si>
    <t>Leelere, General</t>
  </si>
  <si>
    <t>General Leelere</t>
  </si>
  <si>
    <t>gar , traéd al gobierno la expresión del voto público á quien desea consultar .siempre '* Carta del General Leelere al Ministro de Marina 3 escrita eú el quarltel general de Puerto-Republicano d £ de Marzo. „ Llegué á esta ciudad y la hallé intacta y enteramente conservada. No ha sucedido lo mi</t>
  </si>
  <si>
    <t>Lefebre</t>
  </si>
  <si>
    <t>ercero, y al ciud. Kieffer para Secretario intérprete de la misma embatada : al ciud. Lefebre, primer Secretario de la legación francesa en Florencia, para Secretario de la de Ñápoles; y al ciud. Simeón para primer Secretario en Florencia. Finalmente, h</t>
  </si>
  <si>
    <t>Lefevre</t>
  </si>
  <si>
    <t>quejan del daño considerable que les causan los derechos excesivos impuestos sobre el papel. Apoyó Mr. Lefevre esta petición, alegando entre otras razones que el comercio de los libros es casi nulo en el dia á causa de dichas contribuciones: de suerte que de algunos meses á esta parte muchas</t>
  </si>
  <si>
    <t>Lefranqais-Lalande</t>
  </si>
  <si>
    <t>* ^ El Instituto; nacional" en su * junta general de 26 de Diciembre nombro al ciud. Lefranqais-Lalande por individuo de la clase de ciencias fisicomatemáticas en la sección de astronomía, en lugar del difunto ciud. Borie: á Mr. Jefferson, Presidente de los Estad</t>
  </si>
  <si>
    <t>Lega</t>
  </si>
  <si>
    <t>Lega, Coronel</t>
  </si>
  <si>
    <t>Coronel Lega</t>
  </si>
  <si>
    <t>rte de estos soldados son alemanes, húngaros y polacos. También ha salido del Texel el batallón del Coronel Lega, que va á guarnecer la isla de Java y las Molucas. Se ha publicado una proclama del gobierno que explica algunos artículos del último indulto concedido á favor de los emigrados ho</t>
  </si>
  <si>
    <t>Leguerica, Joseph</t>
  </si>
  <si>
    <t>Joseph Leguerica</t>
  </si>
  <si>
    <t>e ha servido S. M..nombrar para la Contaduría del Consulado de la Coruña, vacante por jubilación de D. Joseph Leguerica, á D. Benito María de Rivas, Secretario del mismo Cuerpo ; y para la Secretaría que resoltó vacante á D. Joseph Lúeas Labrada. • En América. El Rey se ha servido nombrar para el e</t>
  </si>
  <si>
    <t>Lei, Almirante</t>
  </si>
  <si>
    <t>Almirante Lei</t>
  </si>
  <si>
    <t>dignidad cí»ino prudencia. El 5 de Agosto se presentó en Argel dicnádivi ion mandada por el Contra-Almirante Lei&amp;ségues: en ella iba as oficial de-palatío^fLA^p»^</t>
  </si>
  <si>
    <t>Leída, Antonio</t>
  </si>
  <si>
    <t>Antonio Leída</t>
  </si>
  <si>
    <t>infantería Real de Orna al Capitán graduado D. Ignacio del Alcázar, Ayudante dei mismo cuerpo, y I D. Antonio Leída!, Teniente de granade-' ros; á Ayudante al Teniente D. Pedro López; á-Teniente de granaderos aj de fusileros D. Fernando Barrantes; á Tenientes dé fusileros al Subteniente de 1.a</t>
  </si>
  <si>
    <t>Leissegnes, Almirante</t>
  </si>
  <si>
    <t>Almirante Leissegnes</t>
  </si>
  <si>
    <t>. Los cautivos á quienes se dio libertad por el Dey de Argel» y q«avienen en lá división del Contra-Almirante Leissegnes, son 36: los 11 marineros corsos , y los restantes napolitanos y sardos; y el número de los esclavos que se jrefugiáron á los mismos bnqoes franceses, mientras permanecieron en Ar</t>
  </si>
  <si>
    <t>Leissegues, Almirante</t>
  </si>
  <si>
    <t>Almirante Leissegues</t>
  </si>
  <si>
    <t>psque de sus jardines al oficial. de palacio, ai Encara gado de Negocios de ía República, ai Contra-Almirante Leissegues y á sh numerosa oficialidad. Allí entregó ai General Hulíin la respuesta que había dispuesto para el primer Cónsul, cuyo tenor sigue. ,,En nombre de Dios solo, del hombre de Dios nu</t>
  </si>
  <si>
    <t>Lentuíüs del de Secretario</t>
  </si>
  <si>
    <t>dexacion del empleo de Ministro plenipotenciario de la República helvética,y el ciud. Lentuíüs del de Secretario de legación. El ciu¿L Muller , que réemplaza al primero en calidad de Encargado de Negocios, está ya reconocido por esta corte, á r ' Aschaffemburgo gi de Julio,</t>
  </si>
  <si>
    <t>León de Albéar-en, Ramón</t>
  </si>
  <si>
    <t>Ramón León de Albéar-en</t>
  </si>
  <si>
    <t>al primer Subteniente D. Antonio Peña : en el de Burgos á primer Teniente al segundo de granaderos D. Ramón León de Albéar-en el de Asturias á segundo Teniente al Subteniente de granaderos D. Nicolás Caunedo: en el batallón de cazadores Voluntarios^ de Barbastro áCapitán segundo al primer Teniente D. Anton</t>
  </si>
  <si>
    <t>Leon González del Cal</t>
  </si>
  <si>
    <t>udiencia de dicho SeI5.or. Quien quisiere ha~er postura acuda ante S. S. y escribanía del número de D. Leon Gonzalez del Cal~lino. . En virtud de providencia del mismo Sr. Teniente Corregidor D. Juan Antonio Santa Mana se estan subastando las fincas siguientes: una casa sita en esta corte en la calle de</t>
  </si>
  <si>
    <t>León González del Camino</t>
  </si>
  <si>
    <t>y su capital tasado aí 3 por ico importa 1.3j© rs. Quien quisiere hacer postura acuda ante el Lie. D. León González del Camino * Alcalde mayor de dicha villa, y pob la escríbanla de su número que exerce D. Manueh Moreno. Por el Lie. Xfc- Fernando Camborda, Abogado de los Reales Consejos , Alcalde mayor de</t>
  </si>
  <si>
    <t>León y Dumenech, Manuel</t>
  </si>
  <si>
    <t>Manuel León y Dumenech</t>
  </si>
  <si>
    <t>legio de cirugía? médica de S. Carlos sus alumnos D. Juan Antonio Villarino, p. Luis María Maffei , D. Manuel León y Dumenech y D* Josqph Palacian. Los dos. primeros abriéron el éxerciciocon tin discur-;, so .^iie algunos dias intesi les había encabado combinas antiguos í su catedrátioo D. Pedro Qutierrez Bu</t>
  </si>
  <si>
    <t>León, Gerónimo</t>
  </si>
  <si>
    <t>Gerónimo León</t>
  </si>
  <si>
    <t>dos los que se le presentáron, y las repitió en otros 86 en el Real sitio de S. Lorenzo, ayudado de D. Gerónimo León, Cirujano de él y honorario de familia de S. el qual hizo igualmente por su parte ésta Operación á quantos acudieron al intentó.1 Durante la permanencia dé la corté eñ está villa,</t>
  </si>
  <si>
    <t>Leonardo de Galli</t>
  </si>
  <si>
    <t>ar la salubridad, y de purificar el ayre en las quadras, hospitales &amp;c. : traducida del francés por D. Leonardo de Galli, Doctor en medicina, Cirugía y química, Cirujano de Cámara de S. M. &amp;c. : papel en 4.0 Se hallará á 3 rs. en la librería de Perez y compañía, cálle de los Preciados. En la librerí</t>
  </si>
  <si>
    <t>Leonardo de la Barga, Martín</t>
  </si>
  <si>
    <t>Martín Leonardo de la Barga</t>
  </si>
  <si>
    <t>ra la Canongía de la metropolitana de Búrgos, vacante por fallecimiento de D. Antonio de Granada, á D. Martin Leonardo de la Barga: para la de la colegiata de la ciudad de S. Felipe, diócesis de Valencia, vacante por muerte de D. Timoteo Esteve, á D. Andrés Calabuig: para una Ración de la catedral de Coria, v</t>
  </si>
  <si>
    <t>Leonardo Jobo</t>
  </si>
  <si>
    <t>stos el Secretario de Embaxáda D. Gerardo Robértone’, y á sus lados los caballeros agregados á ella D. Leonardo Jobo y D. Francisco Carafa, en caballos de las Reales caballerizas. Seguía et Sr. Embaxador ¡acompañado por el Sr. Marques de Tolo s a, Mayordomo de Semana , y por el Sr. D: Jóseph Chacón</t>
  </si>
  <si>
    <t>Leonardo Vicente de Zuloaga</t>
  </si>
  <si>
    <t>caballería hace 14 á 16 años, la comunicará en Bilbao á D. Joseph de Andircngoechea, y en Madrid á D. Leonardo Vicente de Zuloaga. Práctica de las enfermedades asténicas ó de debilidad fundada en la experien-é cia y en la doctrina browniana; opúsemos nono y décimo del Dr. D. Vicente Mitjavila , teniente prot</t>
  </si>
  <si>
    <t>Leopoldo Eberhard de Wurtemberg, Duque</t>
  </si>
  <si>
    <t>Duque Leopoldo Eberhard de Wurtemberg</t>
  </si>
  <si>
    <t>Los señoríos, feudos y dominios' poseídos por los herederos y sucesores de los hijos naturales del Duque Leopoldo Eberhard de Wurtemberg • Montbeliard, que deben recaer en la casa ducal; y 6.° los dominios, derechos y rentas de $ pira , Dudenhaven y, los contornos en la izquierda del Rhin. Art. 111. Igualmente renu</t>
  </si>
  <si>
    <t>Leopoldo Menead</t>
  </si>
  <si>
    <t>ancisco Neeochea, D. Joseph Gaytan, D. Luí* Duran* D- .Manan®: Zapata, D.JEodngo y D. Pedro Tavíra, D. Leopoldo Menead», P- JosephTorres, D. Luis Vidarte, i D-Í'o¿qum del ÍÜo, D. Frabciscf» trespalaeios y D, JuanEantista Geram; los seminaristas D. Joseph María Munive y D. Agustín Duran ajo fueron</t>
  </si>
  <si>
    <t>Leopoldo Menend</t>
  </si>
  <si>
    <t>bastian Lasa. Del tratado de esfera D. Rodrigo Tavira , D. Pedro Tavira, D. Francisco Trespaiacios, D. Leopoldo Menend.ez, D. Joaquin del Rio, el Marques de Iranda , Don Blas de Lezo, D. Joaquin Fernández de Medrano, D. Juan Bautista Cerain, D. Valentín Martinez, D. Luis Berganzi y D. Antonio Abax</t>
  </si>
  <si>
    <t>Leopoldo Menendez</t>
  </si>
  <si>
    <t>a!,; fuéron examinados de aritmética D. Pedro Tavira, D. Rodrigo Tavira, D. Francisco Traspalados ¿ D. Leopoldo Menendez , D. Manuel de la Riva Agüero, D. Antonio Tavira y D. Ignacio de Emparan: de geometría elemental, hasta los planos exclusive, D. Ignacio de Emparan, D. Sebastian de Lasa, D. Josep</t>
  </si>
  <si>
    <t>e, D. Joachín del Rio, D. Luis Verganza, D. Joseph de Eíquivel , D. Iñigo Ortés , Don Blas de Lezo, D. Leopoldo Menendez y D. Ignacio de Lardizabal, Ln el ba) le, al cargo de su maestro D. J uan Castro, D. Joseph Kindelan , Don Ignacio Empatan, D. Pedro Tavira, D. Rodrigo Tavira, D. Antonio Gil-, mán, D</t>
  </si>
  <si>
    <t>guer^ PédjO ?av.ira,yD-, Lardizabal&gt; MaJoaqujn Mjcbano, ÍK-.fé nació «Empatan;, eí; Cadete Gilman j D, Leopoldo Menendez,_D. Ati•toijid^b^iíis,y &gt;fe. i.a ¿S^** *4 cargó los, .«Cadete* Gilman., Dardlaabal y Riva-i Agüero;,-Di Ignacio -Éiiñparaa, D. P^dro Gopssens (ys estos dos Aaiiibien en el bai le</t>
  </si>
  <si>
    <t>Leori Ortiz de Rozas</t>
  </si>
  <si>
    <t>o promover en el regimiento de infantería de Buenos-Ayres á Capitanes á los Tenientes de granaderos D. Leori Ortiz de Rozas y D. Manuel de Salas , y á los Ayudantes D. Miguel Santistébatí y D. Antonio Aragón ; á Tenientes de granaderos i los de fusileros D. Roque Rioboo y D. Bernardo Lorenzo; á Ayudantes á</t>
  </si>
  <si>
    <t>Lerminier</t>
  </si>
  <si>
    <t>ercanías de Strasburgo. Qpíicltiyóse la junta con la lectura de una memoria del ciud. Lerminier, 4^ ¿onteúia' una serie dé observaciones sobre los últimos instantes déla vida. ^ \ v.i:-' v '"V‘-;}^^Ostma 20 de Mayo¿ . '’■ ’ ,:s.* G ontinUattdola s&amp;éiedad</t>
  </si>
  <si>
    <t>Lesaea, Carlos</t>
  </si>
  <si>
    <t>Carlos Lesaea</t>
  </si>
  <si>
    <t>Estor; á esta Tenencia al Subteniente de granaderos D. Domingo Ocampo; á este empleo al Subteniente D. Cárlos Lesaea,y a-la Subtenencia de bandera,que resulta , al Cadete D. Luís Crespo: y en el de infantería de Puebla áTeniente al Subteniente de granaderos D. Joseph Cosío; á Subteniente de gran</t>
  </si>
  <si>
    <t>Lescalier</t>
  </si>
  <si>
    <t>ndo por París. Un comerciante de este puerto ha recibido la siguiente carta del ciud. Lescalier, Prefecto de la Guadalupe, escrita á 7 de Junio: „Os participo con gusto el total restablecimiento de la autoridad nacional en esta isla al .cabo de violentas</t>
  </si>
  <si>
    <t>Lesehevin</t>
  </si>
  <si>
    <t>para enxugarle. Es graciosa por extyerno,, y de las proporciones mas'bellas. El ciud. Lesehevin, de la academia d&lt;¿ Dijon, ha pasado á Pontailler, y ha mandado hacer excavaciones en la madre del rio. De estas y de las que "anteriormente se hiciéron ha res</t>
  </si>
  <si>
    <t>Lesmes Cejudo</t>
  </si>
  <si>
    <t>s al magisterio. Lleva una posdata que contiene varias anotaciones puestas ¿ dicha Recopilación por Don Lesmes Cejudo, maestro, sacristán y campanero de la villa de Aramdilla, en el partido de Huete. En ésta carta, para desengaño de los profesores y aficionados que aman la verdad y desean los ade</t>
  </si>
  <si>
    <t>Lesparat</t>
  </si>
  <si>
    <t>enviado por manos del ciud. Talleyrand, Ministró de Relaciories^exitériores, al ciud. Lesparat, jurisconsulto:; y autor de una obra en 2 tomos en.4.0 intitulada jj Metrológias constitucional y-primitiva,, cíompáradíts? eñrf tre.síy con la metrología dé o</t>
  </si>
  <si>
    <t>Lespina, Coronel</t>
  </si>
  <si>
    <t>Coronel Lespina</t>
  </si>
  <si>
    <t>Corfú se trataba de pasarlos por las armas.” Venecia de Marzo. H a enviado el Archiduque Cárlos al Coronel Lespina , comandante de los lastimosos restos de nuestra marina, orden de poner en venta en el discurso del mes de Junio los 3 navios y la corbeta nombrada el Austria, en el misino estado</t>
  </si>
  <si>
    <t>Lesseps</t>
  </si>
  <si>
    <t>astado medio millón de rublos. . ' Hallase de algunos dias á esta parte aquí el ciud. Lesseps, comisario general de relaciones de comercio de la República francesa. Es el mismo que acompañó al desgraciado Conde de la Perouse en su viage alrededor del mu</t>
  </si>
  <si>
    <t>Lestrange, Agustin</t>
  </si>
  <si>
    <t>Agustin Lestrange</t>
  </si>
  <si>
    <t>ústica. Directorio espiritual de novicios del Real monasterio cisterciense de la Trapa: escrito por D. Agustin Lestrange, Abad de Sta. María de Valsanta de la Trapa, en Suiza, y traducido del manuscrito original que conserva el monasterio de Ntra. Sra. de Sta. Susana de la Trapa : un tomo en 8.° Se</t>
  </si>
  <si>
    <t>Letoná, Antonio</t>
  </si>
  <si>
    <t>Antonio Letoná</t>
  </si>
  <si>
    <t>cisca Mantener .gro, D. Antonio Quirós, D. Josepn Villavicencio y IX Luis Goqneíin; y en la tercera D. Antonio Letoná y - D. Joseph Ducascar. A los det estas ^^^P^^^^O ^P^ ^ ^ci^fentp^é.se esnéStífca^e su ap^ar cion,y del esmero de su maestro. i ¡yú-.-'J'■ :v * Íj^fSQÍI ■ P f edí-í:,.;- S dúvJ^09t0</t>
  </si>
  <si>
    <t>Lettelier</t>
  </si>
  <si>
    <t>destino de estos buques. Burdeos 11 de Enero. H an salido de aquí para León los ciudadanos Lettelier, uno de los Corregidores de. esta ciudad, y Partarrieu-Lafosse , individuo del Consejo de Prefectura. Van en nombre de los habitantes del departamento del Giro</t>
  </si>
  <si>
    <t>Lettledal</t>
  </si>
  <si>
    <t>ntribuciones públicas que no pagáron durante su ausencia. La cantidad que. por ^esta razón exige de Mr. Lettledal asciende á 80® florines ,:y Jayde,Mr*/Hope?¿ 300©. En Oxford se está esperando una estatua de Céres Eleusina , que algunos individuos de la universidad de aquella ciudad encontrar</t>
  </si>
  <si>
    <t>Lexalde y Almazan, Francisco</t>
  </si>
  <si>
    <t>Francisco Lexalde y Almazan</t>
  </si>
  <si>
    <t>Negueruela de Tejada y Oraa, vecino de ella /uno de los Capitulares, y comisionado para el efecto. Don Francisco Lexalde y Almazan, que pasó á Nueva-España á mitad del si* glo último, y en defecto de este sus hijos ó descendientes de legítimo matrimonio, como herederos nombrados de los bienes que dexó por su</t>
  </si>
  <si>
    <t>Leysél, Francisco</t>
  </si>
  <si>
    <t>Francisco Leysél</t>
  </si>
  <si>
    <t>varez, D. Joseph Maitmez, D. Francisco Xavier Lamadrid, D. Joseph Antonio HerrezuéloD. Joseph Soto, D. Francisco Leysél, D. Mauricio de Zúñiga, D. Pedro Bermudez, D. Ramón de Villar, D. Francisco Collell, D. Cárlos Villemont, D. Tomas Portel), D. Nicolás Iberri, D. Manuel Benisia, D. Manuel Cevallo</t>
  </si>
  <si>
    <t>Lezo, Blas</t>
  </si>
  <si>
    <t>Blas Lezo</t>
  </si>
  <si>
    <t>a y el Subteniente D. Antonio Isidoro de Ojea , fueron examinados de aritmética D. Joaquín del Rio, D. Blas Lezo, D. Valentín Martinez y D. Antonio Abaxos: de aritmética y parte de geometría elemental D. Rodrigo Tavira, D. Pedro Tavira, D. Francisco Trespaiacios y D. Leopoldo Menendez. De ge</t>
  </si>
  <si>
    <t>Líansól, Francisco</t>
  </si>
  <si>
    <t>Francisco Líansól</t>
  </si>
  <si>
    <t>re: Opinionum commenta delet dies naturae Indicia confirmat; su autor ei Dr. D. Francisco Líansól, Médico de la villa de Alcira, en el Reyno de Valencia , premiado ya dos veces con la medalla de oro por esta academia. De otra memoria que lleva por epígrafe: Quisque sitos patimur manes</t>
  </si>
  <si>
    <t>Líanzá, Rafael</t>
  </si>
  <si>
    <t>Rafael Líanzá</t>
  </si>
  <si>
    <t>e al segundo D. Juan Dabalete: en el de Guadalaxara á primer Teniente de granaderos al de fusileros D. Rafael Líanzá : en el de León á Capitán de fusileros al Ayudante D. Martin de Lazaro*. en el de Asturias á primer Teniente al segundo D. Francisco Xavier González: en el de la Princesa á segund</t>
  </si>
  <si>
    <t>Líawkesb'ury y los Ministros, Lord</t>
  </si>
  <si>
    <t>Lord Líawkesb'ury y los Ministros</t>
  </si>
  <si>
    <t>mas Plenipotenciarios para formar el congreso, siguen aquí las conferencias entre ei ciud. Otto, el Lord Líawkesb'ury y los Ministros extrangeros,'en las quales, según parece, se arreglan los puntos de mayor importancia que han de incluirse en ios artículos del tratado de paz: de suerte que siendo esto así, poco q</t>
  </si>
  <si>
    <t>Liberatore, Francisco Xavier</t>
  </si>
  <si>
    <t>Francisco Xavier Liberatore</t>
  </si>
  <si>
    <t>Real cuerpo de Guardias de Córps al Subrigadier de ella D. Nicolás Bierna; á Subrigadier al Cadete D. Francisco Xavier Liberatore ; á Cadete de número al supernumerario D. Joseph Losada, y á Cadetes supernumerarios á los Guardias de la misma Compañía D. Joseph Sánchez y D. Juan Saavedra. En el regimiento de</t>
  </si>
  <si>
    <t>Liborio Miráilés</t>
  </si>
  <si>
    <t>iento de graneros públicos, y los inconvenientes dél sistema ingles de gratificar la exportación, y D. Liborio Miráilés , de primer año , sobré los turnemos de la facultad, productiva del trabajó, qué a! páso^ que adelantan las naciones resultan de la división de los oficios, y de los progresos de</t>
  </si>
  <si>
    <t>Liborio Tudela y Ramos</t>
  </si>
  <si>
    <t>mayor de la villa de. Bienvenida, territorio de la orden de Santiago, de primera clase ó entrada, á D. Liborio Tudela y Ramos; y para la de la villa de Monhlanch, en el principado de Cataluña, ¿ D. Agustín Sabau. En América. El Rey se ha dignado conceder el empleo dé Coronel del batallón dé milicias disc</t>
  </si>
  <si>
    <t>Librero, Agustín</t>
  </si>
  <si>
    <t>Agustín Librero</t>
  </si>
  <si>
    <t>sistente mayor , y de ministros de palmatoria, mitra y báculo, que lo fuéron D. Joseph dé Navarrete,D. Agustín Librero, D. Antonio María Izquierdo y D. Joaquín dé Villanueva; y el otro para D. Pablo Nicolás de S. Pedro y D. Joseph Isaxi, Capellanes dé Honor, que "por sus respectivos empleos de Cur</t>
  </si>
  <si>
    <t>Lieutaud, Juan</t>
  </si>
  <si>
    <t>Juan Lieutaud</t>
  </si>
  <si>
    <t>oza^ D. Baltasar Samitier, D. Joseph Plano, D. Camilo Arroyo , D. Rafael Mariano, D. Félix Zurbano, D. Juan Lieutaud, D.«Alonso Ribera, Don Pedro Joseph de GamezyD. Vicente Morodo, Di- Felipe Sicre, D. Baltasar Alvarez, D. Joseph Antonio de Calzada, D. Luis Calvo, D; Joseph Astraudi, D. Anselmo</t>
  </si>
  <si>
    <t>Ligarte, Antonio</t>
  </si>
  <si>
    <t>Antonio Ligarte</t>
  </si>
  <si>
    <t>o de esfera y atlas geográfico elemental de Vázquez D. Manuel de Lardizabal , D. Manuel Cíaeessens, D. Antonio Ligarte, D. Ignacio Lardizabal, Cadete de Reales Guardias Española*, D. Jo«e:&gt;k Alaría KindeUn, primer Subteniente del regimiento de infantería de Uátonia, D. Ignacio lim</t>
  </si>
  <si>
    <t>Ligero, Joseph</t>
  </si>
  <si>
    <t>Joseph Ligero</t>
  </si>
  <si>
    <t>247 En Toledo..,*.,.;.,* Sres. Chavarri y Posadillo. En Toro................ D. Joseph Ligero. En Valencia......... D. Francisco Peyrolon y compañía. En Valladolid...... D. Francisco Durango é hijo mayor. En Zamora........... D. Vicente Perez de Tejada. En Zaragoza........</t>
  </si>
  <si>
    <t>261 En Toro.................D. Joseph Ligero. En Valencia........... D. Francisco Peyrolon y compañía. En Valíadalid,..**. D. Francisco Durango é hijo mayor. En Zamora............. D. Vicente Perez de Tejada. En Zaragoza....</t>
  </si>
  <si>
    <t>artínez de Aparicio. En 2oledo............... Sres. Chavarri y Posadillo. En Toro...................D. Joseph Ligero. En Valencia......... D. Francisco Peyrolon y compañía. En Valladolid.___ D. Francisco Durango e hijo mayor. En Zamora............ D. Vicente Perez de Tejada. En Zaragoza...... .</t>
  </si>
  <si>
    <t>Andrés Martínez de Aparicio. En Toledo......... Sres. Ghavarri y Posadillo. En ^Toro.............. D. Joseph Ligero. En Valencia..........D. Francisco reyrolon y compañía. \</t>
  </si>
  <si>
    <t>artinez de Aparicio. En Toledo.:.......... Sres. Chavarri y Posadillo. í En Toro...................;D. Joseph Ligero; = ; t En Valencia......... I&gt;. Francisco Peyrolon y compañía. r - ; En Valladétildi....} D; FráhciscoJ5uráhgb e hijo mayor. ■Eñ %athórdi.'¿.i....’f Péré^áé'Tejada. En Zardgoza...</t>
  </si>
  <si>
    <t>Martínez de Aparicio. En Toledo.............. Sres. Chavarri y Posadillo. En Toro................. D. Joseph Ligero. En Valencia..........D. Francisco Peyrolon y compañía. En Valladolid...... D. Francisco Durango é hijo mayor. En Zamora............ D. Vicente Perez de Tejada. En Zaragoza.......</t>
  </si>
  <si>
    <t>ndrés Martínez dé Aparicio. En Toledo...**..... .. Sres. Chavarri y Posadillo. En Toro........... . D. Joseph Ligero. . . En Valencia D. Francisco Peyrolon y compañía. En Valladolid.......D. Francisco Durango é hijo mayor. En Zamora...... I&gt;. V icente Perez de Tejada* En Zaragoza....:.. D. Tomas</t>
  </si>
  <si>
    <t>Linares, Diego</t>
  </si>
  <si>
    <t>Diego Linares</t>
  </si>
  <si>
    <t>1 de Fusileros. Cabo 1.* Diego Linares.... Castro del Rio...............</t>
  </si>
  <si>
    <t>Linares, Joseph</t>
  </si>
  <si>
    <t>Joseph Linares</t>
  </si>
  <si>
    <t>r y Ríquelme, D. Juan Robredo y Lea, D. Joseph de Córdoba y? Roxas , 0. Lope Valcarcel y Valcarcel, D. Joseph Linares é Iba?* nez, D.; Diego de^Obando y Adorno, D. Francisco Feruandez de Miran?* qa ,/Di FranciS|cqrIJÍioa y Ramírez , D. Joseph Angulo é Idiáquez, D. Raiñpn Trapero y (pabrero, D.’ T</t>
  </si>
  <si>
    <t>Lino Esteban de León, Joseph</t>
  </si>
  <si>
    <t>Joseph Lino Esteban de León</t>
  </si>
  <si>
    <t>ervido nombrar para la Chantría de la catedral de Córdoba del Tucuman, vacante por fallecimiento de Don Joseph Lino Esteban de León, á D. Miguel del Moral, Canónigo de gracia de la misma iglesia; y para esta Canongía i D. Francisco Xavier de Mendiolaza, Vicario eclesiástico de la Doctrina de Indios de Sta. Cat</t>
  </si>
  <si>
    <t>Lino Poyatos, Juan</t>
  </si>
  <si>
    <t>Juan Lino Poyatos</t>
  </si>
  <si>
    <t>•&gt;••** 330. ... Id. Juan Lino Poyatos........ Juan, Maria Pastor............ Valverde....... Cuenca....... 133. 13* Id. Fernando Gómez............... . Tomas* María Almetes... Castillo...... Toro*••■«*••*</t>
  </si>
  <si>
    <t>Lino Truxiilo y Tacón</t>
  </si>
  <si>
    <t>. Salvador del Castillo, D. Joaquín Rodríguez de Ribera, D. Juan Topete, D. Joseph Quevedo y Cheza, D. Lino Truxiilo y Tacón, D. Antonio Miralles, D. Luis María de Salazar, D. Miguel Gastón y Navarrete, D. Antonio de la Torre Puebla, Don Francisco de Castro Navarro, D. Joaquín Zarauz, D. Joseph Calderón</t>
  </si>
  <si>
    <t>Linois, Almirante</t>
  </si>
  <si>
    <t>Almirante Linois</t>
  </si>
  <si>
    <t>á salir con el General Debelle para incorporarse con el Ge-* neral en xefe. La división del Contra-Almirante Linois llegó el dia 28 con algunas tropas á la rada Ael Cabo , no dexando en el Puerto de Paz sino la fragata Mú i ron. Apenas supe-estos acontecimientos decisivos despaché la corbeta Mi</t>
  </si>
  <si>
    <t>Lisian, Ignacio</t>
  </si>
  <si>
    <t>Ignacio Lisian</t>
  </si>
  <si>
    <t>os fue y debe contarse primero de los de su nación én España, por D. Francisco M nuel de la Huerta, D. Ignacio Lisian y D. Martin de Ulloa. = Noticia de las ruinas de Talavera la vieja, por D. Ignacio de Hermosilla y Sandoval. = Continua cion de la memoria antecedente por D. Jcsepb Cornide de Saavedr</t>
  </si>
  <si>
    <t>Listón</t>
  </si>
  <si>
    <t>o; Mr. Carysfort á Petersburgoj; Roberto Fitzgerald á Lisboa, y Mr. Jayme Crawfurt á Stpckolmo; Con Mr. Listón va al Haya de secretario de legación el Lord Henifique Stuart ,hijo del Marques de Bute. , A causa., de la epidemia que¿.féyn^ en Jamayca hacen aquí quareñt’ena las embarcaciones</t>
  </si>
  <si>
    <t>florines de r^nta* 2,o.oí't:- .-.Uu-á: ■!&lt;*■. ■&gt;'. ,,.:;:: ; . Londres $ de;Agosto* E stá nombrado Mr. Listón para Enviado extraordinario y Ministro pleni-, potenciarlo cerca de la República bátava. ,.Mr. Jackson va con igual carácter á Berlín, y lleva por secretario á Mr. Rolleston. Tamb</t>
  </si>
  <si>
    <t>espache favorablemente su instancia. Hoy por la mañana llegó á esta ciudad Mr. Reich, Secretario de Mr. Listón, nombrado Ministro de S. M. Británica para residir cerca de esta República, el qual no tardará en llegar, pues ya tiene aquí sus equipages. Se nace reparable que la Prusia ño haya</t>
  </si>
  <si>
    <t>zca en Berlín el ciud. Huttman servirá aquí su empleo de Secretario de Estado el ciud. Dessevael. , Mr. Listón, Ministro británico cerca de este gobierno, que acaba de llegar de Inglaterra, tuvo esta mañana audiencia del Ministro de Relaciones exteriores, y hoy ó mañana se presentará al go</t>
  </si>
  <si>
    <t>Littehales, Coronel</t>
  </si>
  <si>
    <t>Coronel Littehales</t>
  </si>
  <si>
    <t>que llegan de parte y en nombre de la Regencia arzobispal. Londres jp de Diciembre. A yer llegó el Coronel Littehales eon cartas del Lord Comwallis, é inmediatamente se celebró un consejo de gabinete. El ciud. Otto fue presentado el día 16 ai Rey en calidad de Ministro de Francia. A causa de los vi</t>
  </si>
  <si>
    <t>Livingston</t>
  </si>
  <si>
    <t>iante-su zelo y sus esfuerzos hiciesen cada vez; mas útil el gran beneficio de la moral evangélica. Mr. Livingston, Ministra plenipotenciario de los Estados-Unidos residente aquí, ha escrito la siguiente carta á su principal agente de comercio en París: ,,Las cartas que acabo de recibir del Go</t>
  </si>
  <si>
    <t>Lizarray Tarriba, Manuél</t>
  </si>
  <si>
    <t>Manuél Lizarray Tarriba</t>
  </si>
  <si>
    <t>eaga ,* D.rJ&amp;anlGfál¿ deando Zaldnendo, D.Joseph'Bürgues de Mfesiez}, D.; Jóseph* Solis -Brazuelo , D. Manuél Lizarray Tarriba, D* Joslj^h' ^fiaty ííavárroj Don Pedro’CUzqueta^y Soroa vD; -bk^o Martínez Margula y D-Miínuel González Veggv D. EdiKftdo l^sqiWfay Ariasv^I^ BewtQ Éíii!deláT !E¿calerá¿ D. Fermi</t>
  </si>
  <si>
    <t>Lizcano, Joseph</t>
  </si>
  <si>
    <t>Joseph Lizcano</t>
  </si>
  <si>
    <t>su hermano Don Joaquín, que por los años de 1750 y 55 pasáron á Nueva-Espafia y Manila, remitirán á D. Joseph Lizcano, primo de estos, vecino de Cádiz , documentos justificativos para deducir el derecho que tienen i un vinculo situado en la villa de Giietaria , provincia de Guipúzcoa. Desengaños</t>
  </si>
  <si>
    <t>Llanos, Juan</t>
  </si>
  <si>
    <t>Juan Llanos</t>
  </si>
  <si>
    <t>407. 34. Id. Juan Llanos........ Dupercif0l, Paula Aller___ Sarigos....... León..... . 521. 34. Id. Francisco Martinez. Gaspar^ Ter</t>
  </si>
  <si>
    <t>Lledó, Juan</t>
  </si>
  <si>
    <t>Juan Lledó</t>
  </si>
  <si>
    <t>a otra de la colegial de la ciudad de S. Felipe, diócesis de Valencia, vacante por fallecimiento de D. Juan Lledó, á D. Luciano Gabanes: para otra de la de Manresa, diócesis de Vique, vacante por muerte de D. Ramón Goser, á D. Joseph Alsina, Canónigo de la de Calaf: para una Ración penitencia</t>
  </si>
  <si>
    <t>Llórente, Tomás</t>
  </si>
  <si>
    <t>Tomás Llórente</t>
  </si>
  <si>
    <t>ro Teniente de granaderos, y el segundo Ayudante; á esta resulta, con grado de Capitán, al Teniente D. Tomas Llórente; á Tenientes de granaderos los de fusileros D. Fernando de la Puente y D. Pedro Santacilia; á Tenientes los Subtenientes de granaderos D. Christobal Anisa, D. Joseph Eligió y D. M</t>
  </si>
  <si>
    <t>Lobo y Arjona, Pedro</t>
  </si>
  <si>
    <t>Pedro Lobo y Arjona</t>
  </si>
  <si>
    <t>seda, D. Manuel Rizo, D. Francisco Pastor, D. Manuel Ignacio San Juan, D. Juan Senen de Contreras , D. Pedro Lobo y Arjona, D. Diego Orbaneja, D. Joseph Medrano, D. Joaquín de la Chica, D. Agustín Cabrera, D. Antonio Franchi,D. Rafael de Zuniga, D. Gerónimo Martin Cortés, D. Ramón Bétes, D. Francisco</t>
  </si>
  <si>
    <t>Lobo, Francisco</t>
  </si>
  <si>
    <t>Francisco Lobo</t>
  </si>
  <si>
    <t>39. zo. Id. Francisco Lobo.................... Tomas, María Vaquero.... Carrascal..... Sepúlveda.... 150. 14. Id. Diego Maldonado................ Antonio .Juliana Fernandez.Bonillo........... Alcaráz......</t>
  </si>
  <si>
    <t>Lolumo y Pérez, Tomás</t>
  </si>
  <si>
    <t>Tomás Lolumo y Pérez</t>
  </si>
  <si>
    <t>iones á inquirir los medios de prevenir tantristes sucesos, y acaba de tener la satisfacción de que D. Tomas Lolumo y Perez, maestro alfarero de la ciudad de Barbastro, le haya presentado un nuevo invento debido á su aplicación y detenidos ensayos , de formar unos caños de barro que pueden servir con c</t>
  </si>
  <si>
    <t>Lombard</t>
  </si>
  <si>
    <t>al Land*~ grave de Hesse-Cassel, por quienes S. M. Prusiana toma particular interes. Dice se que . Mr. Lombard ha^traido el arregló definitivo ajustado en Parir sobre el asunto: y añaden que esta corte le ha aprobado, y que es enteré reme fité conforme al convenio hecho entre nuestro gabin</t>
  </si>
  <si>
    <t>Londoño y Collantes, Simón</t>
  </si>
  <si>
    <t>Simón Londoño y Collantes</t>
  </si>
  <si>
    <t>chea* 0. Andrés Santiso y Serántes, Dea Antonio Montenegro Espantoso, 0. Pedro Hurtado de Corcuera, D. Simón Londoño y Collantes , D. Joseph Bustamante Mannque, D. Joseph de Toledo y Duboii &gt;&gt;30. Manoel Salayerriai¡y Sanchez , D.; JorgoGarcíá Giapitmir,.0*. Eugenio Vizcaíno y;Martinez*D.Jo*eph :de Ta^Puente</t>
  </si>
  <si>
    <t>Lope de Cárdenas, Diego</t>
  </si>
  <si>
    <t>Diego Lope de Cárdenas</t>
  </si>
  <si>
    <t>origen y progresos de vla Real congregación del alumbrado y vela al Santísimo Sacramentó: su autor Don Diego Lope de Cárdenas. Se hallarán en las librerías dé Tieso-, calle de las Carretas, en Sevilla en la deparó, en Granada en la de Colon, en Málaga en la de Iglesias y Martínez, en Córdoba.en lado Rodr</t>
  </si>
  <si>
    <t>Lope, Gregorio</t>
  </si>
  <si>
    <t>Gregorio Lope</t>
  </si>
  <si>
    <t>e esta corte á la villa de la Solana , adonde se remida por el ordinario : está endosado á favor de D. Gregorio Lope*. Quien lo haya hallado io remitirá en dicha viila de la Solana, provincia de la Mancha, á D. Félix García de Tomas, Regidor perpetuo, ó en esta corte á D. Bernabé Nicolás Martíne</t>
  </si>
  <si>
    <t>Lope, Ramón</t>
  </si>
  <si>
    <t>Ramón Lope</t>
  </si>
  <si>
    <t>¿ D; AntonioBracho, D.Juan Munar-i Hié, D. Vicente Reyna ,'D. Fernando AgniWe, D^Fernando Gabriel, Don Ramón Lope, D. Juan Camargo, D. Juan Martes, D. Joseph Quevedos</t>
  </si>
  <si>
    <t>López Aleamirano, Juan Antonio</t>
  </si>
  <si>
    <t>Juan Antonio López Aleamirano</t>
  </si>
  <si>
    <t>en los haya hallado ios entregará en la cerería de la plazuela -del Angel. Por providencia dfel Sr. D. Juan Antonio López Aleamirano , caballero de la orden de Santiago, Ministro del supremo Consejo de Castilla , Juez protector y privativo de las memorias que en la villa de Argete .fundó el limo. Sr. D. Juan Al</t>
  </si>
  <si>
    <t>López Altamirano, Juan Antonio</t>
  </si>
  <si>
    <t>Juan Antonio López Altamirano</t>
  </si>
  <si>
    <t>ilar con todos sus honores y sueldo á los Ministros del propio Consejo D. Pablo Antonio de Ondarza, D. Juan Antonio López Altamirano, y al Fiscal de la Cámara D. Domingo Codina; al Conde de Torrecuéllar y al Conde de Roche, del Consejo de Ordenes; y asimismo á los Alcaldes de mi casa y corte Marques de los Llan</t>
  </si>
  <si>
    <t>López de Ansó, Ignacio</t>
  </si>
  <si>
    <t>Ignacio López de Ansó</t>
  </si>
  <si>
    <t>do nombrar para él Arcedianato de Medina en la catedral^ de Salamanca, vacante por fallecimiento de D. Ignacio López de Ansó, á P. Lorenzo Pihuela, con retención de la Ración que obtiene en. la misma iglesia : para la Media-Ración que obtenía el referido D. Ignacio López de Ánsó á D. Miguel Gorjon, Cura</t>
  </si>
  <si>
    <t>López de Arceo, Manuel</t>
  </si>
  <si>
    <t>Manuel López de Arceo</t>
  </si>
  <si>
    <t>S. Pedro, núm. 8, qúarto principal , donde vive D. Antonio Maeda, que dando las señas la entregará. Don Manuel López de Arceo, clérigo de prima tonsura, natural de la ciudad de Salamanca, de edad de ig años cumplidos, lleno de cara, pelo negro, los ojos uno castaño claro y otro castaño obscuro, y no llej</t>
  </si>
  <si>
    <t>López de Arjona, Felipe</t>
  </si>
  <si>
    <t>Felipe López de Arjona</t>
  </si>
  <si>
    <t>Subtenientes D. Juan Subirats, D. Antonio Martinez, Don Bartolomé Navarrete, D. Santiago Fernandez, D. Felipe López de Arjona, D. Joseph Rivera, D. Joseph Cabrera, D. Ignacio Salens , D. M.a-. nuel Vázquez, D. Juan Vidaror, D. Joseph Anillo, D. Mauricio Alva-, rez, D, Manuel Hinojosa, D. Joaquín Luyando,</t>
  </si>
  <si>
    <t>López de Cozar, Joseph</t>
  </si>
  <si>
    <t>Joseph López de Cozar</t>
  </si>
  <si>
    <t>diencia de Valencia á D. Juan Joseph de Negrete; y para la del crimen^ que este dexa en la misma, á D. Joseph López de Cozar: para la de Regante de la de Mallorca á D. Juan Joseph Perez y Perez: para la de Oidor, que este dex.? en lá de Aragón, á D. Antonio Cornel y Ferraz, Ministro del crimen íe ia mis</t>
  </si>
  <si>
    <t>López de la Élanca, Bartolomé</t>
  </si>
  <si>
    <t>Bartolomé López de la Élanca</t>
  </si>
  <si>
    <t>idioma Matzahua de la colegiata de Ntra. Sra. de Guadalupe de México , vacante por fallecimiento ae D. Bartolomé López de la Élanca, á D. Antonio dé Campos, catedrático de filosofía del seminario Tridentino de dicha CÍ.Mda^. _ ‘ -. ;; [ ; . En el regimiento de infantería de Puebla se ha dignado S, M- promover</t>
  </si>
  <si>
    <t>López de la Plata, Joseph</t>
  </si>
  <si>
    <t>Joseph López de la Plata</t>
  </si>
  <si>
    <t>ombrar para la Dignidad de Arcediano de la santa iglesia de Nicaragua, vacante por fallecimiento de D. Joseph López de la Plata, á D. Pedro Brido, Canónigo de gracia deria misma : para una Ración de la metropolitana de Santa Fe , vacante por muerte de D. Santiago de Burgos, á D. Manuel de Valenzuela, Cura</t>
  </si>
  <si>
    <t>López de Molina, Juan</t>
  </si>
  <si>
    <t>Juan López de Molina</t>
  </si>
  <si>
    <t>aro de Avila, D. Baltasar Calvache, Don Francisco Ruiz, D. Alfonso Ramiro, D. Antonio de la Rocha , D. Juan López de Molina,D. Lucas Salazar, D. Ramón Serrano, D. Juan Joseph Martínez, D. Joseph María Cano, D. Francisco Real,-D. Vícéfíté Salcedo, D. Lúeas de Mena, D. Joseph Viladomar, D. Juan de Álbarr</t>
  </si>
  <si>
    <t>López de Peñalver, Juan</t>
  </si>
  <si>
    <t>Juan López de Peñalver</t>
  </si>
  <si>
    <t>an Antonio Bertrán. Gonzalo de Córdoba, ó la conquista de Granada: novela de.Florian, traducida por D. Juan López de Peñalver. Contiene una pintura del valor de los españoles en la conquista de Granada, y presenta el carácter y costumbres de los moros y de los españoles de aquellos tiempos : dos tomos en</t>
  </si>
  <si>
    <t>López de Salazar, Antonio</t>
  </si>
  <si>
    <t>Antonio López de Salazar</t>
  </si>
  <si>
    <t>bacía del número de D. Antonio López de Salazar, en donde se manifestarán los títulos de su pertenencia. Se halla vacante la plaza de médico de la villa de Cifuentes y su partido, que se compone de ig pueblos, el mas distante d</t>
  </si>
  <si>
    <t>ma cantidad á pagar en vales Reales. Quien quisiere hacer mejora acuda á la escribanía de número de Don Antonio López de Salazar. Los subscriptores al Compendio histórico de la santa Biblia ,dedicado á la Reyna Ntra. Sra. por el P. Fernando de Scio , acudirán á recoger Ja entrega 19 de estampas á las librer</t>
  </si>
  <si>
    <t>que en término de 30 dias, contados desde 10 del corriente, comparezcan ante S. S. y escribanía de D. Antonio López de Salazar á deducir y legitimar el derecho que tengan para el reintegro de 1089 rs. aa mrs. que están depositados; apercibidos que de no hacerlo en dicho terminóles parará el perjuicio que</t>
  </si>
  <si>
    <t>Lopez de Salazar, Antonio</t>
  </si>
  <si>
    <t>Antonio Lopez de Salazar</t>
  </si>
  <si>
    <t>éedidO, contados desde el 17 de éste mesyeom parezca» ante dicho Sr; Juez y escribanía de numero de Don Antonio Lopez de Salazar 9 i deducir y legitimar el derecho que tengan peta el reintegrO dé 108914. 44 mrs. que se hallan depositados; y pisado dicho término ci no lo hicieren les parará el perjuicio que</t>
  </si>
  <si>
    <t>de S. M., primer Teniente Corregidor de esta villa, á presencia de S. S. y dél Escribano del número D. Antonio López de Salazar, á las puertas de la audiencia de dicho Señor se han de celebrar , consiguiente á los Reales decretos de enagenacion, los remates de fincas siguientes. Una casa sita en la calle d</t>
  </si>
  <si>
    <t>López de Toledo, Félix</t>
  </si>
  <si>
    <t>Félix López de Toledo</t>
  </si>
  <si>
    <t>e Castilla á P. Joseph Ignacio Barrero , Ayudante mayor del mismo cuerpo ; esta resulta al Teniente D. Félix López de Toledo; la Tenencia que este dexa al Subteniente de granaderos D. Joseph ViUanueva ;la Subr tenencia de granaderos al Subteniente de fusileros D. Joseph Luis de Medina , y una de bandera</t>
  </si>
  <si>
    <t>López del Prado, Vicente</t>
  </si>
  <si>
    <t>Vicente López del Prado</t>
  </si>
  <si>
    <t>er D. Luis Marquesi: á Subrigadier al Cadete D. Joachín Arcos: á Cadete de numero al supernumerario D. Vicente López del Prado; y á Cadete supernumerario al Guardia de la misma Compañía D. Joseph Losada. Asimismo se ha servido promover el Rey en el regimiento de Saboya á primer Teniente al segundo Tenient</t>
  </si>
  <si>
    <t>López Enguídanos, Tomás</t>
  </si>
  <si>
    <t>Tomás López Enguídanos</t>
  </si>
  <si>
    <t>te de oriente, y la a.a por la de mediodía, dibuxadas por J). Joseph Gómez de Navia, y grabadas por D. Tomas López Enguídanos: obra mandada hacer de órden superior , que se irá sucesivamente publicando. Véndese á xa rs. cada una en el despacho de la calcos grafía establecida en la imprenta Real. El Mercu</t>
  </si>
  <si>
    <t>rato de D. Juan Palomino, primer grabador español: grabado en quartílla de papel de marca mayor por D. Tomas López Enguídanos , académico de mérito. Se hallará á % rs. en la calcografía de la imprenta Real. EN LA IMPRENTA REAL.</t>
  </si>
  <si>
    <t>López Ezquerra, Francisco</t>
  </si>
  <si>
    <t>Francisco López Ezquerra</t>
  </si>
  <si>
    <t>efe^de Brigada al Capitán primero D. Joseph Montes Tabáres; y á Capitán prlmero al de segunda clase D. Francisco López Ezquerra. 1 &gt;♦« S. M. se ha dignado promover á Portaestandarte del regimiento de caballería del Rey, primero de línea, á D. Tadeo Todo, Sargento del mismo cuerpo. • • •. * ’ Asimismo se ha</t>
  </si>
  <si>
    <t>Lopez FéJ-ndo, Juan</t>
  </si>
  <si>
    <t>Juan Lopez FéJ-ndo</t>
  </si>
  <si>
    <t>4~,940 rs. Quien quisiere hacer postura á quaJquiera dt} ellas acuda á la escribanía del número ,de D. Juan Lopez FéJ-ndo: hallándose señalado para el remate de las dos primeras el '7 de este m~s , y para las otras dos el 18 á la:; IZ de su mafiaLa :t la puerta de la a udiencia de dicho Sr. Te!1ie~te</t>
  </si>
  <si>
    <t>López MoreÍle, Francisco María</t>
  </si>
  <si>
    <t>Francisco María López MoreÍle</t>
  </si>
  <si>
    <t>de D. Julián dé Usátegui, plazuela de Sto; Domingo: librea ría de D. Elias Ranz, calle de la Cruz: D. Francisco María López MoreÍle, lonja.de especería, plazuela de Antón Martin : D. Fernando Varga, plazuela de S. Ildefonso, cerería: Sres. Escvza , hermanos y compañía, carrera de S. Gerónimo: Real compañía de</t>
  </si>
  <si>
    <t>López Pando, Juan</t>
  </si>
  <si>
    <t>Juan López Pando</t>
  </si>
  <si>
    <t>ileras, núm. 8, manz. 389 , tasada en 433,771^ rs,, acudirá á la escribanía del mimero del cargo de D. Juan López Pando, que se admitirán las posturas y mejoras que se hicieren; y está sefialado para su remate el 30 de este.mes á las puertas de la audiencia del Sr. D. Manuel Vicente de Torres, Teni</t>
  </si>
  <si>
    <t>López Pintado, Joseph</t>
  </si>
  <si>
    <t>Joseph López Pintado</t>
  </si>
  <si>
    <t>alinas de Cataluña , y Oficial mayor .actual de la Administración de Rentas del mismo Principado; á D. Joseph López Pintado» Administrador de la Fábrica d^ salitres de Cienpozuelos , y á D* Andrés Domínguez Borrajo, Comandante del Resguardo de Zamora. &gt; ( Honores de Tesorero. de exército. . ...&gt;j A D^R</t>
  </si>
  <si>
    <t>López Portillo, Francisco</t>
  </si>
  <si>
    <t>Francisco López Portillo</t>
  </si>
  <si>
    <t>riquezas, dignidades y empleos, con exemplos de mucho consuelo para los que se ven atribulados: por D. Francisco López Portillo, Oidor de la Real audiencia de Guadalaxara: un tomo en 8.° Se hallará en las librerías de Dávila y Ramos, en los puestos del diario, calle de Atocha y plazuela de Sto. Domingo, en</t>
  </si>
  <si>
    <t>López Ruiz, Sebastián Joseph</t>
  </si>
  <si>
    <t>Sebastián Joseph López Ruiz</t>
  </si>
  <si>
    <t>ecificó ,! en contestación á la Memoria de D. Francisco Antonio Zea : su autor el mismo descubridor D. Sebastian Joseph López Ruiz , honorario de la.'Réál academia médica de Madrid fice. : un quaderno en 4,0 Se halla: á á a rs. en la librería de Castillo. Cómo todo lo que tiene conexión con un remedio tan pre</t>
  </si>
  <si>
    <t>López Somoza, Vicente</t>
  </si>
  <si>
    <t>Vicente López Somoza</t>
  </si>
  <si>
    <t>sia: para una Canongía de la propia catedral, vacante por miie*. te del dicho D. Pedro Bahamonde, á D. Vicente López Somoza, Cura de la parroquia dé Santiago de la referida dudad de Lugo, y como tal, Racionero titular de la misma catedral: para un Beneíicio de la parroquial de S. Pedro Mártir y S; Nico</t>
  </si>
  <si>
    <t>López Sopeña, Antonio</t>
  </si>
  <si>
    <t>Antonio López Sopeña</t>
  </si>
  <si>
    <t>ar, D. Francisco Fguia, Duque de Frías, Duque del Infantado, D. Juan Ordoñez, D. Francisco Vallejo, D. Antonio López Sopeña, D. Antonio Hurtado, Condé de Olocau, D. Cárloii v</t>
  </si>
  <si>
    <t>López Villapol, Joseph</t>
  </si>
  <si>
    <t>Joseph López Villapol</t>
  </si>
  <si>
    <t>ía: D. Pascual López Villapol y D. Joseph Antelo , en geometrías,, trigonometrías y cosmografía ; y D. Joseph López Villapol, en álgebra, trigonometrías, cosmografía y navegación. Todas las proposiciones fuéroa escogidas por los concurrentes facultativos. Fué crecido y brillante el concurso de cuerpos e</t>
  </si>
  <si>
    <t>López, Agustín</t>
  </si>
  <si>
    <t>Agustín López</t>
  </si>
  <si>
    <t>En el regimiento de caballería de España se ha servido promover el Rey á Portaestandarte al Cadete D. Agustín López: en el de Húsares Españoles á segundo Teniente al Alférez D. Juan de Torres; y en el de dragones de Numancia á Capitán al Ayudante, graduado de Capitán, D. Ignacio Anuncibay. Tamb</t>
  </si>
  <si>
    <t>López, Alexandro</t>
  </si>
  <si>
    <t>Alexandro López</t>
  </si>
  <si>
    <t>487. 7* Id. Alexandro López......... Lorenzo^ María Ruiz......... Villegas...... Búrgos....... 444. 30. Id. Juan de Ayroba........... Valeria ffl0 (Ma</t>
  </si>
  <si>
    <t>López, Andrés</t>
  </si>
  <si>
    <t>Andrés López</t>
  </si>
  <si>
    <t>Manuel de Villeoa, el Marques de Monsalud, D. Francisco Palafox, D. Joseph Ortiz, D. Carlos Aguado, D. Andrés López, D. Pedro Roca, D. Tomas de Jáuregui, D. Marcelo Hstranio, D. Salvador del Toro, D. Joseph Ampudía, D. Francisco Gelabert, el Marques’de Viliadángos, el Conde Armildez, Marqués de</t>
  </si>
  <si>
    <t>López, Antonio</t>
  </si>
  <si>
    <t>Antonio López</t>
  </si>
  <si>
    <t>ría, Teniente Cor regidor de esta villa, y para pago de un acreedor, por la escribanía de num»ro d¡ D. Antonio López de balazas, se ha mandado sacar á publica subasta-un ¿dazo de nerra, donde llaman los Morales, término.del lugar de Aicorcon de esta^urTs dicción, de ante ella, acuda caberdicho ,6 f</t>
  </si>
  <si>
    <t>Lopez, Antonio</t>
  </si>
  <si>
    <t>Antonio Lopez</t>
  </si>
  <si>
    <t>tura á las 3 primeras y mejora á la ü¡tin~a , acuda hasta ¿ichos dias á la escribanía del número de D. Antonio Lopez..-de Salazar , donde se adnütirán las que hicieren • • EN L/l. II\lPltEN'TA REAL.</t>
  </si>
  <si>
    <t>López, Francisco Xavier</t>
  </si>
  <si>
    <t>Francisco Xavier López</t>
  </si>
  <si>
    <t>ín Beltran: para el Arcedianato al Chantre D. Pedro Albino Mexía: para la Chantría ai Maestrescuela Don Francisco Xavier López: para la Dignidad que este dexa á D. Joseph María San Martin, Tesorero de la propia ; y para esta al Canónigo Penitenciario D. Diego Vidaurre. S. M. se ha dignado conferir el Gobi</t>
  </si>
  <si>
    <t>López, Joseph</t>
  </si>
  <si>
    <t>Joseph López</t>
  </si>
  <si>
    <t>nillos, D. Rafael del Castillo y Rada, D. Juan Muñoz y Abreu, D. Matías Arauco, D.. Antonio de Lema,D. Joseph López, D, Joseph de Piles,D. Martin de Jáuregui, D. Cayetano Muller, D, Juan Romay, D. Felipe del Saso , D. Carlos Calvo, D. Joaquín Aldecoa, D. Antonio de Rozo, D. Joseph.de la Gceja ,</t>
  </si>
  <si>
    <t>López, Juan</t>
  </si>
  <si>
    <t>Juan López</t>
  </si>
  <si>
    <t>ntes de granaderos D. Basilio Irigoyen , D. Bruno Muñoz y D. Juan Joseph Viamont, y al de fusileros D. Juan López ; á Subtenientes de granaderos á los de fusileros D. Fernando Martínez, D. Juan del Pino y D. Pascual Agustín Martínez, y á Subtenientes de compañía y de bandera á los Cadetes D.</t>
  </si>
  <si>
    <t>os sus imperios , reynos , estados , islas &amp;c., arreglado á varios documentos y cartas inglesas por D. Juan López, Geógrafo de S. M. é individuo de varías academias y sociedades. Se hallará con el mapamundi sobre el plano del equador, ámbos iluminados, en la librería de Quiroga, calle de las</t>
  </si>
  <si>
    <t>ez , calle de las Carretas. Mapa nuevo de la América septentrional según las mejores noticias: por .Don Juan López, geógrafo del Rey, é individuo de varias academias y sociedades. Comprehende al septentrión los descubrimientos ingleses, al noroeste el estrecho que hay entre la América y el Asi</t>
  </si>
  <si>
    <t>cuyo requisito no se permitirá que se vendan ó despachen. Mapa nuevo de la América meridional, por D. Juan López, geógrafo del Rey, é individuo de varias academias y sociedades. Contiene parte de la costa del Africa, las islas de Cabo-verde, y las principales posesiones de los españoles, por</t>
  </si>
  <si>
    <t>lineación dé los descubrimientos heohc* en la parte del nordeste^ según las mejores noticias. Por &gt; D. Juan López, geógrafo del Rey, individuo de varias academias y sociedades! Se hallará con laidos, hojasdel mapa-mundiylaEuropa, el Africa y las Arnéricas, en la librería de Quiroga, cali® de</t>
  </si>
  <si>
    <t>e rEstrabon , que comprehende un tratado sobre Espafia antigua: traducido é ilustrado.con notas por D. Juan López,geógrafo del Rey.s; iDisertacion ó memoria geográfico-histórica sobre la Bastitania y Contestaoia: escrita por el mismo autor ípai^a inteligencia dd mapa publicado en el afio de 1</t>
  </si>
  <si>
    <t>Id. Cabo 2.“ Juan López......... Pedro, Benita Padin......... .. San Vicente Ubiña........ Santiago.....</t>
  </si>
  <si>
    <t>López, Juan Antonio</t>
  </si>
  <si>
    <t>Juan Antonio López</t>
  </si>
  <si>
    <t>Subteniente D. Pedro Angoleti , y á Subteniente al segundo Subteniente del de infantería de Navarra D. Juan Antonio López: en el de Ñapóles á Capitán al primer Teniente de granaderos D. Luis Basincourt: en el de suizos de Yann á Subteniente al Cadete D. Bautista Tobias; y en el de Betschart á Subteni</t>
  </si>
  <si>
    <t>bla á Capitán al Teniente de granaderos D. Blas de Castro ;á Teniente de granaderos ai de fusileros D. Juan Antonio López; á Tenientes á ios Subtenientes de granaderos D. Ignacio del Corral y D. Miguel de la V ega; á Subtenientes de granaderos á los de fusileros D. Francisco Farias *y D. Miguel Piñey</t>
  </si>
  <si>
    <t>López, Juan Bautista</t>
  </si>
  <si>
    <t>Juan Bautista López</t>
  </si>
  <si>
    <t>90. 31. Id. Juan Bautista López.......... Josef, Josefa Agruno........... Elgoybár....... Bilbao............ 3. y. Id. Pedro de la Varga.............. Pablo, Josefa Santos</t>
  </si>
  <si>
    <t>López, Luis</t>
  </si>
  <si>
    <t>Luis López</t>
  </si>
  <si>
    <t>anuel Cines; á. primer Subteniente al segundo D. Vicente Sardana, y á segundo Subteniente al Cadete D. Luis López $ en el de España á Teniente Coronel al Coronel D. Francisco Fulgosío , Comandante del tercer batallón del de Saboya; y en el de suizos de Reding á Subteniente al Cadete D. Franci</t>
  </si>
  <si>
    <t>López, Manuel</t>
  </si>
  <si>
    <t>Manuel López</t>
  </si>
  <si>
    <t>e granaderos al de fusileros D. Antonio de Cruells; á segundo Tentéhte al Subteniente de granaderos D. Manuel López j á esta resulta al primer Subtenlente D. Manuel Cines; á. primer Subteniente al segundo D. Vicente Sardana, y á segundo Subteniente al Cadete D. Luis López $ en el de España á Te</t>
  </si>
  <si>
    <t>López, Mateo</t>
  </si>
  <si>
    <t>Mateo López</t>
  </si>
  <si>
    <t>y en ninguno se ha notado síntoma que diese cuidado. Don Vicente Martínez y D. Mateo López , médico y cirujano del hospital general, únicos vacunadores, han observado también ciertas particularidades en el curso de la vacuna, que no se han presentado en países extrangeros: obser</t>
  </si>
  <si>
    <t>454 dad se los vacunasen, como en efecto lo hicieron DO, Diego Martínez, Médico, y D. Mateo López, Cirujano- Los niños no tuvieron la menor novedad en su viage, ni durante el curso de la vacunación., Ei dia io y el n tomo el mencionado Milagro del fluido vacuno de dichos¡ niia</t>
  </si>
  <si>
    <t>López, Miguel</t>
  </si>
  <si>
    <t>Miguel López</t>
  </si>
  <si>
    <t>.. 90. 2?. Id. Miguel López............ Agustín, Madalena García. Muñera......... Alcaraz.......... 454, 24. Id, josef Noboa........................ Blas,</t>
  </si>
  <si>
    <t>López, Pedro</t>
  </si>
  <si>
    <t>Pedro López</t>
  </si>
  <si>
    <t>Ayudante dei mismo cuerpo, y I D. Antonio Leída!, Teniente de granade-' ros; á Ayudante al Teniente D. Pedro López; á-Teniente de granaderos aj de fusileros D. Fernando Barrantes; á Tenientes dé fusileros al Subteniente de 1.a propia clase D. Pedro Manrique, al de granaderos D. Ignacio Asin ,</t>
  </si>
  <si>
    <t>106. 24. Id. Pedro López............. Clemen|tSlSegunda Delgado. La Parra....... Arenas. 73. 18. Id. Manuel Ropero .... Francisco, María</t>
  </si>
  <si>
    <t>de infantería de Puerto-Rico se ha dignado el Rey promover á Subtenientes i los Sargentos primeros D. Pedro López, D. Remigio Romero, D. Antonio Romero, D. Esteban Dupré, dé granaderos, y D. Antonio dé Torres; y á los Cadetes D. Fernando Gandía y D. Ramón Quiñones : éri el cíe Milicias dé cab</t>
  </si>
  <si>
    <t>López, Ramón</t>
  </si>
  <si>
    <t>Ramón López</t>
  </si>
  <si>
    <t>... 1S0. 8. Id. Ramón López....... Alvaro, InesCastclo....... Jurgo............. Santiago....... 616. 18. Licenciado. Tirso Martínez.... Jua</t>
  </si>
  <si>
    <t>López, Ramón Antonio</t>
  </si>
  <si>
    <t>Ramón Antonio López</t>
  </si>
  <si>
    <t>e se ha dignado promover S. M. á Capitán al Ayudante D. Alonso Ribera; á Alférez al Portaestandarte D. Ramón Antonio López , y á esta resulta al Cadete D. Gerónimo de Hen estrosa: en el de Alcántara á Portaestandarte al Sargento D. Vicente Albarran ; y en el de Voluntarios de España á Ayudante al prim</t>
  </si>
  <si>
    <t>López, Santiago Xavier</t>
  </si>
  <si>
    <t>Santiago Xavier López</t>
  </si>
  <si>
    <t>mbrar para una Canongía de la catedral de Segovia, vacante por muerte de D. Antonio Alvarez Nava, á D. Santiago Xavier López, Cura de Castilnova, de aquel obispado: para otra de la misma iglesia, vacante por fallecimiento de D. Francisco Rubio, á D. Tomas Martínez Peña, Cura de la Torre y Val de S. Pedr</t>
  </si>
  <si>
    <t>López, Sebastián</t>
  </si>
  <si>
    <t>Sebastián López</t>
  </si>
  <si>
    <t>... Cuenca......... Sebastian López.................... Carmena.... . Madrid........1, 5* 3 •</t>
  </si>
  <si>
    <t>López, Simón</t>
  </si>
  <si>
    <t>Simón López</t>
  </si>
  <si>
    <t>450. 17- Muerto. Simón López......... .............. Vitorio, Gregoria Alonso... Canalejas.... León.............. 443- 13- Id. Francisco Silvano...:..-.-... •MiguelvMaría Rodríguez.. Valenci</t>
  </si>
  <si>
    <t>López, Tomás</t>
  </si>
  <si>
    <t>Tomás López</t>
  </si>
  <si>
    <t>xandro Chacel, Antonio Sen$oncha, Joseph.de San Joseph, Jülian Perez y Joaquín R aciaba 1: en Ja de D. Tomas López, Pedro Lozano, Ramón Reyuoso, Joseph Panizo /Domingo Agüero/Manuel Domínguez y Ricardo Martínez; y en la de D. Henrique. Nietos Facundo Mazariegos, Manuel Berna!, Leonardo Benito,</t>
  </si>
  <si>
    <t>102 J D. Lorenzo Molina, D. Tomas López, DI Joseph González, D. Manuel Asensio, D. Joseph Francisco Díaz, D. Juan Afán de Rivera, D. Ramón María de Utrilla, D. Juan Antonio Cosío , D. Joseph Vaca, D. Francisco Man glano</t>
  </si>
  <si>
    <t>López, Vicente</t>
  </si>
  <si>
    <t>Vicente López</t>
  </si>
  <si>
    <t>las mismas fábricas en dicha ciudad. Los subscriptores á las estampas del via crucis dibuxadas por D. Vicente López, director de pintura en la Real academia de S. Carlos de Valencia , y grabadas por Gamborino, acudirán por la penúltima entrega: queda abierta la subscripción, adelantando el impo</t>
  </si>
  <si>
    <t>Lopezi, Tomás</t>
  </si>
  <si>
    <t>Tomás Lopezi</t>
  </si>
  <si>
    <t>440. 33. Id. Tomas Lopezi....Bartoltyjmé^jariaHenriquez .Arcos de la Frontera....... 403. 33. Id. Nicolás Cardo......... . Ambro^,»</t>
  </si>
  <si>
    <t>LopezjDirector, Vicente</t>
  </si>
  <si>
    <t>Vicente LopezjDirector</t>
  </si>
  <si>
    <t>{’. yb ,n*T 'i ;» IiOs subscriptores 'á la colección de las estampas del Viacrucis , dibuxádas, por D. Vicente LopezjDirector. de p^nturaen laKeál, academia deS.Cárlos de Valencia, y grabadas por I). Miguel Gámborino, acudirán por las que les falten hasta las últimas. Ambos, profesores se han esmerado pa</t>
  </si>
  <si>
    <t>Lord Carhamiptñtt, General</t>
  </si>
  <si>
    <t>General Lord Carhamiptñtt</t>
  </si>
  <si>
    <t>de Rusia en España. Mr. Merry, Ministro de S. M. Británica, presentó 4 36 ingleses, entre ellos el General Lord Carhamiptñtt * f varios oficiales de</t>
  </si>
  <si>
    <t>Lord Hutchinson, General</t>
  </si>
  <si>
    <t>General Lord Hutchinson</t>
  </si>
  <si>
    <t>que se necesitan para dar curso á los negocios públicos. El sábado último desembarco en Douvres el General Lord Hutchinson* La pensión de 2® esterlinas que le ha. señalado el Rey empieza á; correr desde el día 2 de Setiembre de 1801, en que se rindió Alejandría. En vista del nombramiento del General A</t>
  </si>
  <si>
    <t>Lord Keith, Almirante</t>
  </si>
  <si>
    <t>Almirante Lord Keith</t>
  </si>
  <si>
    <t>ua los ingleses que deseen viajar á España, Francia y Holanda, no necesitan ya licencia del Rey. El Almirante Lord Keith lia llegado de Malta á Gibraltar con la esquadra de su ma: do.</t>
  </si>
  <si>
    <t>Lord Keitlv, Almirante</t>
  </si>
  <si>
    <t>Almirante Lord Keitlv</t>
  </si>
  <si>
    <t>es. Londres 8 de- Julia. H a nombrado el Rey para Ministro ingles en Malta á Mr. Alexandro Bal!. El Almirante Lord Keitlv, que, salió de Gibraitar el 2o de Junio en el navio Fqudroyant de 80 cañones, ancló el 3 dei corriente por la tarde en la rada de Sta. Elena. * En una-asamblea celebrada ei Edimbu</t>
  </si>
  <si>
    <t>Lord Keyth, Almirante</t>
  </si>
  <si>
    <t>Almirante Lord Keyth</t>
  </si>
  <si>
    <t>tuvo corté * á la que asistiéron todos los Ministros extrangeros. Igualmente se presentó á S. M. el Almirante Lord Keyth , que acaba de llegar del Mediterráneo. • ^ El día $ concurrió el Lord Canciller á la Cámara alta, y 1l presencia del corto número de .vocales que asistiéron hizo lectura de la pr</t>
  </si>
  <si>
    <t>Lorente</t>
  </si>
  <si>
    <t>rerías de Castillo y Escribano. En esta carta se da á entender el verdadero motivo que ha tenido el Dr. Lorente para publicar su folleto, y se satisface á sus objeciones contra el original y la traducción. Consideraciones políticas sobre la conducta que debe observarse entre marido y muger.</t>
  </si>
  <si>
    <t>Lorente Ximenez de Castro, Antonio</t>
  </si>
  <si>
    <t>Antonio Lorente Ximenez de Castro</t>
  </si>
  <si>
    <t>imiento de letras de la villa de Illéscas á D. Juan Antonio Martínez Azpeytia: para el de Sahagun á D. Antonio Lorente Ximenez de Castro: para la Vara de Alcalde mayor de la ciudad de Motril á D. Joseph Manuel Rodríguez Valderábano: para la de Algecíras á D. Pedro Benito Vidal: para la de la villa de Medellin á D.</t>
  </si>
  <si>
    <t>a villa de Olmedo á D. Joseph Cerdan y Landa: para la Vara de Alcalde mayor de la de Navalcarnero á D. Antonio Lorente Ximenez de Castro: p^jríft &lt;e| Corregimientp de letras de la de Sahagun que este dexa á D. Joseph riano Márquez y Aguilar ; y para la Vara de Alcalde mayor de I4 villa d? S.. Clemente á D. Joseph M</t>
  </si>
  <si>
    <t>Lork</t>
  </si>
  <si>
    <t>ndoles también á caballo toda la comitiva. Habíase tendido la tropa por las calles hasta la casa de Mr. Lork, Cónsul de Rusia. Al llegar SS. MM. á ella se presentó la Reyna de Prusia, y abrazó también al Emperador, quien le besó la mano. Comiéronj untos los ilustres viageros, y á las 4 d</t>
  </si>
  <si>
    <t>Losada RíV, Joseph</t>
  </si>
  <si>
    <t>Joseph Losada RíV</t>
  </si>
  <si>
    <t>ai, &lt;3¡&gt;y- Pedro FernandexNavarretr, IX^Jaféph'de^Mátiénzo AJg£rté*\l&gt;^F¿íaÉncisco Aldao y Aragón f D. Joseph Losada RíV era /Ó.’Domíngolde^M^tienzd y ligarte , 1).*»Manuel Jove Huelgo Pifefo ,D. Ventufe Merino1 y Llanera^ D. Rafael Morales y Gallegás^ l!&gt;v Melchor Nieto Polo, D. RarnóñTa— oigoe | 'w»</t>
  </si>
  <si>
    <t>Losada, Joseph</t>
  </si>
  <si>
    <t>Joseph Losada</t>
  </si>
  <si>
    <t>upernumerario D. Vicente López del Prado; y á Cadete supernumerario al Guardia de la misma Compañía D. Joseph Losada. Asimismo se ha servido promover el Rey en el regimiento de Saboya á primer Teniente al segundo Teniente D. Elíseo Perez Tello: en el de Jaén á segundo Teniente al Subteniente de</t>
  </si>
  <si>
    <t>erna; á Subrigadier al Cadete D. Francisco Xavier Liberatore ; á Cadete de número al supernumerario D. Joseph Losada, y á Cadetes supernumerarios á los Guardias de la misma Compañía D. Joseph Sánchez y D. Juan Saavedra. En el regimiento de Reales Guardias Españolas se ha servido promover el Rey</t>
  </si>
  <si>
    <t>Losada, Miguel</t>
  </si>
  <si>
    <t>Miguel Losada</t>
  </si>
  <si>
    <t>. 30. 18. Id. Miguel Losada....»........ ,. Padre incógnito, María Lo- Castro Caldesada.................................... las.............. Tuy............. . 19. 4. Id* Ma reo Osua...</t>
  </si>
  <si>
    <t>Lou, General</t>
  </si>
  <si>
    <t>General Lou</t>
  </si>
  <si>
    <t>su hipocresía nos ha hecho tanto daño. £1 gobierno verá lo que ha de hacer de él..__.La prisión del General Lou"verture ha ocasionado juntas y pandillas: ya están arrestados dos xefes de insurgentes, y serán pasados por las armas. También se prendiéron unos 100 de sus principales confidente</t>
  </si>
  <si>
    <t>Loveñdon</t>
  </si>
  <si>
    <t>omandante Kocfor que hacer amenazas y preparativos de atacar la ciudad. La paz se firmó por 6 años. Mr. Loveñdon, primer Piloto y Capitán comandante de este puerto* ha publicado‘ á favor de los navegantes el aviso de que una embarcación sin masteleros ha zozobrado, y se ha ido á pique en la</t>
  </si>
  <si>
    <t>Lozano, Joaquín María</t>
  </si>
  <si>
    <t>Joaquín María Lozano</t>
  </si>
  <si>
    <t>. Joseph Díaz Ramírez de Arellano: en el de Voluntarios de Castilla á primer Subteniente al segundo D. Joaquín María Lozano : en el de cazadores Voluntarios de la Corona á Subteniente de gastadores al de cazadores D; Mi-^ guel Cortes y Borda; y en el batallón de cazadores Voluntarios de Barbastro á pri</t>
  </si>
  <si>
    <t>Lozano, Juan Nepomuceno</t>
  </si>
  <si>
    <t>Juan Nepomuceno Lozano</t>
  </si>
  <si>
    <t>s desposorios de los Sernios. Srés. Principes de Astárias y de Ñapóles. Dio principio su Secretario D. Juan Nepomuceno Lozano, Abogado "de los Reales Consejos, con un discurso gratulatorio fundado en estos plausibles sucesos, y prosperidades de la paz y del estado, proponiendo los medios mas fáciles y pr</t>
  </si>
  <si>
    <t>Lu, Ignacio</t>
  </si>
  <si>
    <t>Ignacio Lu</t>
  </si>
  <si>
    <t>ión, por D. Martin de Ulloa rz: Disertaciones sobre el origen y patria primitiva de les godoS', por D. Ignacio Lu?an y D. Martin de Ulloa.=Disertaciones sobre qual de los~Reyes godos fue y debe contarse primero de los de su nación én España, por D. Francisco M nuel de la Huerta, D. Ignacio Li</t>
  </si>
  <si>
    <t>Lucía Estéban Montero</t>
  </si>
  <si>
    <t>lteras, hijas de la provincia de Toledo, y entre las m pretendientas, tocaron á Lucía Estéban Montero, natural de la Puebla de Montalban; á Teíesfora García Salamanca , de Nambroca; á Pascasia Martin Sánchez, de Villaíuenga, y á Paula Fernandez Ballesteros , de Nambroca. • Descripción geog</t>
  </si>
  <si>
    <t>Luciano Bonaparte</t>
  </si>
  <si>
    <t>quanto antes con la Princesa María Pawlowna, hermana segunda de Alexandro 1. El ciud. Luciano Bonaparte ha sido elegido Tribuno por el Senado con-Aervador, el qual ha hecho ya la elección de los sugetós que han de reem-plazár jeste año á los individuos del Tribun</t>
  </si>
  <si>
    <t>Cónsules al pie de la escalera, y los acó mpm&gt; hasta la sala de las juntas. Los ciudadanos Joseph y Luciano Bonaparte , que comí» miembros del gran Consejo administrativo de l* legión de honor to son Senado, según el art. 61 del senado-consulto orgánico, prestáron en manos del</t>
  </si>
  <si>
    <t>Luciano Gabanes</t>
  </si>
  <si>
    <t>gial de la ciudad de S. Felipe, diócesis de Valencia, vacante por fallecimiento de D. Juan Lledó, á D. Luciano Gabanes: para otra de la de Manresa, diócesis de Vique, vacante por muerte de D. Ramón Goser, á D. Joseph Alsina, Canónigo de la de Calaf: para una Ración penitenciaria de la parroquia de</t>
  </si>
  <si>
    <t>Luciere, General</t>
  </si>
  <si>
    <t>General Luciere</t>
  </si>
  <si>
    <t>o debíamos perder tiempo para sufocar ó precaver tina- insurgí réccion general; En conáeqiiencia el General Luciere meepidió el mismd dia se despachase á*la parte española de Sto. Domingo :el General1 Kervlérsatt con su división; y el resto de la esquadra^ continuó su derrota. A un.era dudoso s</t>
  </si>
  <si>
    <t>Ludolf, Condesa</t>
  </si>
  <si>
    <t>Condesa Ludolf</t>
  </si>
  <si>
    <t>enjaezados; y su esposa ha dado á la de dicho Ministro una preciosa joya de diamantes, y otra á la Condesa Ludolf, hija del Enviado de Nápoles. Jorge-Imán Baxá es el principal caudillo de los cuerpos de bandoleros que traen inquieta toda la provincia de Romelia. Créese que las tropas inglesas</t>
  </si>
  <si>
    <t>Lúeas Álvarez</t>
  </si>
  <si>
    <t>s, D. Francisco Campos, D. Joaquín Langelé, D. Juan Caequillo, D. Pedro Barat, D. Antonio Vayllant, D. Lúeas Alvarez, D. Joseph Maitmez, D. Francisco Xavier Lamadrid, D. Joseph Antonio HerrezuéloD. Joseph Soto, D. Francisco Leysél, D. Mauricio de Zúñiga, D. Pedro Bermudez, D. Ramón de Villar, D.</t>
  </si>
  <si>
    <t>Lúeas de Mena</t>
  </si>
  <si>
    <t>món Serrano, D. Juan Joseph Martínez, D. Joseph María Cano, D. Francisco Real,-D. Vícéfíté Salcedo, D. Lúeas de Mena, D. Joseph Viladomar, D. Juan de Álbarrilla, D. Gonzalo Martínez, D. Cosme Marín, D. Serafín del Rincón, D. Mariano Carrasco, D. Vicente Pico, í). Antonio Arias , D. Joseph Espino</t>
  </si>
  <si>
    <t>Lúeas Gómez</t>
  </si>
  <si>
    <t>60. 22. Id. Lúeas Gómez................... Juan, Ines Crespo................ Sardón de Duero........Sardón........... .</t>
  </si>
  <si>
    <t>Lúeas Gómez Negro</t>
  </si>
  <si>
    <t>os en francés por el Abate Para du Fáujas,, presbítero de la extinguida compañía , y traducidos por D. Lúeas Gómez Negro. Estos elementos son excelentes así por la multitud de materias , orden y distribución de ellas, como por el estilo y método de tratarlas;ninguna se omite de quantas pueden reduci</t>
  </si>
  <si>
    <t>Lúeas Herrero</t>
  </si>
  <si>
    <t>n memoriales hasta &lt;¡ de Agosto, corriendo con esta comisión los Lics.; í). Juan Pedro de Figueroa, D. Lúeas Herrero, Fernando Rodrigo y D. Pedro Luis Aguirre , Regidores, y Procurador general de aquel Ayuntamiento.. Sancti Martini Legioneosis presbyteri, atque Canonici regularis ordinis Sanctl</t>
  </si>
  <si>
    <t>Lúeas Labrada, Joseph</t>
  </si>
  <si>
    <t>Joseph Lúeas Labrada</t>
  </si>
  <si>
    <t>D. Benito María de Rivas, Secretario del mismo Cuerpo ; y para la Secretaría que resoltó vacante á D. Joseph Lúeas Labrada. • En América. El Rey se ha servido nombrar para el empleo de Teniente letrado Asesor del gobierno de S. Salvador , en el Reyno de Goatemalá, vacante por renuncia de D. Manuel Cla</t>
  </si>
  <si>
    <t>Lúeas Muñoz y Cubero</t>
  </si>
  <si>
    <t>Al: mismo tiempo se ha servido el Rey conceder en sus dominios de Indias jas; gracias siguientes: á D. Lúeas Muñoz y Cubero, Regente, de Ja Real Audiencia de Santa Fé; á D. Felipe Cisneros de la Oliva, Regente de la de Manila, y á D. Benito de la Mata Linares, Regente de la Audiencia de Buenos-Ayres, h</t>
  </si>
  <si>
    <t>Lúeas, Pablo</t>
  </si>
  <si>
    <t>Pablo Lúeas</t>
  </si>
  <si>
    <t>....... su. so. Id. Pablo Lúeas......................... Ventura , Juana Escudero.. Salinas........... Búrgos........... si*- 18. Id. Francisco Asensio............ . Francisco,Manuela Delgado. Villamayor.. León......</t>
  </si>
  <si>
    <t>Luí</t>
  </si>
  <si>
    <t>ganza, D. Joseph Esquivfel, D.Blas tezo, D.JoaquinMedrano, P- Francisco Neeochea, D. Joseph Gaytan, D. Luí* Duran* D- .Manan®: Zapata, D.JEodngo y D. Pedro Tavíra, D. Leopoldo Menead», P- JosephTorres, D. Luis Vidarte, i D-Í'o¿qum del ÍÜo, D. Frabciscf» trespalaeios y D, JuanEantista G</t>
  </si>
  <si>
    <t>Luis Alonso</t>
  </si>
  <si>
    <t>...... 348. 40. Id. Luis Alonso......................... Josef, Ana María Diez......... Salinas........... León.............. 14. 8. Id. Gabriel Minguez................ Simón , Francisca Urquiza.</t>
  </si>
  <si>
    <t>Luis, Príncipe</t>
  </si>
  <si>
    <t>Príncipe Luis</t>
  </si>
  <si>
    <t>i dia 15 llegó aquí el Coronel Borgensteiern, que pa^ó inmediatamente á palacio , y á presencia del Príncipe Luis y de toda la corte hizo la entrega del corazón del difunto Príncipe heredero de Badén, poniéndolo en manos de Mr. Gensau, primer Chambelán. S. A. S. el Margrave se habia transferido á</t>
  </si>
  <si>
    <t>landeses. El dia 9 se despachó de Manheim el primer transporte. El Margrave de Badén, su esposa, el Príncipe Luis, los Ministros Barones de Gayling y Edelsheim y otras personas condecoradas, llegaron el-dia 8 á Manheim: el Margrave, convidado por el Consejero de Hacienda Boehringer, comió en</t>
  </si>
  <si>
    <t>puntos; de que ha de tratar, y no puede ménos de aprpbarlos. ; ; - H Carlsruhe 17 de Agosté. . E 1 Príncipe Luis, hijo d&lt;e nuestro Margrave , ha sido nombrado Teniente General 4e¡los.exércitos prusianos, con facultad de residir en los estados de su padre ó eo los dominios¿de • pru$ia * según</t>
  </si>
  <si>
    <t>Luisa</t>
  </si>
  <si>
    <t>r, el Sr. D. Joseph de edad de 10 años^, las Sras. Doña Ramona de edad de 15 , Doña Joachma de 13 , Doña Luisa de 8 , Doña Francisca de 6, y Doña María Teresa de 2, que por vía de juguete pasaron todos seis tos trámités de la verdadera viruela vacuna con sus-verdaderos fenómenos de tal, cuya</t>
  </si>
  <si>
    <t>Luisa Augusta, Princesa</t>
  </si>
  <si>
    <t>Princesa Luisa Augusta</t>
  </si>
  <si>
    <t>de yelos. Acaba de hacerse á la vela para Cantón, en la China, el navio de la compañía asiática la Princesa Luisa Augusta, mandado por el Capitán Stage. Desde el día i.° de este mes hasta el 19 han pasado por el Sund 59$ embarcaciones. Viena * 1 de Noviembre. E 1 Archiduque Carlos, que conti unamente</t>
  </si>
  <si>
    <t>Luisa María Amalia</t>
  </si>
  <si>
    <t>que tienen empleos públicos. .Barcelona 20 de Octubre, C on motivo de la muerte de la .Serma. Sra. Doña Luisa María Amalia, Princesa de Nápoles, esposa del Sr. Archiduque Fernando Joséph, ha mandado el Rey Ntro. Sr. que se vista la corte de luto por 15 dias, los 8 primeros con media negra, contados de</t>
  </si>
  <si>
    <t>Luisa, María (duquesa)</t>
  </si>
  <si>
    <t>Duquesa María Luisa</t>
  </si>
  <si>
    <t>academia de bellas artes nombró el 6 del mes de Mayo por académicas de honor á SS. AA. RR. la Gran Duquesa María Luisa y iás Princesas de Nápoles María Christina, María Amalia y María Antonia; pero como la Reyna de Nápoles, que res también académica, se hallaba enferma, suspendió la academia la pres</t>
  </si>
  <si>
    <t>Lunardi, Capitán</t>
  </si>
  <si>
    <t>Capitán Lunardi</t>
  </si>
  <si>
    <t>ienes habia ofrecido premios para este caso. $5. MM. quedáron satisfechos de la destreza del citado Capitán Lunardi. Los colegios, y gremios de esta ciudad, deseosos de acreditar nuevamente sn amor y reconocimiento á los Reyes Ntros. Sres.# lo hiciéron con una representación alegórica de la Gra</t>
  </si>
  <si>
    <t>Luque, Bernardo</t>
  </si>
  <si>
    <t>Bernardo Luque</t>
  </si>
  <si>
    <t>n Bernardo Laporte, Don Felipe Crame, D. Francisco Ruigomez, D. Cándido Higuera, D. Diego Navarro , D. Bernardo Luque, D. Rafael Pezzino, D. Luis Ranea ño, Don Juan Meric, D. Antonio Bocarro, D. Juan Feliu, D. Juan Desnaux, Don Manuel Vigil de Quiñones, D. Joseph Ponce de León, D. Francisco Soler</t>
  </si>
  <si>
    <t>Lusarretá, Santiago</t>
  </si>
  <si>
    <t>Santiago Lusarretá</t>
  </si>
  <si>
    <t>1 Jl * D. Francisco Barradas, D. Celedonio Fgüizábal* AoSÁatidb Látbüi ret, D. Ramón de San Martin, D. Santiago Lusarretá , D, Vicente rQasa' sola* D. Alonso VtlUfáñe, D. Cayetano Marimon * D. Jbseph Barón de Mer , D. Alexáñdro Conde de.Coupigni, D. Pedro Antonio TE^éjo, Don Pedro Fermín de Meiidinue</t>
  </si>
  <si>
    <t>Luxan, Carlos</t>
  </si>
  <si>
    <t>Carlos Luxan</t>
  </si>
  <si>
    <t>e, D. Juan Chrisóstomo de la Llave, el Condé de Castroterreño* D. Joseph de Vargas, D.JoaquinBlake, D. Carlos Luxan,D._ Vidal Marín, el Conde de Cotdagués, D. Francisco TefradellasyP. Manuel dé Mi randa, D. Rodulfo Gautier, Marques de CaSteldosrius, D. Juan Manuel de Villeoa, el Marques de Mons</t>
  </si>
  <si>
    <t>Luyando, Joaquín</t>
  </si>
  <si>
    <t>Joaquín Luyando</t>
  </si>
  <si>
    <t>M.a-. nuel Vázquez, D. Juan Vidaror, D. Joseph Anillo, D. Mauricio Alva-, rez, D, Manuel Hinojosa, D. Joaquín Luyando, D. Juan Bosa, D. Bas^ cual Martinez, D. Juan Menendez,' D. Baltasar García Galio, D. Francisco Perea, D. Francisco Malpica y D. Alexandro Rivacoba. JSn América. El Rey se ha serv</t>
  </si>
  <si>
    <t>Luzon, Ignacio</t>
  </si>
  <si>
    <t>Ignacio Luzon</t>
  </si>
  <si>
    <t>l,* D. Rodrigo •Aívarez, D. Ignacio Sandoval, D¿ Nicolás Pastor, D. Joseph Abarca, Don Jdseph Díaz, D. Ignacio Luzon¿ D. Mariano Merchante, D. Christóbal Manzano, D. FranciscoFaxardo, D. Andrés Orozco, D. Miguel Duran, D. Cárlos Chinchilla, D&gt;. Antonio Texád a, D. Juan Ximenez, D. Ma^ nuél Díaz,</t>
  </si>
  <si>
    <t>Ma, Joseph</t>
  </si>
  <si>
    <t>Joseph Ma</t>
  </si>
  <si>
    <t>cosecha de este año lia sh. do muy abundante. En el último paquebot de Lisboa ha llegado á Londres D. Joseph Ma-* ría de Sousa Bombelle, Embajador de S. M. Fidelísima en esta corte; Con fecha de 28 de Octubre avisa-el Lord Saint-Helens desde Moscow que Alexandro. i*. supo' con la mayor satis</t>
  </si>
  <si>
    <t>Maas, Coronel</t>
  </si>
  <si>
    <t>Coronel Maas</t>
  </si>
  <si>
    <t>Conde de Sternbach, ha salido de la Rochela y de la isla de Ré: consta de 1500 hombres, la manda el Coronel Maas , y va á Batavia. Ndpoles 9 de Marzo. A ntes de ayer á las 4§ de la tarde murió aquí al cabo de 6 dias de enfermedad, María Adeiayda Clotilde de Francia , Reyna de Cerdeña. Su aug</t>
  </si>
  <si>
    <t>Macario, Obispo</t>
  </si>
  <si>
    <t>Obispo Macario</t>
  </si>
  <si>
    <t>cará el nuevo Senado para poner,en planta la constitución.! El dia 13 llegó aquí desde Florencia el Obispo Macario de la comunión griega-cismática, y metropolitano de toda el Africa. Se detendrá al-r gun ^tiempo en‘ésta* ciudad «para arreglar ; los asuntos de este hospicio de la réligion-*griega, y</t>
  </si>
  <si>
    <t>Macarti, Juan</t>
  </si>
  <si>
    <t>Juan Macarti</t>
  </si>
  <si>
    <t>ortés, D. Ramón Bétes, D. Francisco Portillo, D. Tomas Salcedo, D. Fernando Moyano, D. Juan Alabés, D. Juan Macarti, 0. Dionisio Sánchez, D. Joseph Chardenoux, D. Joaquín de la Hoz, D. Mateo Rodrigue?, D. Gervasio Gasea, D. Joseph Metzguer; y áD. Ignacio Paino y Mateos, grado de Milicias. En Am</t>
  </si>
  <si>
    <t>Macdonald, General</t>
  </si>
  <si>
    <t>General Macdonald</t>
  </si>
  <si>
    <t>ívindofF. '**'• Copenhague 2 4 de Diciembre. A ntes de ayer tuvo audiencia de despedida de S. M. el General Macdonald, Ministro plenipotenciario de Francia, que saldrá quanto ántes de aquí ton sus Ayudantes. Según los últimos avisos de Mr. Waltersdorf ha concluido felizmente sus negociaciones con</t>
  </si>
  <si>
    <t>|i8 lia llegado á Hamburgo el General Macdonald, que ha sido Embajador de Francia en Copenhague. ..... Dase por cierto que en Berlín se*'esta'trabajando un manifiesto, en él qual se probará que deben cumplirse pronta y puntualm</t>
  </si>
  <si>
    <t>r, Embaxador de Rusia cerca de S. M. Prusiana. El dia i.° de este mes salió de aquí para Francia el General Macdonald, que fué Embaxador de la República en Copenhague. De Elseneur han dado la* vela dos navios dinamarqueses para las Indias orientales, y uno para la China. Aunque es ya muy intenso</t>
  </si>
  <si>
    <t>s. Con esta división llegó una fragata francesa nombrada la Poursvivante. Bruselas ij de Enero. E 1 General Macdonald, que viene de Dinamarca, en donde: era Embaxador de la República, llegó, antes de ayer á esta ciudad, y ayer mañana salió para Paris. Se sabe que el dia 12 pasó por Nancí, yendo d</t>
  </si>
  <si>
    <t>a La muerte de su hijo el Príncipe heredero. El Ministro de Relaciones exteriores presentó luego al General Macdonald, que vuelve de Copenhague ; al ciud. Semonville, que viene del Haya con licencia, y al ciud. Meyner, nombrado Ministro plenipotenciario de la República bátava para residir en Madr</t>
  </si>
  <si>
    <t>Macdonald, Lord</t>
  </si>
  <si>
    <t>Lord Macdonald</t>
  </si>
  <si>
    <t>os con adornos de plata. La sociedad de montañeses tuvo el día 24 su junta mensual presidida por el Lord Macdonald. Quarenta oficíales que sobresalieron en la batalla de Alexandría de 21 de Marzo, asistieron al convite, llevando cada uno la medalla de oro que les regaló el Gran Señor. En breve</t>
  </si>
  <si>
    <t>Macedo, Gerónimo</t>
  </si>
  <si>
    <t>Gerónimo Macedo</t>
  </si>
  <si>
    <t>estos últimos, se les avisa remitan la competente justificación á Medina del Campo, dirigiéndola á D. Gerónimo Macedo cié Estrada y D. Nieblas Mu— fioz, testamentarios y jueces árbitros, partidores y contadores nombrados para hacerles Sus hijuelas .con exclusión de justicias. Epístolas de S. Pabl</t>
  </si>
  <si>
    <t>Macernik, Henrique</t>
  </si>
  <si>
    <t>Henrique Macernik</t>
  </si>
  <si>
    <t>en el regimiento de infantería de Saboya á segundo Subteniente al Cadete que ha sido del de Irlanda D. Henrique Macernik : en el de Africa á segundo cTeniente al Subteniente de granaderos D. Patricio Bustamante : en el de Zamora á primer Subteniente al, segundo D. Gregorio Reynoso: en el de Guadalax</t>
  </si>
  <si>
    <t>Machado, Francisco</t>
  </si>
  <si>
    <t>Francisco Machado</t>
  </si>
  <si>
    <t>del Conde de Tepa á D.^amon de Posada, y para la 'de Gapa-y-dEspada ¿el mismo tribunal, que ocxa.rá D. Francisco Machado, á»p.- Antqnio:Pórcel, Secretaria?fi^l.4vpa£faniu;tÓ de Nueva-España, con el sueldo de su dotación, relevado de meeia anata, conformen lo mandado por punto general para con los Oi</t>
  </si>
  <si>
    <t>Machuca, Manuel</t>
  </si>
  <si>
    <t>Manuel Machuca</t>
  </si>
  <si>
    <t>ro de tres onzas. Pintura, á D. Antonio Guerrero: escultura, á D. Argel Monasterio: arquitectura, ¿ D. Manuel Machuca. Segundos premios. Medallas dé oro de dos onzas. Pintura* á %</t>
  </si>
  <si>
    <t>Macla, Domingo</t>
  </si>
  <si>
    <t>Domingo Macla</t>
  </si>
  <si>
    <t>86. 3* Id. Domingo Macla............ Salvador,Catalina Díaz... Riomayor.... Galicia.......... 35. 10. Id. Antonio Garda.............</t>
  </si>
  <si>
    <t>Macniél</t>
  </si>
  <si>
    <t>ncontró una fragata anglo-americana i 3 c&lt; r¿ari &gt;s tunéanos que perseguían á u'á ba reo veneciano. Mr. Macniél, Capitán de la fragata, creyendo por la semejanza de la bmdera que eran tripolinos los atacó; ; El combate fué, muy sangriento: la fragata echó dos corsarios á pique, y maltrató a</t>
  </si>
  <si>
    <t>Macquer</t>
  </si>
  <si>
    <t>tes de la era christiana vulgar hasta el de 1768 de la era christiana : obra escrita en francés por Mr. Macquer, abogado del Parlamento de París; y traducida por el Dr. D. Baltasar Zapata y Merino, Prior de Falces: 4 tomos en 8.? marquida. Véndense.en la librería de Ranz, calle de la Cruz.</t>
  </si>
  <si>
    <t>Madama de Stael</t>
  </si>
  <si>
    <t>guas de Aix, padeció en Poligni un insulto de apoplexía que puso fin á su vida. Madama de Stael, hija de Mr. N ecker, acompañó el cadáver á la quinta de su padre, en donde se le dió sepultura. , . La noche del 15 hubo en París y sus inmediaciones una helada tan fuerte que causó gr</t>
  </si>
  <si>
    <t>Madano Isazbinbil</t>
  </si>
  <si>
    <t>avarría y Chacón, D. Tomas Blanco Cabrera, D: Felipe Bausá,:0on Favio Aliponzoni, .D. Jacobo Morfi, D. Madano Isazbinbil, D. Joseph Dionisio: de Rivera, D. Andrés Otero , D.Franci co Dáviji y :Guzma[n.&gt; Don Lorenzo JJrtu^austegui, n. Juan Joseph Velasco, D. Benito Ortiz Llagu-r ¿o, D, Antonio Caíppt</t>
  </si>
  <si>
    <t>Maduit, Juan</t>
  </si>
  <si>
    <t>Juan Maduit</t>
  </si>
  <si>
    <t>on Francisco Cortabarria, D. Antonio Maestre, D. Fernando Manuel de Villena, el Vizconde de Zolina, D. Juan Maduit, D. Juan O-Donojú y O-Rian, D. Joseph Valmaseda, D. Manuel Rizo, D. Francisco Pastor, D. Manuel Ignacio San Juan, D. Juan Senen de Contreras , D. Pedro Lobo y Arjona, D. Diego Orb</t>
  </si>
  <si>
    <t>Maeda, Antonio</t>
  </si>
  <si>
    <t>Antonio Maeda</t>
  </si>
  <si>
    <t>la calle de la Palma baxa, junto á la parroquia de S. Pedro, núm. 8, qúarto principal , donde vive D. Antonio Maeda, que dando las señas la entregará. Don Manuel López de Arceo, clérigo de prima tonsura, natural de la ciudad de Salamanca, de edad de ig años cumplidos, lleno de cara, pelo negro,</t>
  </si>
  <si>
    <t>Maestre, Antonio</t>
  </si>
  <si>
    <t>Antonio Maestre</t>
  </si>
  <si>
    <t>Matías Piriz, D. Pedro Baylin, D. Bartolomé de Castro, D. Santiago Puig, Don Francisco Cortabarria, D. Antonio Maestre, D. Fernando Manuel de Villena, el Vizconde de Zolina, D. Juan Maduit, D. Juan O-Donojú y O-Rian, D. Joseph Valmaseda, D. Manuel Rizo, D. Francisco Pastor, D. Manuel Ignacio San J</t>
  </si>
  <si>
    <t>Maestro, Francisco</t>
  </si>
  <si>
    <t>Francisco Maestro</t>
  </si>
  <si>
    <t>s Ordenes Militares; y para la Ayudantía del castillo de Monjuich de la de Barcelona al Subteniente D. Francisco Maestro, Sargento primero del de Reales Guardias Españolas. • ; --S. M. se ha servido nombrar para la Regencia dé la Chancillería de Granada^, vacante por promoción del Sr. D. Bartolomé d</t>
  </si>
  <si>
    <t>Maestro, Miguel</t>
  </si>
  <si>
    <t>Miguel Maestro</t>
  </si>
  <si>
    <t>...... 141. 13. Id, Miguel Maestro................ . Juan, Manuela Castro..,.. Melgar...... Búrgos....... 338. »6. Id.</t>
  </si>
  <si>
    <t>Mafia Isabel</t>
  </si>
  <si>
    <t>y acompañamiento llegaron al santuario de Atocha los Reyes y Príncipe Ntros. Sres., la Sra. Infanta Doña Mafia Isabel, Princesa heredera de Nápoles, y demas personas Reales. En k capilla de Ntra; Sra. ai lado derecho se habia prevenido el, dosel de' SS. MM., y al'izquierdo el sitial para el Emmo.</t>
  </si>
  <si>
    <t>Magadan y Entrenos, Antonio</t>
  </si>
  <si>
    <t>Antonio Magadan y Entrenos</t>
  </si>
  <si>
    <t>Verenguer, D. Rafael de Lobo y Campo, D. Francisco Leceta y la Iglesia, D. Manuel Ocarol y Fuertes, D. Antonio Magadan y Entrenos, D. Norberto de Mella-y Barbeyto, I&gt;. Juan de Bustamante y Bustamante, D. Joaquín del Pollo Sagasú, D. Pedro Negrete y Talla , Don Antonio Veguér' y Martiller, D. Joseph Salazar:</t>
  </si>
  <si>
    <t>Magailon</t>
  </si>
  <si>
    <t>Reunión: alcanzan hasta 2 de Octubre de este año. El gobierno na confirmado al ciud. Magailon en su empleo de Gobernador general de ambas islas, y Comandante de la de Francia. _ Valencia 7 de Febrero. C ontinu ación de los premios que esta Real sociedad o</t>
  </si>
  <si>
    <t>Magín, Juan</t>
  </si>
  <si>
    <t>Juan Magín</t>
  </si>
  <si>
    <t>de Mopox. : ; ■ A Brigadieres los Coroneles: en España. D. Joaquín Ferrandiz, el Marqués de Lazan, D. Juan Magín, el Conde Colona, D. Antonio García Conde , D. Fernando Saavedra, D. Juan Amiant, D. Baltasar de Béllét * 0. Joseph Craiwinckel, D. Joseph Augusto S e la Porte, D. Juan Chrisóstom</t>
  </si>
  <si>
    <t>Magon, Almirante</t>
  </si>
  <si>
    <t>Almirante Magon</t>
  </si>
  <si>
    <t>madas las cureñas, municiones y empalizadas. Dexáron en el campo 28 muertos y 50 heridos; El Contra-Almirante Magon por su parte se adelantó desde el fuerce déla Libertad hasta Caracol, á la frente de un corto destacamento que fué atacado por los rebeldes , á quienes derrotó matándoles 68 hombr</t>
  </si>
  <si>
    <t>^atá^Preciósa^Cíi el uómbr2d&amp; ’ Héroe viene elGeneral Santos Louverture coni sú familia. JE1 Contra-Almirante Magon , que es él comandante de estos buques, salió de aquí para París al dia siguiente dé su llegada. ■ ir* París í7 de Julio* Jim la parada del dia 14 los destacamentos de 31 medias b</t>
  </si>
  <si>
    <t>Magon, Capitán</t>
  </si>
  <si>
    <t>Capitán Magon</t>
  </si>
  <si>
    <t>bouque, y se apoderó á viva fuerza de los dos al cábo de una resistencia bastante fuerte. Quando el Capitán Magon entró en la rada, le recibiéron á cañonazos; pero se atracó con dos navios á tiro de fusil, y poco después puso en fuga á los negros: nuestras tropas llegaron á tierra y entraron en</t>
  </si>
  <si>
    <t>de las tropas, y hechas todas nuestras disposiciones, di la señal al Contra-Almirante Látouche y al Capitán Magon para que fuesen á exeeutar su encargo, y á la mañana siguiente me presenté con el resto de las fuerzas delante del Cabo.” ___ (Sigue dando cuenta de las dificultades de la entrada</t>
  </si>
  <si>
    <t>la batería de la Cala, en donde los negros se defendieron con la mayor porfía* Presentóse luego el Capitán Magon delante del castillo de la ciudad» y le recibieron i cañonazos; pero bastáron dos andanadas para que se apoderase de aquel estaplacimiento, en el qual halló una crecida artillería e.o</t>
  </si>
  <si>
    <t>Magon, General</t>
  </si>
  <si>
    <t>General Magon</t>
  </si>
  <si>
    <t>en Puerto-Príncipe un cuerpo de exércitó;á las órdenes del General Boudet; y la segunda, á las del General Magon, fué á la enseiia-I da de Manzanilla para desembarcar allí las tropas del General Rochambeair y sostener su ataqué contra Fuerte-Delfín. Condtixe yo el resto de la es-quadrá y las</t>
  </si>
  <si>
    <t>Magori, Almirante</t>
  </si>
  <si>
    <t>Almirante Magori</t>
  </si>
  <si>
    <t>e, de Plásencia, de Puerto de Paz, de Juan Rabel y del Muelle de S. Nicolás. Por su parte el Contra-Almirante Magori rechazaba todos los ataques del enemigo, y conservaba los ricos distritos; de Maribaroux, Ouanaminthe, la Valliere, Laxabon y Fuerte Libertad. Dos navios de línea y una fragata es</t>
  </si>
  <si>
    <t>Magrat, Melchor</t>
  </si>
  <si>
    <t>Melchor Magrat</t>
  </si>
  <si>
    <t>Pedro Antonio Casasola^'D. Joseph*Molina , D. Miguel Taboada, D. Pedro Espinosa, D. Ramón Varela ¿ D. Melchor Magrat, Don Antonio Laprieta, D. Francisco Ezpeleta, D. Juan Albérni, D. Joaquín Puertolas, D, Vicente Pinzón, D. Félix Muñoz, D. Gines Albadalejos . D. Juan Pelayo Sánchez', D. Joseph M</t>
  </si>
  <si>
    <t>Maguna, Gaspar</t>
  </si>
  <si>
    <t>Gaspar Maguna</t>
  </si>
  <si>
    <t>on Manuel de Montes, Don Juan Topetey D. Salvador Vidart, 0.- Agustín Bocalán, D. Ramón .Martínez.* D. Gaspar Maguna, 0. Joseph Montalbo¿ D. Manuel Aréchávala, D.Matíaís Aldao,D.Josep]iZapiota, D. Ramón de Londoño, D. Ramón de Novoa, D. Francisco García Señeris, D. Tomas Seidel, D. Antonio Morag</t>
  </si>
  <si>
    <t>Máhamud, Manuel</t>
  </si>
  <si>
    <t>Manuel Máhamud</t>
  </si>
  <si>
    <t>caide del Crí* men mas.antiguo de lá misma : para la de Oidor de Valenda, vacante por jubilación de D. Manuel Máhamud, á D. Francisco Toribio de Ugarte, Alcalde del Crímen^de la de Sevilla: para la Fiscalía del Crimen de esta, vacante por ascenso de,IX Ramón Navarro Pingarron.á plaza de.Alcalde d</t>
  </si>
  <si>
    <t>Mahuel Agüero y Ruiz</t>
  </si>
  <si>
    <t>ls¿ Bcxadórs J D. Manuel Nuñez Portocarrero, D; Ramón Losada y QuíVos, D. Joaquín Goñi y&gt; San Juan ¿D. Mahuel Agüero y Ruiz, D.'Joaquín de Salas y Falces, D. Marcos Gtirnceta, D. Rafael Sequeira, 0. Migsel Moreno y $abét¡a v D¡¡Ratael SetsaíFe, í). Frátórscó beránje^^D^.Miguel '«ardo.de' Lopezde [uéz d</t>
  </si>
  <si>
    <t>MáHuela González</t>
  </si>
  <si>
    <t>, desea áá&amp;er él' paradero2 de D. Francisco Ideóla Xára su padre , que vi vía en Madrid, cásádo con Doña MáHuela González^ en* quien tedia tres hijas ; y desde el mes de Agosto de 178a, quedixole dirigieran las cartas al Real sitio de rÓnimo en -Mádritd. fescuek. de • moral y política de los nifios:</t>
  </si>
  <si>
    <t>Maiin Navarro, Alonso</t>
  </si>
  <si>
    <t>Alonso Maiin Navarro</t>
  </si>
  <si>
    <t>Sartorio, D. Juan Desloves, D.: Bernardo González, D. Joaquín Guzman, D. AntOnio Guzmaa^y Cárrion j D. Alonso Maiin Navarro, 0. .Diego dé'AléssonyBueno, D* BernarddBosco,D. Felipe de Borja VÍ¿e«^íNuiiitcrola.- ':i:or:,fU /saqpA :;:.v ... a.</t>
  </si>
  <si>
    <t>Máiiuel de Prd</t>
  </si>
  <si>
    <t>tfgenió ^dóüneiii^^' '^ Támbiem'sé ha*^Capellán del regimiento deinfanterfá de Bórgbs ai presbítero D. Máiiuel de Prd. ; Para la Regencia de la Audiencia de Valencia , vacante poé promoción de D.: Sancho de Llamas á plaza del Consejo de Hacienda, ha venido él Rey éft ñothbrar £ D. Vfééifte Ganó M</t>
  </si>
  <si>
    <t>Maire, Lord</t>
  </si>
  <si>
    <t>Lord Maire</t>
  </si>
  <si>
    <t>tes de ayer comió el Príncipe de Gáles por primera vez en la casa de Ayuntamiento, convidado por el Lord Maire ó Corregidor. El banquete füé magnífico, y el número de los convidados muy crecido. El pueblo desenganchó los caballos del coche del Príncipe y le llevó hasta la casa consistorial</t>
  </si>
  <si>
    <t>Maitl, Capitán</t>
  </si>
  <si>
    <t>Capitán Maitl</t>
  </si>
  <si>
    <t>tiembre. J f -• E 1 gobierno recibió el sábado último pliegos de Malta por lá fragata lit Carrera , Capitán Maitl and. Parece que no se habla tódaVut de qúe láS tropas inglesas ilayan evacuado aquella isla. También ha entrado en Portsmóuth la fragata Andrómeda, procedente de la Martinica, de</t>
  </si>
  <si>
    <t>Maitmez, Joseph</t>
  </si>
  <si>
    <t>Joseph Maitmez</t>
  </si>
  <si>
    <t>mpos, D. Joaquín Langelé, D. Juan Caequillo, D. Pedro Barat, D. Antonio Vayllant, D. Lúeas Alvarez, D. Joseph Maitmez, D. Francisco Xavier Lamadrid, D. Joseph Antonio HerrezuéloD. Joseph Soto, D. Francisco Leysél, D. Mauricio de Zúñiga, D. Pedro Bermudez, D. Ramón de Villar, D. Francisco Collell,</t>
  </si>
  <si>
    <t>Maíz, Juan Felipe</t>
  </si>
  <si>
    <t>Juan Felipe Maíz</t>
  </si>
  <si>
    <t>ontador de exército A D. Santiago Terreros, Oficial mayo/ de la Contaduría de exército de Aragón; á D. Juan Felipe Maíz, Oficial mayor de la Administración general de Rentas de la provincia de Madrid; á D. Juan de Lesaca, Oficial segundo de la Contaduría de exército de Andalucía ; á D.Mariano Alvar</t>
  </si>
  <si>
    <t>Makartney, Lord</t>
  </si>
  <si>
    <t>Lord Makartney</t>
  </si>
  <si>
    <t>nombrado el lndostan , que vuelve délalridiá, séesperah los misioneros que fuéron á la China con el Lord Makartney, y con ellos viene, el hijo«del difamo Mr. Jorge Staunton, que los acompañó en aquella embáxadá , y'sin duda se habrá perfeccionado én la lengua china. '"*&gt;■ Se na despachado de F</t>
  </si>
  <si>
    <t>Malcolm, Capitán</t>
  </si>
  <si>
    <t>Capitán Malcolm</t>
  </si>
  <si>
    <t>llo de S. Jorge. Un sobrino del Príncipe difunto queda mandando en-el Musmud.. Del Bengala salió el Capitán Malcolm como Embaxador ingles cerca del Soberano de Persia: llegó á Ispahan , y despuqs de muchas ceremonias y formalidades tuvo una audiencia de 15 minutos. No.se dice el motivo ni el fr</t>
  </si>
  <si>
    <t>Maldonado, Diego</t>
  </si>
  <si>
    <t>Diego Maldonado</t>
  </si>
  <si>
    <t>da.... 150. 14. Id. Diego Maldonado................ Antonio .Juliana Fernandez.Bonillo........... Alcaráz.......... 4. Id. Alonso Perez.............. . Manuel, Rosa</t>
  </si>
  <si>
    <t>Maldonado, Vicente</t>
  </si>
  <si>
    <t>Vicente Maldonado</t>
  </si>
  <si>
    <t>e Xado. El Rey se ha servido nombrar Coronel del regimiento de mi idas provinciales de Salamancar á D. Vicente Maldonado, Marques de Castellanos, j Por: Real provisión de 19 de este mes se ha servido S. M. á consulta del Consejo-conceder á la villa de D. Benito, provincia dé Extremadura, la facultad</t>
  </si>
  <si>
    <t>Maldonado-Chacon, Francisco</t>
  </si>
  <si>
    <t>Francisco Maldonado-Chacon</t>
  </si>
  <si>
    <t>la educación pública el expresado profesor. Fuéron los discípulos premiados por el Corregidor, por D. Francisco Maldonado-Chacon y por D. Bartolomé Narvaea, Coronel del provincial Ide Málaga. Concluyó él acto eí Corregidor pronuñqiando un ndtscurso en que . manifestó ' la complacencia que kodos habían /tenido</t>
  </si>
  <si>
    <t>Malfati</t>
  </si>
  <si>
    <t>matisxro crónico , asma , toses,sarha &amp;c. TieV bc al fin un tratado de Ja calentura p: trida por el Dr. Malfati ; otro de la convalecencia por el Dr. Kramer , y Jos formuarics de recetas correspondientes. Vendes? e'1 rústica á 14 rs. én las libre rí.s de Castillo, frente á las gradas de S.</t>
  </si>
  <si>
    <t>Malingre</t>
  </si>
  <si>
    <t>todos de precáuciofl á favor de los europeos que pasan á aquella isla. Ahora el ciud. Malingre, de la biblioteca ihacional , publica el siguiente remedio contra las enfermedades que pueden «acometer á los que llegan á las Antillas ó durante sunavagación.</t>
  </si>
  <si>
    <t>Malo, Joseph</t>
  </si>
  <si>
    <t>Joseph Malo</t>
  </si>
  <si>
    <t>al Teniente D. Juan Rendon; á Teniente al Alférez D. Francisco Hernández, y á Alférez ai Portaguión D. Joseph Malo. Ei Rey se ha servido conferir los empleos de Ministros Tesoreros de las Reales caxas de Veracruz, Guanaxuato, Pachuca, Acapulco y Bolarños, en el Rey no de Nueva España, á D. Man</t>
  </si>
  <si>
    <t>Malpica, Francisco</t>
  </si>
  <si>
    <t>Francisco Malpica</t>
  </si>
  <si>
    <t>Juan Bosa, D. Bas^ cual Martinez, D. Juan Menendez,' D. Baltasar García Galio, D. Francisco Perea, D. Francisco Malpica y D. Alexandro Rivacoba. JSn América. El Rey se ha servido nombrar para el Deanato de la santa iglesia de la Concepción de Chile, vacante por fallecimiento de D.Juan Manuel Mardones,</t>
  </si>
  <si>
    <t>Maluenda, Simón</t>
  </si>
  <si>
    <t>Simón Maluenda</t>
  </si>
  <si>
    <t>Alférez D. Eneas Elecher; y en el de dragones de Pavía Compañía al Ayudante, graduado de Capitán , D. Simón Maluenda. En el Real cuerpo de Ingenieros del exército ha promovido S. M. á en xefes á los en segundos D. Francisco García Carrasco y D. Juan Tomas de Córdoba; y á extraordinario al Ayudan</t>
  </si>
  <si>
    <t>Mam Ortigosa, Joseph</t>
  </si>
  <si>
    <t>Joseph Mam Ortigosa</t>
  </si>
  <si>
    <t>e la catedral del Nuevo Reyno de León en la Nueva España, vacante por renuncia que ha hecho de ella D. Joseph Mam Ortigosa, a D. Pedro de Hombre , Cura Vicario que fué en el obispado de Durango. _ Igualmente ha concedido S. M. la Contaduría Real de diezmos de a C?. í TV T«««h María de Arteaga: la plaz</t>
  </si>
  <si>
    <t>Mamiel Codiíia</t>
  </si>
  <si>
    <t>, quien supiere de ellos dará aviso en Cádiz é los citados D. Manuel Buch y Buch, en Barco*' lona á D. Mamiel Codiíia y compañía, y én Madrid é Di Ramón Blas Ramírez. ■ - Por el juzgado del Sí\ í&gt;. Juan Antonio Santa María , y escribanía del número de D. Francisco Escribano, se han mandado sacar á</t>
  </si>
  <si>
    <t>MaN</t>
  </si>
  <si>
    <t>~tíéí,^graduado de éíérdío y efectivo. que era del mismo cuerpo4 D. MaN tiu' ttóez de Córtclia; y el ide Teniente Veterano dbT ré^HniWto de • * . t- ,------- j — t\ i _:-r xí ^dieWia de v^harcasy ^acame ptn iiiuCTiy w j **•«*"diieía ; aT). TotebtírVaZ</t>
  </si>
  <si>
    <t>Man, Francisco</t>
  </si>
  <si>
    <t>Francisco Man</t>
  </si>
  <si>
    <t>co Díaz, D. Juan Afán de Rivera, D. Ramón María de Utrilla, D. Juan Antonio Cosío , D. Joseph Vaca, D. Francisco Man glano, D. Miguel García Sacristán , D. Bartolomé Sandoval, D. Rafael Tavira, D. Manuel de la Isla, D, Félix Pérez Vidal, Francisco de Paula Pa^ía, D. Fernando Sandoval, D. Francis</t>
  </si>
  <si>
    <t>Maná, Ignacio</t>
  </si>
  <si>
    <t>Ignacio Maná</t>
  </si>
  <si>
    <t>randscó Xavier Muñoz, D. Manuel Ñoñez Gaona,, D. A¿ntoni© de Córdpbay Raso * Dóá DOmángo de^ Nava , D. Ignacio Maná de. Alaya ,.D. Tomas iMuñók * Do* JJmtió: Ezéta,ib, Juan María VillayiCeupiei, Ijo-jJMiñ Mimos ¡dk:d%e* lamosa. ; .C!• ¡v. b-v 0’..G vl&gt; ibpy»[ ..í'i , «o:nolt¿ ífq:;-.oT; XX x ktvus</t>
  </si>
  <si>
    <t>Mancebo, Antonio</t>
  </si>
  <si>
    <t>Antonio Mancebo</t>
  </si>
  <si>
    <t>ordero:'para una Ración de la colegial de* Baza, en la diócesis de Guadix, vacante por promoción de D. Antonio Mancebo á la Dignidad de Arcipreste de la catedral de Guadix, a D. Juan Manzano: para otra de la colegial de? Soria, en la diócesis de Qsiúa, vacante por renuncia de D. Francisco Gutiérre</t>
  </si>
  <si>
    <t>Mancebo, Santiago</t>
  </si>
  <si>
    <t>Santiago Mancebo</t>
  </si>
  <si>
    <t>nzález: en el batallón de igual clase de Cuba y Bayanio á Teniente Veterano al Subteniente agregado D. Santiago Mancebo</t>
  </si>
  <si>
    <t>Mancheño, Pedro</t>
  </si>
  <si>
    <t>Pedro Mancheño</t>
  </si>
  <si>
    <t>rrió al instante el Corregidor á casa de la difunta, á la que también concurriéron el Teniente Cura^D. Pedro Mancheño, el Médico D. Pedro Girón, y el Cirujano D. Pascual Quartero, conocido por sus delicadas y hábiles operaciones; y apresurando los./instantes para la que convenía nacer en este cas</t>
  </si>
  <si>
    <t>Mancho, Joseph</t>
  </si>
  <si>
    <t>Joseph Mancho</t>
  </si>
  <si>
    <t>Santiago Rengel: en el de Voluntarios de Castilla á Subteniente de granaderos al primer Subteniente D. Joseph Mancho. Y en el batallón de infantería de Canarias á segundo Teniente de granaderos al segundo Ayudante D. Miguel Manzano ; á esta resulta al segundo Teniente D. Juan -Granados; á segund</t>
  </si>
  <si>
    <t>Mangla Girey, Coronel</t>
  </si>
  <si>
    <t>Coronel Mangla Girey</t>
  </si>
  <si>
    <t>co en casa del Vice-Canciller Príncipe Kurakin. Ha sido nombrado Mayor general del exército ruso el Coronel Mangla Girey, hijo de Arslan Girey, Sultán de los tártaros situados al lado de allá del Cuban, y servirá en el Cáucaso baxo las órdenes de Mr. Knorring, Gobernador de Georgia. Por un ukase imp</t>
  </si>
  <si>
    <t>Manglano y Ruiz, Agustín</t>
  </si>
  <si>
    <t>Agustín Manglano y Ruiz</t>
  </si>
  <si>
    <t>Padura y Vargas, D. Juan Pinedo y Anuncibay, D. Ramón Truliól y Andreu, D. Juan Olaegui y Aguilar, D. Agustín Manglano y Ruiz, D. Víctor Vinader y Paz, D. Vicente de Lago y León, D. Per dro de Landazuri, D. Joaquín Soroa y Soroa , D. Fernando Bustamante y Bustamante, D. Adrián Morqúecho, D. Mateo Vicente</t>
  </si>
  <si>
    <t>Manglano, Joaquín</t>
  </si>
  <si>
    <t>Joaquín Manglano</t>
  </si>
  <si>
    <t>de Paula Bernui; y á Exénto supernumerario al Brigadier de la misma compañía, graduado de Coronel, D. Joaquín Manglano. El Rey se ha dignado promover en el regimiento de infantería del Príncipe á Capitán de granaderos al de fusileros D. Manuel de Nava Campománes: en el de Sabóya á primer Teniente</t>
  </si>
  <si>
    <t>erpo de Guardias de Corps se ha servido promover el Rey á Exento de numero al Exento supernumerario D. Joaquín Manglano; á Exentos supernumerarios al Brigadier de la misma compañía D. Joseph Espejo,.y al Cadete de ella Marques de Palacios, y á Brigadier al Sübrigadier’D. Antonio Ruano. S. M. ser.ha</t>
  </si>
  <si>
    <t>Manjon, Joseph</t>
  </si>
  <si>
    <t>Joseph Manjon</t>
  </si>
  <si>
    <t>l D. Juan Creagh de Lacy, Capitán del de Voluntarios de Castilla, y á primer Subteniente al Segundo D. Joseph Manjon: en el de Granada á segundo Teniente de granaderos al de fusileros D. Antonio Ximenez: en el de Toledo á Capitán al Ayudante D. Fernando Vázquez: en el de León á Capitán de granad</t>
  </si>
  <si>
    <t>Mannel Andrade</t>
  </si>
  <si>
    <t>0; Joseph Molina* 0. Joseph Urbtua, D. Antonio Samper, D, Joaquín dé Mendoza* D. Fernando • Gaver, D. Mannel Andrade, D. Antonio;Diez dé4,Riv¿rí¿ P; Antonio Galiano, el Matques dé Mos, D¿ António Arce * D. Gerónimo Cifuentes, y D. Antonio de Zamoranó. !í _ . ■ En América. - C D. Juan Bautista Va</t>
  </si>
  <si>
    <t>Manners Sutton</t>
  </si>
  <si>
    <t>mita fácilmente emplearse en las construcciones navales ó en los armamentos militares. .. Ayer hizo Mr. Manners Sutton en la Cámara de los Comunes la propuesta tocante á las pretensiones del Príncipe deGáles á las rentas del Ducado de Cornwalla. Después de una discusión larga y acalorada no quiso la</t>
  </si>
  <si>
    <t>Manrique, Antonio</t>
  </si>
  <si>
    <t>Antonio Manrique</t>
  </si>
  <si>
    <t>Vargas y Cárdenas, D. Luis de Cañete, D. Gerónimo Cañete de -Lemus, D. Juan de Mata Herrera y Oca, D. Antonio Manrique, D. Antonio Garzón, D. Juan Muñoz, D. Alfonso de Ortega, Don Juan Bautista del Caño , D. Rafael Sánchez de Sandino, Juan de Roxas, Francisco de Yera, Pedro Martin, Francisco de Mo</t>
  </si>
  <si>
    <t>Manrique, Francisco</t>
  </si>
  <si>
    <t>Francisco Manrique</t>
  </si>
  <si>
    <t>e Iglesias ; á Sub-Brigadier al Cadete D. Francisco González ; á Cadete de número al supernumerario D. Francisco Manrique, y á Cadete supernumera-r rio al Guardia D. Antonio Ortesa. __ _ En el regimiento de Reales Guardias Españolas se ha servido el Rey promover á Comandante del quarto batallón al Br</t>
  </si>
  <si>
    <t>Manrique, Juan Joseph</t>
  </si>
  <si>
    <t>Juan Joseph Manrique</t>
  </si>
  <si>
    <t>e Villalba ; para la Maestrescolía al Tesorero D. Cipriano Viliota; y para la Tesorería ai Doctoral D. Juan Joseph Manrique. Asimismo se ha servido S. M. nombrar para la Dignidad de Tesorero de</t>
  </si>
  <si>
    <t>Manrique, Pedro</t>
  </si>
  <si>
    <t>Pedro Manrique</t>
  </si>
  <si>
    <t>aj de fusileros D. Fernando Barrantes; á Tenientes dé fusileros al Subteniente de 1.a propia clase D. Pedro Manrique, al de granaderos D. Ignacio Asin , y D. Joseph Amador, Subteniente de fusileros; ¿ Subteniente de granaderos al de fusileros D. Francisco Arguelló, y á Subtenientes de bandera á</t>
  </si>
  <si>
    <t>Mansariño, Tomás</t>
  </si>
  <si>
    <t>Tomás Mansariño</t>
  </si>
  <si>
    <t>51. 10. Id. Tomas Mansariño............... Juan, Manuela Frayle..... Ribas............. . León.......... 27. 18. Id. Pedro Terruelo................. Lorenzo, Ana Fustel......</t>
  </si>
  <si>
    <t>Mansilla, Pedro Joseph</t>
  </si>
  <si>
    <t>Pedro Joseph Mansilla</t>
  </si>
  <si>
    <t>ra la Maestrescolía al Canónigo de gracia D. Gregorio Chuquiguanca: para esta Canongía al Racionero D. Pedro Joseph Mansilla: para esta Radon al Medio-Racionero D. Francisco Xavier Troncoso, y para la Media-Ración, vacante en la referida iglesia por muerte de D. Manuel Caviedes, á D. Pedro Joseph Mendez</t>
  </si>
  <si>
    <t>Manso, Francisco</t>
  </si>
  <si>
    <t>Francisco Manso</t>
  </si>
  <si>
    <t>ila, vacante por promoción de D. Joseph Tous de Monsalve á la Doctoral de la catedral de Badajoz, á D. Francisco Manso, Cura párroco de la parroquial de S. Nicolás de la villa de Arévalo, en dicho obispado de Avila : para otra de la catedral de Málaga, vacante por muerte de D. Joseph Guerrero, á D</t>
  </si>
  <si>
    <t>Mantecón, Julián</t>
  </si>
  <si>
    <t>Julián Mantecón</t>
  </si>
  <si>
    <t>.. 507. 3. Licenci; Julián Mantecón ................ Juan,.María Moran........ Ruinuevo..... León.............. 531. _ 4. Id. Francisco Dorado............... Juan, María Ruiz............... Madrid.......... Madri</t>
  </si>
  <si>
    <t>Mantua, Miguel</t>
  </si>
  <si>
    <t>Miguel Mantua</t>
  </si>
  <si>
    <t>7. 44. Id. Miguel Mantua................... Juan, Isabel Martínez.. .. Toro............... Toro............... 147, *8. Id. Pedro Guerra...................... Domingo, Pascuala Correa. Quintanilla... Vil</t>
  </si>
  <si>
    <t>Manu, Antonio</t>
  </si>
  <si>
    <t>Antonio Manu</t>
  </si>
  <si>
    <t>gloria de la rehgion La circunstancia de haber dedicado esta obra á un gran Maestre español, el Sr. D. Antonio Manu,el de Villena y el haberse dignado la religión de Malta condecorar a Vertot con él collar de la orden en prueba de su reconocimiento, la hacen digna de la publica luz en una nació</t>
  </si>
  <si>
    <t>Manueh Moreno</t>
  </si>
  <si>
    <t>eón González del Camino * Alcalde mayor de dicha villa, y pob la escríbanla de su número que exerce D. Manueh Moreno. Por el Lie. Xfc- Fernando Camborda, Abogado de los Reales Consejos , Alcalde mayor de la villa de Villatobas , se está procediendo al descubrimiento del dueño ó dueños de 24 alha</t>
  </si>
  <si>
    <t>Manuei</t>
  </si>
  <si>
    <t>mont, D. Cárlos VauverdenyD. Aüigei Foxá, D. Joaquín de Cea, Don Joseph Éscovedoj Di Pedro Linares, D. Manuei^le San Pedro, D. Ramón de la Cuesta, D. Lorenzo Arroyo, D. Manuel Meneos, D. Joseph Imaz, D. Joseph Martínez, D. Rodrigo Medrano, D. Bartolomé Monta! ño, D. Joseph Gómez deLatorre</t>
  </si>
  <si>
    <t>arte, pon Miguej;ViíP&gt; fi ft/Pi e¿p P^nes.'yXaiite’i P^rancflscp llon» p,, J^a.¿,iperita: y Ána?ya, D. Manuei;jRib§^ y P^uaíl^ p. ^.atpnjo.Quarcara y Pueru|t, P. Jq^</t>
  </si>
  <si>
    <t>Manuei Vicente Torres Cónsul</t>
  </si>
  <si>
    <t>ladolid, para que el lunes de cada semana pueda celebrar un mercado público. Por el juzgado del Sr. D. Manuei Vicente Torres Cónsul, Teniente Corregidor de esta villa, y escribanía del número de D. Francisco Escribano, se han mandado sacar á pública subasta dos casas correspondientes al convento de Trinitarios</t>
  </si>
  <si>
    <t>Manuel Alonso</t>
  </si>
  <si>
    <t>507. 19* Id. Manuel Alonso......... Francú^ Sebastiana del Caml|(„,0........................... Villanueva... León.......... 407.</t>
  </si>
  <si>
    <t>Id. Manuel Alonso.................... Andrés, Angela Bocero.... Bañeza.......... León.............. 551. Id. Estéban Flores..................... Francisco, Manuela</t>
  </si>
  <si>
    <t>Manuel Andrés</t>
  </si>
  <si>
    <t>60. 20. Id. Manuel Andrés.................... Estéban, Ursula............ Quintanilla... Búrgos............. 22. 16. Id. Antonio Estébanez.............. Domingo,Catalina González. P</t>
  </si>
  <si>
    <t>Manuel Marcos</t>
  </si>
  <si>
    <t>80. 23. Id. Manuel Marcos....... Patricio,Madalena Tabares. Villacardiel.. Leca.............. 40. 24. Id. Manuel Vega......... Vicente, Ma</t>
  </si>
  <si>
    <t>Manuel Martín</t>
  </si>
  <si>
    <t>a la Canongía de la catedral de Oviedo, vacante por fallecimiento de D. Francisco Mendez de Vigo, á Don Manuel Martin: para otra, vacante en la de Málaga por muerte de D. Miguel Gainza, á D. Domingo de la Casa: para la Prestamera de la parroquia de Tresjuncos, en la diócesis de Cuenca, vacante po</t>
  </si>
  <si>
    <t>Manuel- de Camba</t>
  </si>
  <si>
    <t>divar y BurgíSa, D. Joseph Caamuño y Pardo, IX Martin Sarratea y Mayora, D. Martín Lazaga ys Uria , D. Manuel- de Camba -y Leys, D. Salvador Escandon y Antayo, D. Asiutin Maldonadoy Piméntel,:D. Miguel del Busto, D. Manuel Fu-* ne?&gt;, IX Vicente Burragi, D. Manuel Echevarría, D. Miguel Tacón, Don ~</t>
  </si>
  <si>
    <t>Manuela</t>
  </si>
  <si>
    <t>illanueva, á fin de comunicarle ciertos asuntos que le interesan. Quien lo supiere avisará ;á dicha Doña Manuela., que vive en Ja calle Real del Barquillo, núm 1J* quarto principal. Guia ó estado general de la Real hacienda de España para el presente año de 1802. Siendo el objeto de esta obr</t>
  </si>
  <si>
    <t>Manuela Estela</t>
  </si>
  <si>
    <t>Velasco y Joseph Hernández,'Comisionados' por el Ayuntamiento de la citada villa para este efecto. Doña Manuela Estela y .Espinosa desea saber el paradero de D. Joseph Villanueva, á fin de comunicarle ciertos asuntos que le interesan. Quien lo supiere avisará ;á dicha Doña Manuela., que vive en Ja c</t>
  </si>
  <si>
    <t>ManuelAivarez’já Teniente</t>
  </si>
  <si>
    <t>-Ayres se hd servido S. M. promoverá Capitán al Ayudante D. Floréncio Nuñez ; á Ayudante alTeniente D. ManuelAivarez’já Teniente al AlférezD. Juan Bautista Rondeu;. á Alférez al Porta-Guion D. Joaquin.Forner, Porta</t>
  </si>
  <si>
    <t>ManuetdeToTres</t>
  </si>
  <si>
    <t>pú—, bíicasubastappr ciadp en y$&lt;,0 nupaeto dé jVÁnróyfó López ’ -7-rT „. ' Por íá ¿udiencia'dél SK D. ManuetdeToTres., Teme ntéCdrregidor de esta vi** h1 del mímetóde^í*. XoiÉd^ Sa*¿ha y Prado, se están subastando lia ¿ y escribanía</t>
  </si>
  <si>
    <t>Manzano, Christóbal</t>
  </si>
  <si>
    <t>Christóbal Manzano</t>
  </si>
  <si>
    <t>oval, D¿ Nicolás Pastor, D. Joseph Abarca, Don Jdseph Díaz, D. Ignacio Luzon¿ D. Mariano Merchante, D. Christóbal Manzano, D. FranciscoFaxardo, D. Andrés Orozco, D. Miguel Duran, D. Cárlos Chinchilla, D&gt;. Antonio Texád a, D. Juan Ximenez, D. Ma^ nuél Díaz, D. Martilel Fprcarda, I&gt;. Manuel Teran, D. J</t>
  </si>
  <si>
    <t>Manzano, Juan</t>
  </si>
  <si>
    <t>Juan Manzano</t>
  </si>
  <si>
    <t>vacante por promoción de D. Antonio Mancebo á la Dignidad de Arcipreste de la catedral de Guadix, a D. Juan Manzano: para otra de la colegial de? Soria, en la diócesis de Qsiúa, vacante por renuncia de D. Francisco Gutiérrez de Vegas, á D. Manuel Arquiaga: para la segunda Ración1 de la villa- d</t>
  </si>
  <si>
    <t>Manzano, Miguel</t>
  </si>
  <si>
    <t>Miguel Manzano</t>
  </si>
  <si>
    <t>lverio Menduiña ; y en el batallón de infantería de Canarias á segundo Ayudante al segundo Teniente D. Miguel Manzano; á segundo Teniente al Subteniente de granaderos D. Gaspar Fernaiidez; á esta resulta al Subteniente D. Francisco Dugi, y á Subteniente, al Cadete D. Domingo de Tolosa. En cumplim</t>
  </si>
  <si>
    <t>ho. Y en el batallón de infantería de Canarias á segundo Teniente de granaderos al segundo Ayudante D. Miguel Manzano ; á esta resulta al segundo Teniente D. Juan -Granados; á segundo Teniente al Subteniente de granaderos D. Francisco Dugi; á Subteniente de granaderos al de fusileros D. Rafael de</t>
  </si>
  <si>
    <t>Manzanos, Francisco Xavier</t>
  </si>
  <si>
    <t>Francisco Xavier Manzanos</t>
  </si>
  <si>
    <t>do nombrar para la Alcaldía mayor de Totonicapan, en el Reyno de Goatemala, vacante por renuncia de D. Francisco Xavier Manzanos, á'D. Miguel Truxillo y Sierra. El Rey, á consulta del Consejo y precedente propuesta de la Comisión gubernativa de consolidación de vales Reales , se ha dignado resolver, que así</t>
  </si>
  <si>
    <t>Mar, Joseph</t>
  </si>
  <si>
    <t>Joseph Mar</t>
  </si>
  <si>
    <t>Joseph Joachín de Guevara fuéron examinados D. Joachín del Rio, D. Luis Vidarte, D. Toribio Olalde, D. Joseph Mar ría Esquivel, D. Joseph Catalan, D. Blas de Lezo, D. Joseph Martínez, D. Luis Verganza y D. Zeferino Carrillo. En rudimentos.de latinidad, baxo la dirección de su maestro D. André</t>
  </si>
  <si>
    <t>Marañe, Juan</t>
  </si>
  <si>
    <t>Juan Marañe</t>
  </si>
  <si>
    <t>l residencia; y para otro de Vúlamieva del Arzobispo, en la diódesis de Jaén, vacante por muerte de D. Juan Marañe- , á D. Antonio Ibañez Ortega, con la obligación de residencia que tie“e EnXeaí regimiento de dragones del Rey se ha servido S. M. conferir ComP p‘n 'América El Rey ha nombrado Sub</t>
  </si>
  <si>
    <t>Maraver, Ignacio</t>
  </si>
  <si>
    <t>Ignacio Maraver</t>
  </si>
  <si>
    <t>Antonio Hermosiíla, D. Joseph Bonicelii, D. Joseph de León, D. Patricio Kindélan, D. Ignacio Husey, D. Ignacio Maraver, D. Manuel Eligió, D. Antonio Mayone, D. Ramón Gómez, D. Diego Cortés, D. Juan O-Donovan, D. Joaquín 0-ReiUy\D. Joseph de la Piedra, D. Santiago Moreda , Don Gregorio Donayrej Dé</t>
  </si>
  <si>
    <t>Marcas Otero</t>
  </si>
  <si>
    <t>.. S7.5.IS. Muerto. Marcas Otero...................... . Padre incógnito, Josefa Otero............................... S. Ramón.... Sajamonde... 70. a*. Id. Juan Antonio Edroso....... . Juan, Ter</t>
  </si>
  <si>
    <t>Marcelino Dueñas y Vega</t>
  </si>
  <si>
    <t>D. Vicente CaamañoyPardo , D. Pddro Cbntreras, D. Pedro Costales y Pareja, D. Lorenzo Ortiz Canela, D. Marcelino Dueñas y Vega, D. Joseph Tobías y Rodríguez, D. Rafael Domínguez Aguayo, D.. Jacinto Valdasano y Ros, D. Joseph Doininicis#y Montan!, D. Francisco del Ñero , D;. Miguel Ortiz Canela, D.-Felicia</t>
  </si>
  <si>
    <t>Marcelino Sánchez Rangel</t>
  </si>
  <si>
    <t>a, vacante por promoción de u, Matías Cjiuu.y García a otra Canongía de la catedral de Barbastro, á D. Marcelino Sánchez Rangel; y para un Beneficio Racionero de la catedral de Solsona , vacante por fallecimiento de D. Antonio Isanta, á D. Joseph Antonio Soler y Viladot. En la compañía Española del Real cu</t>
  </si>
  <si>
    <t>Marcelino Sanz y Amayas</t>
  </si>
  <si>
    <t>de número de la Real sociedad. ■ 1 • Saeedan, en la Alcarria, 12 de Tullo» B on Marcelino Sanz y Amayas, Médico titular de e?ta villa, convencido por los escritos que se han publicado de la utilidad y facilidad de la -▼acuna y susbeneficios, y deseando dar una prueba de ello ívacunó á su -h</t>
  </si>
  <si>
    <t>Marcelo Aravaca</t>
  </si>
  <si>
    <t>72. i$. Id. Marcelo Aravaca.............. Alexo , Polonia Calvo....... Brúñete...... Madrid......... 19. 29. Id. Manuel Perez; i...A Manuel, Ma</t>
  </si>
  <si>
    <t>Marcelo de Ondarza</t>
  </si>
  <si>
    <t>censos correspondientes á los demas. Oficiales que le siguen, y para la resulta que queda vacante á D. Marcelo de Ondarza. Debiendo salir para el dia í.° de Noviembre próximo la fragata de la Real compama de Filipinas^ nombrada Ntra. Sra. de la Paz, desde el puerto de Cádiz al de Manila , con escala</t>
  </si>
  <si>
    <t>Marcelo Federici</t>
  </si>
  <si>
    <t>de OJano ,Don Fausto González Víüamil, D. Francisco-Zapara y:Pa/ra, í&gt;. Joseph Ahtran de la Torre , D. Marcelo Federici, D. Roque GWrqceta , D. Pedro ¿Je PqrfíSr y Escribano, D. Domingo Navarro y Torres , D. Juan Michelena y Moreno, D. Pedro Cortazar y Abarca, D. Isidro Cortazar: y Abarca, y D. Ram</t>
  </si>
  <si>
    <t>Marcelo Hstranio</t>
  </si>
  <si>
    <t>o Palafox, D. Joseph Ortiz, D. Carlos Aguado, D. Andrés López, D. Pedro Roca, D. Tomas de Jáuregui, D. Marcelo Hstranio, D. Salvador del Toro, D. Joseph Ampudía, D. Francisco Gelabert, el Marques’de Viliadángos, el Conde Armildez, Marqués del Salar, D. Pedro Miguel Alvarez de Perea, D/Manuel Laguna</t>
  </si>
  <si>
    <t>March, Joseph Ignacio</t>
  </si>
  <si>
    <t>Joseph Ignacio March</t>
  </si>
  <si>
    <t>emia de Barcelona: de geometría práctica,y de fortificación por el tratado de nociones militares de D. Joseph Ignacio March, Gapitán de dragones.de Sagunto. Coneurriéron á este acto todos; los xefes .de • la plaza , -los de lqs cuerpos de su guarnición con la oficialidad , y otraspersoñas. distinguidas</t>
  </si>
  <si>
    <t>Marcó del Pont, Francisco</t>
  </si>
  <si>
    <t>Francisco Marcó del Pont</t>
  </si>
  <si>
    <t>cheri, D. Pedro Saenz, D. Angel de Lana, D. Felipe de la Mar, D. Angel Mijáres, D. Gerónimo Marco , D. Francisco Marcó del Pont, D. Juan Martí Mofa, D. Alonso Morales, D. Nicolás de Mora, D. Fermín Roméo, D. Francisco Merino, D. Manuel María Pus* terla, D. Francisco Ayóla, D. Juan Tarrius, D. Manuel de Mie</t>
  </si>
  <si>
    <t>Marcó del Pont, Juan Joseph</t>
  </si>
  <si>
    <t>Juan Joseph Marcó del Pont</t>
  </si>
  <si>
    <t>ador principal de la provincia de León D. Manuel Rubín de Célis, y al Comisario honorario de Guerra D. Juan Joseph Marcó del Pont. * Honores de Contador de exército A D. Santiago Terreros, Oficial mayo/ de la Contaduría de exército de Aragón; á D. Juan Felipe Maíz, Oficial mayor de la Administración general</t>
  </si>
  <si>
    <t>Marco, Gerónimo</t>
  </si>
  <si>
    <t>Gerónimo Marco</t>
  </si>
  <si>
    <t>lo, D. Guillermo Chicheri, D. Pedro Saenz, D. Angel de Lana, D. Felipe de la Mar, D. Angel Mijáres, D. Gerónimo Marco , D. Francisco Marcó del Pont, D. Juan Martí Mofa, D. Alonso Morales, D. Nicolás de Mora, D. Fermín Roméo, D. Francisco Merino, D. Manuel María Pus* terla, D. Francisco Ayóla, D.</t>
  </si>
  <si>
    <t>Marcorelle</t>
  </si>
  <si>
    <t>viles, administrativos &amp;e. Todos cumplimentaron al primer Magistrado, siendo el ciud. Marcorelle, orador de los vocales del Cuerpo legislativo , el primero que habló. A su discurso contestó el piimer Cónsul en estos términos': ,, La unión de! pueblo francé</t>
  </si>
  <si>
    <t>Marcorelli</t>
  </si>
  <si>
    <t>s aguas del rio, Ourcq,. y se distribuirán por los barrios de esta ciudad. ' El ciud. Marcorelli , Presidente de ía Junta gubernativa del Cuerpo legislativo , ha presentado á los Cónsules de Ja República la medalla que en la sesión de .20 de-Mayo .decretó</t>
  </si>
  <si>
    <t>Marechal, Pedro</t>
  </si>
  <si>
    <t>Pedro Marechal</t>
  </si>
  <si>
    <t>los reloxes de muestra para las personas que no tienen conocimiento de la reloxería : compuesto por D. Pedro Marechal, maestro reloxero en esta corte. Este tratadito es muy útil á los que tienen relox de faltriquera, de sobremesa ó de caxa, pues hallarán en él las reglas mas fáciles y seguras par</t>
  </si>
  <si>
    <t>Marescalchí</t>
  </si>
  <si>
    <t>. MelEn efecto, se sabe que apenas llegó el ctud. Talleyrand á León escribió ¿1 ciud. Marescalchí manifestándole su .deseo de qué atendida su calidad dé Mi nistró dé la República cisalpina én Francia, sirviese de conducto para sus primeras comunicaciones co</t>
  </si>
  <si>
    <t>Marescalchi</t>
  </si>
  <si>
    <t>erzan interinamente las funciones de Ministro de la tesorería y de hacienda. El ciud. Marescalchi, que fue Enviado de la Cisalpina en Paris , y es actualmente Ministro de Relaciones exteriores de la misma República, recibió una carta dei Ministro de Estado</t>
  </si>
  <si>
    <t>s. Milán 20 de Junto. E n fuerza de los recursos hechos por nuestro Ministro el ciud. Marescalchi en orden á la violación de nuestras fronteras por los soldados austríacos que persiguen deseñores, ha asegurado el Conde de Cobentzel que la intención del Empera</t>
  </si>
  <si>
    <t>Marfand, Pedro</t>
  </si>
  <si>
    <t>Pedro Marfand</t>
  </si>
  <si>
    <t>a ¿ D. Gerónimo Caballero y Obando, Don Dmñiirqo Mótiteverdéi¡ Dí Joireph' dé li Muela‘;Gutierrez , D Pedro Marfand ^Gallego i D. Rafael Ximenez de Montalho, D. Pedro Baeza y Alcalde ,D. Modesto Ibañéz de Corbera, L&gt;: Pedro de Lamas y la Torre, D. ifulio Róco y Massopagano, D. Miguel Roco y Mas</t>
  </si>
  <si>
    <t>Margarita de Gines y Rivadencyra</t>
  </si>
  <si>
    <t>población y término de la villa de Cercedilla corresponden á las memorias que mandó fundar la Sra. Doña Margarita de Gines y Rivadencyra, y son: un prado de pasto con agua de pie , cercado de pared de piedra sencilla, llamado del Sotillo, de caber una fanega y un celemín, tasado en 3© rs. Otro prado llamado del Bar</t>
  </si>
  <si>
    <t>María, Princesa</t>
  </si>
  <si>
    <t>Princesa María</t>
  </si>
  <si>
    <t>llamado á Dresde al l?r. Magnus de Morgan para que inocule la vacuna ai Príncipe Juaú Jorge y á la Princesa María ,de: Saxonia. ■ •:* YYYY Y.--Y;Y.Y Y V Y:Y. Y :y:f’YY' - YYs. Se ha descubierto en Dinamarca'que la práctica de la vacúna está muy conocida y se usa hace mucho tiempo éntre los la</t>
  </si>
  <si>
    <t>María-Anto</t>
  </si>
  <si>
    <t>l desposorio del Serenísimo ^Príncipe de Astúrias Nrro. Sr.. con' la Serenísima Princesa5de Ñipóles Doña María-Anto» nia, hija de los Reyes de las Dos-Sicilus. Al día/siguiente, viernes 10 de éste me si, llegaron SS. MM. y AA. á Martórell, de donde salieron et 11 para Barcelona. - • ■ v Condesc</t>
  </si>
  <si>
    <t>Mariano Aragón</t>
  </si>
  <si>
    <t>... 682. 29. Id. Mariano Aragón............ Francisco, Rita Caballero.. Valencia....... Valencia....... 771. 24. Id. Nicolás Ruiz....................... Christobal,Antonia So</t>
  </si>
  <si>
    <t>Mariano Beaumont y Bretón</t>
  </si>
  <si>
    <t>su catedrático D. Guillelmo Xaramillo, los examinadores el Dr. D. Lucas Hiscio Fernandez y el Lie. D. Mariano Beaumont y Bretón, y algunos de los que asistieron , acreditaron su instrucción y progresos en ambos ramos : se distribuyéron varios premios en obras estimadas, como á mas beneméritos, á D. Rafael</t>
  </si>
  <si>
    <t>Mariano Cao Beños de Les</t>
  </si>
  <si>
    <t>á segundo iTeniente; de granaderos al. de fusileros D¿ Francisco» de Recourt, y á Alférez al Cadete D. Mariano Cao Beños de Les.: ? El Rey se ha cérvido conferir la Comandancia del segundo batallón de Voluntarios de Barcelona al Sargento mayor del primero; de Cataluña, graduado de Teniente C tonel, D, Narc</t>
  </si>
  <si>
    <t>Mariano Carrasco</t>
  </si>
  <si>
    <t>oseph Viladomar, D. Juan de Álbarrilla, D. Gonzalo Martínez, D. Cosme Marín, D. Serafín del Rincón, D. Mariano Carrasco, D. Vicente Pico, í). Antonio Arias , D. Joseph Espinosa, D. Miguel de Gerona, D. Manuel Henriquez, D. Francisco Xavier de Mendíri, D. Bartolomé Ladrón de Guevara, D. Gerónimo Mon</t>
  </si>
  <si>
    <t>Mariano de Lara</t>
  </si>
  <si>
    <t>ro, D, Narciso Llaudes, D. Pedro Marsilla, D. Ni-' colas dél Castillo, D. Gines López del Castillo, D. Mariano de Lara,Dori' Manuel Fernandez Cortacero, D. Manuel Barrientos, D. Nicolás Povil, D, Juan de Robles, D, Rafael Seáis, D. Joseph Sotolongo, D. Juan Cirera, D. Joseph de la Cuesta, D. Franc</t>
  </si>
  <si>
    <t>Mariano de Toledo, Miguel</t>
  </si>
  <si>
    <t>Miguel Mariano de Toledo</t>
  </si>
  <si>
    <t>átO lprrmera silla déla „ íí deGáñáriáy vacante por fallecimiento de D* Gerónimo Josepíi de IRody á D. Miguel Mariano de Toledo, Arcediano titular dé la misma catedral}, pensionando el Deanato en rs. á favor de la Real capilla ¿ para ti Arcedianato de íReyn^én^íPfeíetropolrtáná de Sevilla, vacante poi? mue</t>
  </si>
  <si>
    <t>ignado nombrar para el Arcedianato titular de la cate* dral de Canaria, vacante por la promoción de D. Miguel Mariano de Toledo al Deanato dé la misma iglesia, á D. Luis de la Encina; para una Ca-; nongíh dé ia de Oviedp,'vacante por muerte de D; Pedro Colosía, á Don Joseph Rivera Arguelles: para otra.de l</t>
  </si>
  <si>
    <t>Mariano Deo</t>
  </si>
  <si>
    <t>roquia de Sta. María del Mar de la ciudad de Barcelona , vacañte .por muerte de D. Domingo Marti, á D. Mariano Deo : para otro de la parroquia de S. Justo y Pastor do la ciudad de Barcelona , vacante por fallecimiento de D. Mariano Torner , á D. Juan Foyxart: para otro de la monacal de la vill</t>
  </si>
  <si>
    <t>Mariano Díaz Capilla</t>
  </si>
  <si>
    <t>yudante al primer Teniente D. Joaquín Aparici: en el dé la Princesa á primer Subteniente al segundo D. Mariano Díaz Capilla: en el ^dé Malaga^1 sé¿undo Subténiénté; al Sargento primero D. Joseph Guillen* y én él batallón dé .cazadores Voluntarios dé Barbastro á segundo Subteniente aP Cadete D. Manuel M</t>
  </si>
  <si>
    <t>Mariano Francos Cerezo</t>
  </si>
  <si>
    <t>D. Manuel Losada. Y en la de latinidad, retórica y poética á D. R ay mundo Provedo, al seminarista D. Mariano Francos Cerezo y D. Pedro Antunez. . Granada 7 de Noviembre. E n obsequio de los augustos nombres de S. M. y del Sermo. Sr. Infante ,D. Carlos, Hermano mayor de esta Real maestranza, executó este cu</t>
  </si>
  <si>
    <t>Mariano González Maldonado</t>
  </si>
  <si>
    <t>Joseph Ochoategui y al de fusileros D. Joseph Posadas; á Subteniente de granaderos al de fusileros D. Mariano González Maldonado, y á Subtenientes á D. Juan Ce</t>
  </si>
  <si>
    <t>Mariano Hernández</t>
  </si>
  <si>
    <t>ndode granaderos D. Tomas Nieto: en el de Murcia á Subteniente de granaderos al primer Siíbtenienté D. Mariano Hernández: eft ;ei dé Voluntarios dev Ca* tilla á Capitán af Ayudante D. Juan Ximenez; y en el de cazadores Volun ta riere de la Coró ha á~ segundó Teniente ai "Subteniente dé gastadores* D</t>
  </si>
  <si>
    <t>Mariano Hurtado de Mendoza</t>
  </si>
  <si>
    <t>a y I). Joseph Miguel de Soza: para la de 2.0 Pagador de la Fábrica de puros y cigarros de México á Don Mariano Hurtado de Mendoza: para la de Sobrestante mayor de Labores y Fiel de Almacenes de la misma Fábrica á D. Agustín de Arroyo: para Administrador de Alcabalas de Sierra de Pinos á LK Domingo Erriguena:</t>
  </si>
  <si>
    <t>Mariano Joachín de Huerta</t>
  </si>
  <si>
    <t>para el Arcedianato de Badalona, Dignidad de la catedral de Barcelona, vacante por fallecimiento de D. Mariano Joachín de Huerta, á D. Carlos Melchor Barón de Píorst: para la Prestamera de Villalba del Rey , en la diócesis de Cuenca, vacante por renuncia que ha hecho de ella D. Joseph de Iriberri, á D. Toma</t>
  </si>
  <si>
    <t>Mariano Joseph de Cortines</t>
  </si>
  <si>
    <t>stamo de Tormactor,en la diócesis de Burgos, Tacante por muerte de D. Francisco Antonio Serrano, á: D. Mariano Joseph de Cortines:-para la Cspellanía que se baila vacante en el Real monasterio de la Visitación de Madrid, por fallecimiento de D. Sebastian de Salazar, á D. Gregorio Díaz; y para la que este obt</t>
  </si>
  <si>
    <t>Mariano Joseph Sáenz</t>
  </si>
  <si>
    <t>del P. Fr.-Diego- Joseph de Cádiz , predicó el 9 de Setiembre de 1801 el Dr. D. Mariano Joseph Saenz , Canónigo de la iglesia dé S. Hipólito de la misma ciudad. = Discurso sobre la importancia de la administración de la justicia en lo criminal , pronunciado en la Real Chanciüería de Granada</t>
  </si>
  <si>
    <t>Mariano Martínez y Vega</t>
  </si>
  <si>
    <t>afael de la Iglesia y Darrac ,D. Manuel Villavicencio y Garcés, D. Francisco de Hoyos y Laraviedra, D. Mariano Martínez y Vega, D. Gerónimo Fernandez dé Fuenmaybr, D. Alezo Ponce de León y Molejón , ,D. "Guillermo Auvarede: y Perez, D. Diego del Castillo y Castro, D. Sebastian Rodríguez de: Arias y la; Pu</t>
  </si>
  <si>
    <t>Mariano Merchante</t>
  </si>
  <si>
    <t>varez, D. Ignacio Sandoval, D¿ Nicolás Pastor, D. Joseph Abarca, Don Jdseph Díaz, D. Ignacio Luzon¿ D. Mariano Merchante, D. Christóbal Manzano, D. FranciscoFaxardo, D. Andrés Orozco, D. Miguel Duran, D. Cárlos Chinchilla, D&gt;. Antonio Texád a, D. Juan Ximenez, D. Ma^ nuél Díaz, D. Martilel Fprcarda,</t>
  </si>
  <si>
    <t>Mariano Miranda</t>
  </si>
  <si>
    <t>e de bandera al Cadete D. Saturnino Samaniego ; y en el de dragones de España á Capitán al Teniente D. Mariano Miranda; á Teniente al Alférez Don Francisco Izquierdo; á Alférez al Portaguión Marques de Apartado, y á Portaguión al Sargento D. Ignacio Millan. A conseqiiencia de lo estipulado en el t</t>
  </si>
  <si>
    <t>Mariano Nifo, Francisco</t>
  </si>
  <si>
    <t>Francisco Mariano Nifo</t>
  </si>
  <si>
    <t>mpuestas en francés por un religioso de la congregación de S. Mauro, y traducidas en castellano por Don Francisco Mariano Nifo: dos tomos en 8.0 = Relox espiritual para contemplar e» la muerte en todas doce horas del dia, compuesto por el M. R. P. Mtro. Fr. Juan de Ro.v.as, del orden de la Merced calzada:</t>
  </si>
  <si>
    <t>zuela del Angel. Compendio de la historia sagrada del antiguo Testamento, traducido del francés por D. Francisco Mariano Nifo : g tomos en 8.° = Sermones de los mas célebres predicadores franceses para la quaresma y otros tiempos del afío : 3 tomos en 4.0, por el mismo. Se hallarán en la librería de Camp</t>
  </si>
  <si>
    <t>Mariano Pérez de Vargas</t>
  </si>
  <si>
    <t>ue un sugeto, amante de la literatura y afecto á la juventud, pusiese en manos del Teniente Vicario D. Mariano Perez de Vargas 300 rs. para premiar al joven de la clase de mayores que probase la cantidad de la i de la palabra artibitus, con autoridad del siglo de oro, ó á lo menos del de plata; cuyo premi</t>
  </si>
  <si>
    <t>Mariano Pió</t>
  </si>
  <si>
    <t>ación sino de brazo á brazo , pues habiéndole enviado el pus de Madrid, entre cristales, su hermano D. Mariano Pió (otro de aquellos quatro primeros) , otro pus de Burgos y otro de Castro-Urdiales, y haber inoculado una vez con cada uno, y no haber conseguido le saliesen al hijo tercero que ti</t>
  </si>
  <si>
    <t>Mariano Rodríguez Carabantes</t>
  </si>
  <si>
    <t>al de fusileros D. Antonio de Oyarzabal: en el de Zamora á segundo Subteniente al Sargento primero D. Mariano Rodríguez Carabantes: en el de Granada á primer Teniente de granaderos al de fusileros D. Ramón de Oro y Paz, y á segundo de esta clase al Subteniente de granaderos D. Sebastian Garcini: en el de Tole</t>
  </si>
  <si>
    <t>Mariano Segovia</t>
  </si>
  <si>
    <t>raduado D. Tomas Barreda. A Tenientes de Navfo los de Fragata D. Pedro de Anda,D. Vicente Bernabeu, D. Mariano Segovia, Don Francisco Colmenares y Lastiri, D. Joaquín Bilbao y Angosto, D. Rafael Asprer y Janer,D.Francisco Pareja y Tortolero,D. Joseph Labayen, Don Domingo de Paz, D. Aiexandro Moral</t>
  </si>
  <si>
    <t>Mariano Susanax'para</t>
  </si>
  <si>
    <t>e Barcelona, á D. Antonio Civit y Nadal: para otra de La colegial de Ca-. laf, diócesis dé Vique, á D. Mariano Susanax'para otraCan ngia Penitenciaria de la de Alabanza, en la diócesis de Patencia ,r&gt; &amp; D. Tomas Cu en a : parala Magistral de la mismaáD. Franciscp Xavier \£yrHejb: para una Media-Ración"</t>
  </si>
  <si>
    <t>Mariano Torner</t>
  </si>
  <si>
    <t>otro de la parroquia de S. Justo y Pastor do la ciudad de Barcelona , vacante por fallecimiento de D. Mariano Torner , á D. Juan Foyxart: para otro de la monacal de la villa dé Bañólas, obispado de Gerona, á D- To</t>
  </si>
  <si>
    <t>Mariano Villanueva</t>
  </si>
  <si>
    <t>ubteniente al Cadete D. Pablo Hermenegildo Casaus : en el de León á segundos Subtenientes al Cadete D. Mariano Villanueva, y al Soldado distinguido del de Navarra D. Rafael Escovar: en-el de la Princesa á Ayudante al primer Teniente D. Joseph Ucles: en el de Málaga á segundo Teniente al Subteniente d</t>
  </si>
  <si>
    <t>Mariano Vives</t>
  </si>
  <si>
    <t>de la Cuesta, D. Francisco Quesada, D. Joseph Domeneo ,;D. Joaquín de Rayas?, P. Nicolás Guascoñi, D. Mariano Vives, Don Juan de la Garma j D. Miguel Plowes, D. Marcos Funguion, D. Bernardo■ Tacón, D. Joseph Tacón, D. Francisco Boneo, D. Félix Gastambide, y D. Antonio Cortada, Madrid 1$ de Octu</t>
  </si>
  <si>
    <t>Mariano Yurre</t>
  </si>
  <si>
    <t>Pascual de la, Rosa y D. Juan Urrutia, y i Portaguiones al Sargento distinguido D. Joseph Soane y á D. Mariano Yurre&gt; Por Real provisión de 7 de Octubre pasado , á consulta del Supremo Consejo, se ha concedido á la villa de Borox, provincia de Madrid, facnlr tad para celebrar ana feria todos los</t>
  </si>
  <si>
    <t>Mariano Zapata</t>
  </si>
  <si>
    <t>ph de Torres, eí Marques de Iranda, D. Martin Esterripa, D. Ramón Carrillo, D. Francisco Barraicua, D. Mariano Zapata, D. Ramón Zuloaga y D. Luis Duran. En sintaxis, baxo la dirección de su maestro Dw Rufino Espada, D. Joachín Fernandez de Medrano, D. Francisco Necocheay D. Agustín Duran, D. Pedr</t>
  </si>
  <si>
    <t>darte, D. Joachín del Rio, D. Francisco 1 respalacios , D. Francisco ÍNecochea , D. Joseph Gaitan , D. Mariano Zapata , D. Agustín y D. Luis Duran. Presentaron por último los car-l tapados de dibuxo natural y de arquitectura civil trabajados baxo la dirección de su maestro D. Miguel Antonio de Já</t>
  </si>
  <si>
    <t>Beistegui, lo fueron.!). Luis D oran, D. Ramón Zuloaga, D. Francisco Barraícua, I). Ramón Carrillo, D. Mariano Zapata, D. Martin Esterripa, Cadete de R.eales Guardias Walonas, D. Joseph Torres, el Marques de "Iranda, D. .Joseph Catalan, Don Joseph Erquível, D. Toribio Olalde, D. Manuel Carnara y</t>
  </si>
  <si>
    <t>Mariano, Antonio</t>
  </si>
  <si>
    <t>Antonio Mariano</t>
  </si>
  <si>
    <t>. Pedro v Juan Esponera. En L eon................... D. Pedro Gil de Tejada. En Atdlaga............ D. Antonio Mariano. En JMitrcia.............. Sres. Moreda y Ladalid. En Oviedo............... D. Manuel Rubiano. En Palenda........... D. Nicolás Calonge. En Palma............... D. Martin Mayoi..</t>
  </si>
  <si>
    <t>.. D. Pedro y Juan Esponera. En León................. D. Pedro Gil de Tejada. En Málaga.......... . D. Antonio Mariano. En Murcia............. Sres. Moreda y Ladalid. En Oviedo.............. D. Manuel Rubiano. En Palencia.......... D. Nicolás Calonge. En Palma............. D. Martin Mayol. En Pamp</t>
  </si>
  <si>
    <t>... D. Pedro y Juan Esponera. ; En León....... ........ D. Pedro Gil de Tejada. En Málaga.......... D. Antonio Mariano. En Murcia............Sres. Moreda y Ladalid. En Oviedo............. D. Manuel Rubiano. En Falencia....... D. Nicolás Calonge. En Palma............. D. Martin Mayol. En Pamplona..</t>
  </si>
  <si>
    <t>..... D. Pedro y Juan Esponera. En León.................D. Pedro Gil de Tejada. En Mdlag * • •••••• D. Antonio Mariano. En Murcia..... ..... Sres. Moreday Ladalid. En Oviedo........... D. Manuel Rubiano. En Patencia........ D. Nicolás Calonge. En Palma..... ........D. Martin Mayol. En Pamplona....</t>
  </si>
  <si>
    <t>..... D. Pedro y Juan Esponera. En León............. . D. Pedro Gil de Tejada. En Málaga........... D. Antonio Mariano. En Murcia.......... Sres. Moreda y Ladalid. En Oviedo..... ...... D. Manuel Rubiano.</t>
  </si>
  <si>
    <t>n............ . D. Pedro Gil de Tejada. Én Mahon............. D. Jayme Moneada. En Malaga.......... D. Antonio Mariano. En Murcia.............Sres. Moreda y Ladalid. En Oviedo............. D. Manuel Rubiano. En Patencia.......... D. Nicolás Calonge. En Palma.............. D. Martin Mayol. En Pampl</t>
  </si>
  <si>
    <t>on.¿.:.;~...... D. Pedro Gil de Tejada. En Mahon.i.......... D. Jayme-Moneada. 1 En Malaga......... D. Antonio Mariano.. r ;* kl Én Mtircia.......... Sres. Moreda y Xadalid.. f En Oviedo........... D. Manuel Rubiano. En Falencia........ D. Nicolás Calongc. En Palma..i... ..... D. Martin Mayol. :Í</t>
  </si>
  <si>
    <t>Mariano, Joseph</t>
  </si>
  <si>
    <t>Joseph Mariano</t>
  </si>
  <si>
    <t>er Sabiñon : para la de 7.° de la misma Tesorería á B. Joseph Manuel Betancourt; y para la de 8.° á D. Joseph Mariano deSierra: para Administrador de Tamiahua á D. Joseph Bernardino de Herrera : para Teniente Visitador de la E'actoría deí tabaco de Puebla á Don Hanuel Cofredez : para la de Cabo del</t>
  </si>
  <si>
    <t>Mariano, Rafael</t>
  </si>
  <si>
    <t>Rafael Mariano</t>
  </si>
  <si>
    <t>rcos de Courten * D. Casimiro de Mendoza^ D. Baltasar Samitier, D. Joseph Plano, D. Camilo Arroyo , D. Rafael Mariano, D. Félix Zurbano, D. Juan Lieutaud, D.«Alonso Ribera, Don Pedro Joseph de GamezyD. Vicente Morodo, Di- Felipe Sicre, D. Baltasar Alvarez, D. Joseph Antonio de Calzada, D. Luis Ca</t>
  </si>
  <si>
    <t>Maríchalar, Miguel Antonio</t>
  </si>
  <si>
    <t>Miguel Antonio Maríchalar</t>
  </si>
  <si>
    <t>á D. Antonio Poza y: Muñoz ,. y á D. Evaristo Rubian: escultura, á D. Juan Bautista: arquitectura á D. Miguel Antonio Maríchalar. Grabado de estampas.^ Medallade úna onza de oro á D. Manuel Alvaréz Mon. Perspectiva. Medalla deunaidii* za de oro á D. Angel Humanes* ——Para que el público pueda ver las precios</t>
  </si>
  <si>
    <t>Marimon, Cayetano</t>
  </si>
  <si>
    <t>Cayetano Marimon</t>
  </si>
  <si>
    <t>üi ret, D. Ramón de San Martin, D. Santiago Lusarretá , D, Vicente rQasa' sola* D. Alonso VtlUfáñe, D. Cayetano Marimon * D. Jbseph Barón de Mer , D. Alexáñdro Conde de.Coupigni, D. Pedro Antonio TE^éjo, Don Pedro Fermín de Meiidinueta, el Marques Dpuchét, P. Ramón Fernández Idarga , D. JuaW Bássec</t>
  </si>
  <si>
    <t>Marín Espinosa, Alonso</t>
  </si>
  <si>
    <t>Alonso Marín Espinosa</t>
  </si>
  <si>
    <t>sta presencia¿ ;&gt; -Él Rey se Ha servido nombrar para la Vara de Alcalde mayor de la Isla de León; á D. Alonso Marín Espinosa; y para la de S. Lúcar de Barvameda á D. Juan Antonio Aldairia.- ; -:;\íBft América. S. M. se há dignado nombrar eñ el cuerpo veterano de infá'ntéríaidé Quito á Capitanes á los Te</t>
  </si>
  <si>
    <t>Marín y Andreu, Joseph</t>
  </si>
  <si>
    <t>Joseph Marín y Andreu</t>
  </si>
  <si>
    <t>ualmente con exemplares de dichas tabulas, del Pintón y del Padre Isla á D. B1 as Castro de Gistau, D. Joseph Marín y Andreu, D. Fernando y D, Bartolomé Naval, D. Tomas Benedicto y Burillo, D. Manuel Colera y D. Juan Antonio Sancho. Este pronunció un discurso ensalzando la utilidad de la buena educación</t>
  </si>
  <si>
    <t>Marín, Joachín</t>
  </si>
  <si>
    <t>Joachín Marín</t>
  </si>
  <si>
    <t>Capitán al Ayudante D. Joseph de Roxas, Marques de Alventos ; á primer Teniente al segundo Teniente D. Joachín Marín, y á segundo Teniente al Alférez D. Ensebio Sánchez Mendoza. En América. $. M. se ha dignado promover en el regimiento de infantería de Nueva España á Teniente al Subteniente de g</t>
  </si>
  <si>
    <t>Marín, Juan Francisco</t>
  </si>
  <si>
    <t>Juan Francisco Marín</t>
  </si>
  <si>
    <t>Pamplona: para la Dignidad de Arcediano de Velez de la ca-, tedral de Málaga, vacante por muerte de D. Juan Francisco Marín, á Don Joseph de Ortega.y Monroy, con dimisión de la Canongía que goza en la misma iglesia: para el Arcedianato de Sabogal, Dignidad de la catedraL de Ciudad Rodrigo , vacante por</t>
  </si>
  <si>
    <t>Marín, Manuel</t>
  </si>
  <si>
    <t>Manuel Marín</t>
  </si>
  <si>
    <t>acio Ballesteros. Asimismo ha promovido el Rey en el regimiento de caballería de España á Capitán á D. Manuel Marín, Cadete de la Compañía Española del Real cuerpo de G ¡ardías de Corps. ........ . &gt; i i Por Real resolución de S. M. á consulta del supremo Consejo de Castilla, se ha servido conc</t>
  </si>
  <si>
    <t>Marín, Miguel</t>
  </si>
  <si>
    <t>Miguel Marín</t>
  </si>
  <si>
    <t>l Cadete D. Manuel de Aguilar: en el de Voluntarios de España á primer Teniente al segundo Teniente D. Miguel Marín , y ;á Alférez al Cadete D. Joseph Muñoz de Baena. El 3 deL corriente falleció de edad de 53 años, en la ciudad de Cádiz, el Mariscal deCampo de los Reales exércitos D. Domingo Fe</t>
  </si>
  <si>
    <t>Marinero, Antonio</t>
  </si>
  <si>
    <t>Antonio Marinero</t>
  </si>
  <si>
    <t>...... 107, 14. Id. Antonio Marinero.. Josef, Juana Sánchez......... Mambroca... Mambroca... 181, 31. Id. Tomas Bayllo.......... Manuel, Luisa Fernandez.</t>
  </si>
  <si>
    <t>Marino de la Barrera, Juan</t>
  </si>
  <si>
    <t>Juan Marino de la Barrera</t>
  </si>
  <si>
    <t>en jubilar por su avanzada edad y achaques á los Ministros del Consejo y Cámara Barón de Castiel , D. Juan Marino de la Barrera y D. Benito Ramón de Hermida, conservándoles todos los honores y sueldo de sus plazas de Consejo y Cámara en consideración á sus; buenos y dilatados servicios. Con el mismo objeto, y</t>
  </si>
  <si>
    <t>Maris Josepha de Herrera y Ret</t>
  </si>
  <si>
    <t>ino preciso,de xa dias, contados nesúe 2g de este mes, comparezcan en los autos de testamentaria de Doña Maris Josepha de Herrera y Ret*s, viuda de D. Felipe Zapata, administrador que fué del citado catado de la Conquista , radicados en su jingadó y escribanía de D. Gervasio Fer</t>
  </si>
  <si>
    <t>Mariscal, Conde</t>
  </si>
  <si>
    <t>Conde Mariscal</t>
  </si>
  <si>
    <t>a Cámara de los Pares, en donde prestó juramento. Le acompañaban el Duque de Norfolck en calidad de Conde Mariscal, y el Lord Gwidir como Gran Chambeland de Inglaterra; y llevaba por asistentes á sus hermanos los Duques de Yorck y de Clarence. De la esquadra que está en Corck saldrán 7 navios</t>
  </si>
  <si>
    <t>Mariscal, Francisco</t>
  </si>
  <si>
    <t>Francisco Mariscal</t>
  </si>
  <si>
    <t>s en la forma siguiente : Los dias 4 y 5 los discípulos de primeras letras, asistidos de su maestro D. Francisco Mariscal, y de D. Francisco Manuel de Ortiz su pasante, en doctrina christiana, ortología, caligrafía, aritmética, gramática y ortografía castellana conforme al método de D. Torquato</t>
  </si>
  <si>
    <t>Markoff</t>
  </si>
  <si>
    <t>de allí el cuerpo para llevarlo á Stockolmo con mucho acompañamiento.,: Escriben de Petersburgo que Mr. Markoff volverá muy pronto de Francia á aquella capital, y será empleado en el ministerio; y que le reemplazará en su Embaxada de Paris el Barón de Krudner, Embaxador de Rusia cerca de S.</t>
  </si>
  <si>
    <t>tratado entre Francia y Rusia, ha recibido de parte de S. M. el Emperador Alexandro i por manos de Mr. Markoff una hermosa caxa con su retrato guarnecido de diamantes: y ha dado á Mr. Markoff de parte del primer Cónsul un boton y una presilla de diamantes de mucho precio. Extracto del Moni</t>
  </si>
  <si>
    <t>Marmont</t>
  </si>
  <si>
    <t>Florencia. Finalmente, ha promovido á primer Inspector general de Artillería al ciud. Marmont, General de división de dicho cuerpo.. Por decreto de jos Cónsules de 2,* de Setiembre se previene á todos los . j %</t>
  </si>
  <si>
    <t>Marques de Bellegarde</t>
  </si>
  <si>
    <t>n, que viene.de Rusia, ha pasado por esta ciudad yendo á París, como también el Marques de Bellegarde, Teniente Coronel del ejército ruso, despachado de Petersburgo por el Emperador con pliegos para el gobierno de Francia. Dos regimientos de infantería prusiana apostados en la derecha del W</t>
  </si>
  <si>
    <t>Marques de Foucauld, Luis</t>
  </si>
  <si>
    <t>Luis Marques de Foucauld</t>
  </si>
  <si>
    <t>ranaderos D. Federico Ernesto Caballero de Lamberts; y ¿ Alféreces de granaderos á los de fusileros D. Luis Marques de Foucauld y D, Agustín de Zagarriga. En el regimiento de infantería Suizo de Rutiman se ha, servido S. M. promover á,Capitán segundo *1 Ayudante D, Martin Hallegg: ¿ Subtenientes en el de Redin</t>
  </si>
  <si>
    <t>Marques de Gallo</t>
  </si>
  <si>
    <t>: Sommariva-Ruga. = Clavena : Secretario ge1* neral.” París 1s&gt; de Febrero. E 1 Marques de Gallo, Ministro de la corte de Nápoles cerca del gobierno de Francia, llegó aquí el 16 por la noche. El Ministro de Relaciones exteriores, que como Plenipotenciario de es</t>
  </si>
  <si>
    <t>Marques de Luchesini</t>
  </si>
  <si>
    <t>orden de volver á sps puertos. rt Paris 18 de Marzo. Extracto del Monitor. ,,E1 Marques de Luchesini, Ministro de S. M. el Rey de Prusia, felicitó el 6 del corriente al primer Cónsul por el éxito del congreso de León____El Conde de Cobentzel, Embaxador de S. M. el Emperador de Alemania, co</t>
  </si>
  <si>
    <t>instrucciones del gobierno, ! : ^ -í 1 Se asegura que en brever llegará aquí el Marques de Luchesini, Ministro de esta corte en París, y que irá con el mismo carácter á Londres: le reemplaza cerca de los Cónsules Mr. de Jacobikioest, qué fué Ministro pruriáho es el Congreso de Rastadt.</t>
  </si>
  <si>
    <t>Marques de Malespina, Coronel</t>
  </si>
  <si>
    <t>Coronel Marques de Malespina</t>
  </si>
  <si>
    <t>obo, á D. Juan Antonio Mato. El Rey se ha dignado conferir el regimiento de cazadores de Almansa al Coronel Marques de Malespina, Teniente Coronel del de Pavía: el em&gt;leo de Teniente Coronel deí de caballería de España á D. Joseph BadoÍ ato, Comandante del de húsares, de María Luisa; y el de Teniente Corone</t>
  </si>
  <si>
    <t>Marques de WeUesley, General</t>
  </si>
  <si>
    <t>General Marques de WeUesley</t>
  </si>
  <si>
    <t>de este gobierno. Pide que recurran ai Rey y al Parlamento para, que .se, examine la con, ductadel General Marques de WeUesley y de los? directores ¿y se le ¡ baga la justicia á que es acreedor ^ pucsllademas dcb baber n$ido-despojado del trono que le correspondía* colocando en él los ingleses á: un. pariente suyo</t>
  </si>
  <si>
    <t>Marques Oe Lucfiestni</t>
  </si>
  <si>
    <t>n, Mini tro piempotenoar.o ingles; oor Mr Dreyer, Ministro de Dinamarca; por el Marques Oe Lucfiestni, Ministro de Bmsia; por el Conde de Marcoff Ministro de Rmiat y por el ciud Smits . Encargado interino de Negocios de la República batava ¿IGcnérd Beumouville, Embaxador de Ergncia en Prusi</t>
  </si>
  <si>
    <t>Marques y Espejo</t>
  </si>
  <si>
    <t>mo Consejo de Castilla, caballero Gran Cruz de lá Real y distinguida órden de Cárlos ni &amp;c,: por el Dr. Marques y Espejo, presbítero, acudirán á recoger el 2° y último temo en las librerías dé Orea y Fuentenebro, calles de la Montera y Carretas, donde se halla ya de venta esta obra, que con la instr</t>
  </si>
  <si>
    <t>Marques y Espejo, Antonio</t>
  </si>
  <si>
    <t>Antonio Marques y Espejo</t>
  </si>
  <si>
    <t>en rústica 4 en casa de Musita, calle de las Carretas. El Aguador de París: drama moral en prosa de D. Antonio Marques y Espejo, representado con mucha freqüencia por la comp&amp;fiía de los caños del Peral da asta corté desde el mes de Julio último. Se hallaré en 8.® á 3 rs. en la librería da Gómez Fuentenebr</t>
  </si>
  <si>
    <t>Marques, Coronel</t>
  </si>
  <si>
    <t>Coronel Marques</t>
  </si>
  <si>
    <t>l Corone! p.Martínde Vergara, Teniente Coronal del misme» c$eJEp&lt;*£¿4 de ja misma clase de Pavía aí Coronel Marques/ de Malespina , Comandante del propio regimiento; y Teniente Coronel deLdehúsares de Numancia al Coronel D. Manuel Rizo, Comandan^e del dejcazadores de^illayiciosa. ¿í.jí;i: w is;</t>
  </si>
  <si>
    <t>Marques, Manuel</t>
  </si>
  <si>
    <t>Manuel Marques</t>
  </si>
  <si>
    <t>90. 13. Id. Manuel Marques..,., i$. 1. Licenciado. Bartolomé Alvarez...</t>
  </si>
  <si>
    <t>Marquesi, Luis</t>
  </si>
  <si>
    <t>Luis Marquesi</t>
  </si>
  <si>
    <t>liana del Real'cuerpo de Guardias de Corps se ha servido el Rey promover á Brigadier al Subrigadier D. Luis Marquesi: á Subrigadier al Cadete D. Joachín Arcos: á Cadete de numero al supernumerario D. Vicente López del Prado; y á Cadete supernumerario al Guardia de la misma Compañía D. Joseph Los</t>
  </si>
  <si>
    <t>Marquettj, Juan</t>
  </si>
  <si>
    <t>Juan Marquettj</t>
  </si>
  <si>
    <t>a- y xi en pasta¿ y en las capitales un real mas cada exemplar. Defensa de la Critica al Fleuri del Dr. Juan Marquettj. Esta obra es una nueva prueba de la solidez de la Crítica al Fleuri y por lo qual merece agregarse á los dos tomos de la Crítica, que se hallarán con ella en las librerías de Ran</t>
  </si>
  <si>
    <t>Márquez Pacnecq, Bartolomé</t>
  </si>
  <si>
    <t>Bartolomé Márquez Pacnecq</t>
  </si>
  <si>
    <t>acón D.- Antonio Gastón y :Navarrete, D, Francisco Idí aquez y Castro,D. ^eb^stiañ Elisa y Revenga, D. Bartolomé Márquez Pacnecq &gt; D. Vicente Bausa y Móre^ no j '.P* 'riancUcn.'’Faay.edrá'Vopez?“j p.' &lt;IerohimórR.fpgel y, Qqlarte, pon Miguej;ViíP&gt; fi ft/Pi e¿p P^nes.'yXaiite’i P^rancflscp llon» p,, J^a.¿,ip</t>
  </si>
  <si>
    <t>Marsilla, Pedro</t>
  </si>
  <si>
    <t>Pedro Marsilla</t>
  </si>
  <si>
    <t>, D. Joseph.de la Gceja , P. Juan de Sesma, D. Santiago Aldaó, D. Juan Piñeyro, D, Narciso Llaudes, D. Pedro Marsilla, D. Ni-' colas dél Castillo, D. Gines López del Castillo, D. Mariano de Lara,Dori' Manuel Fernandez Cortacero, D. Manuel Barrientos, D. Nicolás Povil, D, Juan de Robles, D, Rafael</t>
  </si>
  <si>
    <t>Martes, Juan</t>
  </si>
  <si>
    <t>Juan Martes</t>
  </si>
  <si>
    <t>-i Hié, D. Vicente Reyna ,'D. Fernando AgniWe, D^Fernando Gabriel, Don Ramón Lope, D. Juan Camargo, D. Juan Martes, D. Joseph Quevedos</t>
  </si>
  <si>
    <t>Martí Mofa, Juan</t>
  </si>
  <si>
    <t>Juan Martí Mofa</t>
  </si>
  <si>
    <t>el de Lana, D. Felipe de la Mar, D. Angel Mijáres, D. Gerónimo Marco , D. Francisco Marcó del Pont, D. Juan Martí Mofa, D. Alonso Morales, D. Nicolás de Mora, D. Fermín Roméo, D. Francisco Merino, D. Manuel María Pus* terla, D. Francisco Ayóla, D. Juan Tarrius, D. Manuel de Miedes, Don Francisco D</t>
  </si>
  <si>
    <t>Marti, Domingo</t>
  </si>
  <si>
    <t>Domingo Marti</t>
  </si>
  <si>
    <t>para otro de la parroquia de Sta. María del Mar de la ciudad de Barcelona , vacañte .por muerte de D. Domingo Marti, á D. Mariano Deo : para otro de la parroquia de S. Justo y Pastor do la ciudad de Barcelona , vacante por fallecimiento de D. Mariano Torner , á D. Juan Foyxart: para otro de la</t>
  </si>
  <si>
    <t>Martí, Francisco</t>
  </si>
  <si>
    <t>Francisco Martí</t>
  </si>
  <si>
    <t>Caballero; y á ordinarios á los extraordinarios D. Joseph Joachin.de Pineda, D. Alberto de Córdoba, D. Francisco Martí y D. Joseph Santa Cruz. En América. El Rey se ha servido nombrar para el Arcedianato de la catedral de Sta. Cruz de la Sierra, vacante por íallecimiento de D. Pedro Joseph de Urtubey,</t>
  </si>
  <si>
    <t>Martí, Francisco Xavier</t>
  </si>
  <si>
    <t>Francisco Xavier Martí</t>
  </si>
  <si>
    <t>471,110 y 496,019 , endosados por dichos Dotres. Canadell y compañía, con primer endoso á favor de D. Francisco Xavier Martí y compañía, de Barcelona. Quien sepa de su paradero avisará á diqhos Sres. Illás y Gibert, de Barcelona,.á los Sres. Dotres Canadell, y compañía, de-Cádiz, .9 eu esta córte á los Sr</t>
  </si>
  <si>
    <t>Marti, Joseph</t>
  </si>
  <si>
    <t>Joseph Marti</t>
  </si>
  <si>
    <t>politana de Tarragona, vacante por promoción de D. Juan Andreu á la Canongia Lectoral de Tortosa, á D. Joseph Marti: para una Capellanía de la Real capilla de Granada, vacante por fallecimiento de D. Joseph Diaz Bardera, á D. Domingo Valdés; y para otra del Real convento de religiosas de Sta. C</t>
  </si>
  <si>
    <t>Martí, Joseph Joaquín</t>
  </si>
  <si>
    <t>Joseph Joaquín Martí</t>
  </si>
  <si>
    <t>ntes, D. Gerónimo Peinado, el Conde de la Torre del Freino, *DY Casimiro BofaruÜ, D."AntonioCorrea, D. Joseph Joaquín Martí, D. Mateo Arrióla, D. Gerónimo Verde, D. Juan Kindelan, D. Juan O-Neilie, el Conde de Castrillo y Orgaz, D. Joseph Casamayor , D. Joseph GenaroSa-? lazar, D. Gerónimo la Grúa* D.</t>
  </si>
  <si>
    <t>Martilel Fprcarda</t>
  </si>
  <si>
    <t>zco, D. Miguel Duran, D. Cárlos Chinchilla, D&gt;. Antonio Texád a, D. Juan Ximenez, D. Ma^ nuél Díaz, D. Martilel Fprcarda, I&gt;. Manuel Teran, D. Joaquín Ribera^ D;; Pedro Muñoz, D, Juán Davadié , D. Agustín Sánchez, I}. Manuel Mo¿ ro, D: EugenioTontas y Alcalá, D. Miguel Rodríguez, D. FranciscO dé Bor</t>
  </si>
  <si>
    <t>Martín Alonso</t>
  </si>
  <si>
    <t>y dos secretarios de Santos Louverture nombrados Pascal y Allié.” Segovia 2_9 de Marzo. A tendiendo D. Martin Alonso , cirujano titular del Real monasterio de Santa María la Real de Párraces (filiación del Escurial), y del lugar de Etreros, jurisdicción de esta ciudad, á las ventajas de la inocu</t>
  </si>
  <si>
    <t>Martín Manuel Mathéo</t>
  </si>
  <si>
    <t>Joseph Romero y Uriraiz , D. Alvaro de la Sema, D. Garlos Rato y Ramírez, D. Ramón Enlate y Tovias, D. Martin Manuel Mathéo, D. Femando Dominicis , y D. Juan de Cárdenas y Cárdenas. A Alféreces de Navio los de Fragata D. Diego Venegas y Aguilar, D. Manuel Murga, *p. Ventura Gutiérrez de Bustillo, D.: J</t>
  </si>
  <si>
    <t>Martín, Capitán</t>
  </si>
  <si>
    <t>Capitán Martín</t>
  </si>
  <si>
    <t>ncertidumbre y debilidad en que se halla aquel gobierno , han obligado al Lord Keith á despachar al Capitán Martin con el navio de línea el Northumberland y algunas fragatas para restablecer el buen orden en aquella República naciente.” Milán 6 de Abril. A ntes de ayer y ayer salieron todas la</t>
  </si>
  <si>
    <t>Martinay, Juan</t>
  </si>
  <si>
    <t>Juan Martinay</t>
  </si>
  <si>
    <t>n pasta. Tratado metódico ó modo de explicar la sagrada Escritura : escrito en francés por el R. P. D. Juan Martinay, religioso benedictino de la congregación de San Mauro: uñ tomo en 8.°am:Afectos de un pecador arrepentido pidiendo misericordia : un tomo en 8'.° Se hallarán en la libreiía de Ca</t>
  </si>
  <si>
    <t>Martínde Vergara</t>
  </si>
  <si>
    <t>o S. Mj protpoTer á Coronel deU regimiento de Caz^dpi^^de^ Almansa al Corone! p.Martínde Vergara, Teniente Coronal del misme» c$eJEp&lt;*£¿4 de ja misma clase de Pavía aí Coronel Marques/ de Malespina , Comandante del propio regimiento; y Teniente Coronel deLdehúsares de Numancia al Coron</t>
  </si>
  <si>
    <t>Martínez Azpeytia, Juan Antonio</t>
  </si>
  <si>
    <t>Juan Antonio Martínez Azpeytia</t>
  </si>
  <si>
    <t>cual Vallejo, que servia la de la Mancha: para el Corregimiento de letras de la villa de Illéscas á D. Juan Antonio Martínez Azpeytia: para el de Sahagun á D. Antonio Lorente Ximenez de Castro: para la Vara de Alcalde mayor de la ciudad de Motril á D. Joseph Manuel Rodríguez Valderábano: para la de Algecíras á D</t>
  </si>
  <si>
    <t>Martínez de Aparicio, Andrés</t>
  </si>
  <si>
    <t>Andrés Martínez de Aparicio</t>
  </si>
  <si>
    <t>uel Ramiro y Martín. En Sevilla............ D. Joseph Antonio Gómez é hijo. En Soria............... D. Andrés Martínez de Aparicio.</t>
  </si>
  <si>
    <t>uel Ramiro y Martin* En Sevilla.......... D. Joseph Antonio Gómez é hijo. En Soria................. D. Andrés Martínez de Aparicio. En Toledo................Sres. Chavarri y Posadíllo.</t>
  </si>
  <si>
    <t>Manuel Ramiro y Martin# En Sevilla........ . D. Joseph Antonio Gómez é hijo. En Soria............. D. Andrés Martínez de Aparicio. En 2oledo............... Sres. Chavarri y Posadillo. En Toro...................D. Joseph Ligero. En Valencia......... D. Francisco Peyrolon y compañía. En Valladolid.___ D. Franc</t>
  </si>
  <si>
    <t>anuel Ramiro y Martín* i En Sevilla........ . D. Joseph Antonio Gómez é hijo. En Soria............. D. Andrés Martínez de Aparicio. : En Toledo............ Sres. Chavarri y Posadillo. En Toro.............. D. Jos/eph Ligero. , En Valencia.... . D. Francisco reyrolon y compañía. En Valladolid...... D. Francisc</t>
  </si>
  <si>
    <t>nuel Ramiro y Martin* En Sevilla........... D. Joseph Antonio Gómez é hijo. En Soria................D. Andrés Martínez de Aparicio. En Toledo......... Sres. Ghavarri y Posadillo. En ^Toro.............. D. Joseph Ligero. En Valencia..........D. Francisco reyrolon y compañía. \</t>
  </si>
  <si>
    <t>Martinez de Aparicio, Andrés</t>
  </si>
  <si>
    <t>Andrés Martinez de Aparicio</t>
  </si>
  <si>
    <t>miro y Martín*;’7':l En Sevilla........... I). Joseph Antonio]Gómez é hijo. En Soria.............7. D. Andrés Martinez de Aparicio. En Toledo.:.......... Sres. Chavarri y Posadillo. í En Toro...................;D. Joseph Ligero; = ; t En Valencia......... I&gt;. Francisco Peyrolon y compañía. r - ; En Valladétil</t>
  </si>
  <si>
    <t>l Ramiro y Martín. En Sevilla............. D. Joseph Antonio Gómez é hijo. En Soria................ D. Andrés Martínez de Aparicio. En Toledo.............. Sres. Chavarri y Posadillo. En Toro................. D. Joseph Ligero. En Valencia..........D. Francisco Peyrolon y compañía. En Valladolid...... D. Franc</t>
  </si>
  <si>
    <t>Martinez de Ariza, Rafael</t>
  </si>
  <si>
    <t>Rafael Martinez de Ariza</t>
  </si>
  <si>
    <t>la, D. Manuel de Santa Clara, caballero de la órden de Cirios m , y capitular de su Ayuntamiento, y D. Rafael Martinez de Ariza, apoderado de D. Juan Bautista Wbanbrock y Agraz, Teniente Coronel de los Reales exércitos y primer Teniente de Reales Guardias Walonas, y Dolía Leocadia de Salcedo y Tapia su esp</t>
  </si>
  <si>
    <t>Martínez de Bujanda, Manuel</t>
  </si>
  <si>
    <t>Manuel Martínez de Bujanda</t>
  </si>
  <si>
    <t>operación de la vacuna, y la felicidad con que se ha propagado, pues habiendo dado principio á ella D. Manuel Martínez de Bujanda, médico titular de la misma, á mediados de Diciembre con el fluido pedido por D. Manuel de Cereceda á Tudela de este Reyno, se hizo la primera operación en la hija del mencionado</t>
  </si>
  <si>
    <t>Martínez de España, Pedro</t>
  </si>
  <si>
    <t>Pedro Martínez de España</t>
  </si>
  <si>
    <t>da in Curia, en esta forma: para los de VMaescusa de I-Jaro y Castejon, en la diócesis de Cuenca, á D. Pedro Martínez de España; y para el de Pejalagar, en el obispado de Jaén, á D. Manuel Corella Orduña y Zarzosa. En la Compañía Española del Real cuerpo de Guardias de Corps se ha servido promover el Rey á</t>
  </si>
  <si>
    <t>Martínez de la Serna, Pedro Antonio</t>
  </si>
  <si>
    <t>Pedro Antonio Martínez de la Serna</t>
  </si>
  <si>
    <t>Abate Maydieu , Canónigo de la iglesia de Troyes, y traducida por el Capitán D. Pedro Antonio Martínez de la Serna, Teniente de la brigada de Carabineros Reales. Esta obra sumamente instructiva forma un verdadero retrato del hombre de bien , y es de mucha importancia á toda clase de personas por su mora</t>
  </si>
  <si>
    <t>Martínez de Mazas, Joseph</t>
  </si>
  <si>
    <t>Joseph Martínez de Mazas</t>
  </si>
  <si>
    <t>rai te, se sostiene á expensas de Den Fernando María de Valenzueia Prado , Director de este cuerpo; D. Joseph Martínez de Mazas, Dean de esta santa iglesia; D. Joseph Gómez, Arcediano de Jaén; D. Ferrando de Aranda , Maestrante, y el esmero dél Secretario con loable caritativo zelo. Distribuyó el mismo Dir</t>
  </si>
  <si>
    <t>Martínez de Pinillos, Ramón</t>
  </si>
  <si>
    <t>Ramón Martínez de Pinillos</t>
  </si>
  <si>
    <t>seph Fernandez de Molina; y para Administrador de Rentas-Unidas de la Colonia del Nuevo Santander á D. Ramón Martínez de Pinillos. El Consejo, á consulta de la Comisión gubernativa de consolidación de Val es, y con aprobación de S. M., ha acordado la trigesímaoctava amortización de 78 Vales de 600 pesos, 170</t>
  </si>
  <si>
    <t>Martínez de Tejada, Félix</t>
  </si>
  <si>
    <t>Félix Martínez de Tejada</t>
  </si>
  <si>
    <t>embre, núms. 191,880,210,323 y 155,401. Quien los hubiese hallado se servirá entregarlos en casa de D. Félix Martínez de Tejada , calle Mayor, ó á D. Francisco de las Barreras, calle Imperial, del comercio de esta corte. En la villa de Potes y 52 concejos de que se compone la provincia de Liévana, comprehe</t>
  </si>
  <si>
    <t>Martínez de Torres, Julián</t>
  </si>
  <si>
    <t>Julián Martínez de Torres</t>
  </si>
  <si>
    <t>e, pa.a que en su revista recaiga la Real aprobación. Honores ael ^Tribunalde la Contaduría mayor A D. Julián Martínez de Torres, Contador general de la Renta de la lotería; á D. Dámaso del Castillo Larroy, Contador principal de Rentas dé la provincia de Segovia ; á D. AlfonsoPerez Toresano , Subdelegado de</t>
  </si>
  <si>
    <t>Martínez de Viliela, Ignacio</t>
  </si>
  <si>
    <t>Ignacio Martínez de Viliela</t>
  </si>
  <si>
    <t>, por ante D. Antonio Fernandez, Escribano del número.. * Por providencia de 14 de este mes del Sr. D. Ignacio Martínez de Viliela, del Consejo de S. M., Alcalde de su Real casa y corte, y por la escribanía.vacante de D. Nicasio Beitez, se ha mandado sacar á subasta por término de 30 dias una casa, sita en la</t>
  </si>
  <si>
    <t>Martínez de Villela, Ignacio</t>
  </si>
  <si>
    <t>Ignacio Martínez de Villela</t>
  </si>
  <si>
    <t>r, en 12 rs. Véndense en el despacho de la Calcografía de la imprenta Real. Por providencia del Sr. D. Ignacio Martínez de Villela, del Consejo de S. M.# Alcalde de'su Real casa y corte, y por' la escribanía vacante de D. Joseph Narciso Bey tez 7 sé ha* séñaládo el dia 16 del corriente, á las iq» de su mañana</t>
  </si>
  <si>
    <t>Intendente de esta provincia, se ha aprobado el remate celebrado en 2.5 de Enero último ante el Sr. D. Ignacio Martínez de Villela, del Consejo de S. M., Alcalde de su Real casa y corte, y por la escribanía vacante de D. Joseph Ni casto Beitez, de una casa sita.en Ja calle de Calatrava, á la de Toledo, núm. 2</t>
  </si>
  <si>
    <t>Martínez Flore, Ramón</t>
  </si>
  <si>
    <t>Ramón Martínez Flore</t>
  </si>
  <si>
    <t>que se admitirán basta el ia de Marzo próximo, á Jos Regidores Don Pedro Manuel deSalazary Nieta y D. Ramón Martínez Flore* y «omisionados para el asunto por aquel Ayuntamiento. Eos herederos de D. Nicolás de Ñipóles y Arévalo, natural de la ciudad da Cuba en ludias, deberán ocurrir á D. Ramón de Anay</t>
  </si>
  <si>
    <t>Martínez López, Felipe</t>
  </si>
  <si>
    <t>Felipe Martínez López</t>
  </si>
  <si>
    <t>tural tan benigna y senciija como ella lp es; de todo lo qual hay aquí muchos testigos, entre ejios D. Felipe Martínez López, Catedrático de prima de medicina, que es el que mas hg promovido y presenciado la nueva inoculación, por la qual ha defendido conclusiones en est§ universidad; y D. Andrés Galleg</t>
  </si>
  <si>
    <t>Martínez Marañen, Manuel</t>
  </si>
  <si>
    <t>Manuel Martínez Marañen</t>
  </si>
  <si>
    <t>uente, que lo era de fusileros; ¿Teniente al Alférez D. jfoseph Erlizundi, y ¿ Portaguión al Cadete D. Manuel Martínez Marañen.En el regimiento de milicias urbanas provinciales de caballería de Chincha ha promovido igualmente S. M. ¿ Comandante de esquadron al Capitán D. Francisco de Acevedo. El Consejo ,</t>
  </si>
  <si>
    <t>Martínez Marina, Francisco</t>
  </si>
  <si>
    <t>Francisco Martínez Marina</t>
  </si>
  <si>
    <t>te D. Carlos María, hijo segundo del Rey. La Real academia de la Historia, por medio de su director D. Francisco Martínez Marina y de su individuo D. Manuel Abella , ha tenido la honra de presentar á k&gt;s Reyes Nitros. Sres. la sección primera del Diccievario geogrdfiLú-histórUo de España, que ccmprehende el rtyn</t>
  </si>
  <si>
    <t>estas y fabulosas : discurso histórico-crítico sobre la primera venida de los judíos á Espafia, por D. Francisco Martínez Marina.=Ilustración del reynado de D. Ramiro 11 dé Aragón (dicho el Monge) ó memorias para escribir;su vida , por D. Joaquín Traggia. == Informe que la Real academia de la Historia dió a</t>
  </si>
  <si>
    <t>Martínez Peña, Tomás</t>
  </si>
  <si>
    <t>Tomás Martínez Peña</t>
  </si>
  <si>
    <t>e aquel obispado: para otra de la misma iglesia, vacante por fallecimiento de D. Francisco Rubio, á D. Tomas Martínez Peña, Cura de la Torre y Val de S. Pedro, del mismo obispado : para otra de la propia catedral, vacante por muerte de D. Joseph Burgos , á D. Juan Manuel Fernandez Reyero, Cura de Pina</t>
  </si>
  <si>
    <t>Martínez Toledano, Joseph</t>
  </si>
  <si>
    <t>Joseph Martínez Toledano</t>
  </si>
  <si>
    <t>omover en el regimiento de infantería Inmemorial del Rey á primer Teniente al segundo de granaderos D. Joseph Martínez Toledano, y á segundo Teniente de granaderos al de fusileros P. Ge</t>
  </si>
  <si>
    <t>Martinez Vallejo, Ignacio</t>
  </si>
  <si>
    <t>Ignacio Martinez Vallejo</t>
  </si>
  <si>
    <t>ía, D. Antonio Darcourt, D. Tomas Kindelan , D. Juan de Dios Alvarez Ordoño, D. Gabriel Mendizabal, D. Ignacio Martinez Vallejo, D. Matías Piriz, D. Pedro Baylin, D. Bartolomé de Castro, D. Santiago Puig, Don Francisco Cortabarria, D. Antonio Maestre, D. Fernando Manuel de Villena, el Vizconde de Zolina, D</t>
  </si>
  <si>
    <t>Martínez Wintuysen, Manuel</t>
  </si>
  <si>
    <t>Manuel Martínez Wintuysen</t>
  </si>
  <si>
    <t>a Sala, .D. Ramón Bermudez Valledor, D. Alexandro Boni la y San Juan, D. Juan Uztariz y Valenciano, D. Manuel Martínez Wintuysen , D. Manuel de Luengas y Orive, :D. Domingo Sarachaga y Z aval a, D. Gavino de Arana y Arrióla, D. Joseph Obando y Adorno , D. Joseph Romero y Uriraiz , D. Alvaro de la Sema, D. G</t>
  </si>
  <si>
    <t>Martínez y Montes, Miguel</t>
  </si>
  <si>
    <t>Miguel Martínez y Montes</t>
  </si>
  <si>
    <t>a y Be.betoros, D. Martin Oarrichena , D. Manuel Vacaro X Valcarcel, D. Antonio Bobadi!la|y Ángulo, D. Miguel Martínez y Montes, D. Luis Lasqueti y Gal vez, D. Joaquín Ramírez de Arellano* Don Ignacio Munive, D. Juan de Latre y Aissa, D. Tomas Urrecha y Assua, D. Ramón de Móyua y Mazarredo, D. Francisco Ta</t>
  </si>
  <si>
    <t>Martinez, Ángel</t>
  </si>
  <si>
    <t>Ángel Martinez</t>
  </si>
  <si>
    <t>25. *7* Licenciado. Cabo 2.0 Angel Martinez... Joaquín, María Ximena... Logroño,.... Logroño......... 45. 30- Id. Manuel Blanco................... Casimiro, María Sánchez.. Fr</t>
  </si>
  <si>
    <t>Martinez, Antonio</t>
  </si>
  <si>
    <t>Antonio Martinez</t>
  </si>
  <si>
    <t>cuerpo de Artillería se ha servido S. M. promover á Tenientes á los Subtenientes D. Juan Subirats, D. Antonio Martinez, Don Bartolomé Navarrete, D. Santiago Fernandez, D. Felipe López de Arjona, D. Joseph Rivera, D. Joseph Cabrera, D. Ignacio Salens , D. M.a-. nuel Vázquez, D. Juan Vidaror, D. Jos</t>
  </si>
  <si>
    <t>Martínez, Bartolomé</t>
  </si>
  <si>
    <t>Bartolomé Martínez</t>
  </si>
  <si>
    <t>47. 15. Id. Bartolomé Martínez.......... Fuentes...... León................. 3. 31. Id. Francisco Fernandez...........</t>
  </si>
  <si>
    <t>Martínez, Diego</t>
  </si>
  <si>
    <t>Diego Martínez</t>
  </si>
  <si>
    <t>454 dad se los vacunasen, como en efecto lo hicieron DO, Diego Martínez, Médico, y D. Mateo López, Cirujano- Los niños no tuvieron la menor novedad en su viage, ni durante el curso de la vacunación., Ei dia io y el n tomo el mencionado Milagro del fluido vacu</t>
  </si>
  <si>
    <t>Martinez, Félix</t>
  </si>
  <si>
    <t>Félix Martinez</t>
  </si>
  <si>
    <t>.... 498. 48. Id. - Félix Martinez.......... . Eusebio, Benita Rodríguez. Méntrida....... Guadalaxara. 92. 24. Id.! Vicente Valero................... Manuel, Luisa García....... Toledo.......</t>
  </si>
  <si>
    <t>Martínez, Fernando</t>
  </si>
  <si>
    <t>Fernando Martínez</t>
  </si>
  <si>
    <t>n Joseph Viamont, y al de fusileros D. Juan López ; á Subtenientes de granaderos á los de fusileros D. Fernando Martínez, D. Juan del Pino y D. Pascual Agustín Martínez, y á Subtenientes de compañía y de bandera á los Cadetes D. Juan Vianqui, D. Miguel Celada, D. Cosme Ramírez de Arellano y D. Isidr</t>
  </si>
  <si>
    <t>l segundo de granaderos D. Felipe Perez: en el de Búrgos á Capitán al primer Teniente de granaderos D. Fernando Martínez: en el de Jaén á primer Subteniente al segundo D. Joseph Salido ; y en el batallón de cazadores Voluntarios de Barbastro á Capitán primero al primer Ayudante D. Ramón de Alburtpie</t>
  </si>
  <si>
    <t>Martinez, Francisco</t>
  </si>
  <si>
    <t>Francisco Martinez</t>
  </si>
  <si>
    <t>107. 3. y*,. Francisco Martinez............. Domingo, María Luis,.... VilLarino........ Ledesma........ 73* u. Id. Juan Pulpon.......................... Josef, se ignora la madre.. T</t>
  </si>
  <si>
    <t>Martínez, Francisco</t>
  </si>
  <si>
    <t>Francisco Martínez</t>
  </si>
  <si>
    <t>16. 32. Id. Francisco Martínez.......... Nicolás, María Martínez... Villacastin... Segovia...... 60. 29. Id. Bartolomé Tomas........... . Fernando, Lucía Marta.... Baca</t>
  </si>
  <si>
    <t>42. ... Muerto. Francisco Martínez............. Manuel, Teresa Carrera... Cabrera...... León............. 80. ... Id. Matías Pupazo.................... Matías, Francisca Ribas... S.</t>
  </si>
  <si>
    <t>...... 280. 30. Id. Francisco Martínez........... . Bartolomé, Maria Trincado. Castillo........ Quiroga......... iss. 13. Muerto. Bartolomé San Payo......... &lt; Josef, Dominga Fermosa... R¡obodas.... Galicia.</t>
  </si>
  <si>
    <t>163. 3. Id. Francisco Martinez.......... . Domingo, Cipriana Alonso. S. Pedro Cornaso.......... Santiago........ 135. 28. Id. Josef Calvo........................... Antonio, Angela Martinez. Rabanal..</t>
  </si>
  <si>
    <t>90. 25- Muerto. Francisco Martinez.............Francisco, María González. Quintanilla... Búrgos........... 11. 9. Id. Tambor Pascual Carranza.. Josef, Vicenta Sencio</t>
  </si>
  <si>
    <t>Martínez, Gonzalo</t>
  </si>
  <si>
    <t>Gonzalo Martínez</t>
  </si>
  <si>
    <t>Francisco Real,-D. Vícéfíté Salcedo, D. Lúeas de Mena, D. Joseph Viladomar, D. Juan de Álbarrilla, D. Gonzalo Martínez, D. Cosme Marín, D. Serafín del Rincón, D. Mariano Carrasco, D. Vicente Pico, í). Antonio Arias , D. Joseph Espinosa, D. Miguel de Gerona, D. Manuel Henriquez, D. Francisco Xavier</t>
  </si>
  <si>
    <t>Martinez, Ignacio Antonio</t>
  </si>
  <si>
    <t>Ignacio Antonio Martinez</t>
  </si>
  <si>
    <t>Sr. D. Domingo Antonio Miranda , Alcalde de la Real casa y corte, Juez comisionado por S. M., ante D. Ignacio Antonio Martinez, Escribano de Cámara mas antiguo y de Gobierno de la Sala de Sres. Alcaldes, según se anunció en la gazeta de 30 de Abril de este año. Se han echado de menos 10 vales Reales de 15</t>
  </si>
  <si>
    <t>Martínez, Joseph</t>
  </si>
  <si>
    <t>Joseph Martínez</t>
  </si>
  <si>
    <t>D. Luis Vidarte, D. Toribio Olalde, D. Joseph Mar ría Esquivel, D. Joseph Catalan, D. Blas de Lezo, D. Joseph Martínez, D. Luis Verganza y D. Zeferino Carrillo. En rudimentos.de latinidad, baxo la dirección de su maestro D. Andrés Beiztegui, los seminaristas D. Joseph de Torres, eí Marques de Iran</t>
  </si>
  <si>
    <t>D. Manuei^le San Pedro, D. Ramón de la Cuesta, D. Lorenzo Arroyo, D. Manuel Meneos, D. Joseph Imaz, D. Joseph Martínez, D. Rodrigo Medrano, D. Bartolomé Monta! ño, D. Joseph Gómez deLatorre, D. Antonio Sarmiento, D. Antonio Hermosiíla, D. Joseph Bonicelii, D. Joseph de León, D. Patricio Kindélan,</t>
  </si>
  <si>
    <t>Martínez, Joseph Domingo</t>
  </si>
  <si>
    <t>Joseph Domingo Martínez</t>
  </si>
  <si>
    <t>tina, D. Ramón Velazquez, D. Joseph Domingo Martínez, D. Joseph Calderón y D. Ramón Ponce de León; y en el de infantería provincial de Valladolid de Mechoacan á Subteniente á D. Bernardino Pini y Ledos. Habiéndose dignado S. M. conc</t>
  </si>
  <si>
    <t>Martínez, Juan</t>
  </si>
  <si>
    <t>Juan Martínez</t>
  </si>
  <si>
    <t>85. 3a. Id. Juan Martínez........ Juan , Cayetana Sainza.... San Juan de Barrio Trives. 90. 33. Id. Juan Alvarez......... . Nicolás , Ma</t>
  </si>
  <si>
    <t>Martínez, Juan Antonio</t>
  </si>
  <si>
    <t>Juan Antonio Martínez</t>
  </si>
  <si>
    <t>quín 0-ReiUy\D. Joseph de la Piedra, D. Santiago Moreda , Don Gregorio Donayrej Dé Pablo Carbonell, D. Juan Antonio Martínez, Don Joaquín Goyeneche j D. Vicente de Campos, D. Vicente Pallas, D. Manuel Herrero, D. Jóaquin Egaña, D. Alexandro Antonio Ojéá, D. Gaspar Barón de Rocreusse, D. Joseph María Lam</t>
  </si>
  <si>
    <t>Martínez, Juan Joseph</t>
  </si>
  <si>
    <t>Juan Joseph Martínez</t>
  </si>
  <si>
    <t>lfonso Ramiro, D. Antonio de la Rocha , D. Juan López de Molina,D. Lucas Salazar, D. Ramón Serrano, D. Juan Joseph Martínez, D. Joseph María Cano, D. Francisco Real,-D. Vícéfíté Salcedo, D. Lúeas de Mena, D. Joseph Viladomar, D. Juan de Álbarrilla, D. Gonzalo Martínez, D. Cosme Marín, D. Serafín del Ri</t>
  </si>
  <si>
    <t>1040 quez Mondragon, D. Juan Joseph Martínez , D. Joseph de Vargas Varaez , D. Estanislao Juez Sarmiento ¿ D. Juan Pablo Podares , D. Francisco Uriarte y Borja,,D. Dionisio Alcalá Galiano, D. Cosme Chumica, Don Cayetano Vald</t>
  </si>
  <si>
    <t>Martínez, Manuel</t>
  </si>
  <si>
    <t>Manuel Martínez</t>
  </si>
  <si>
    <t>Cadetes D. Joseph Chamizo y D. Antonio Nuñez: en el de Cuba á Capitán de granaderos al de fusileros D. Manuel Martínez; á Capitanes D. Antonio Aldana y D. Manuel Rodríguez, el primero Teniente de granaderos, y el segundo Ayudante; á esta resulta, con grado de Capitán, al Teniente D. Tomas Llórente</t>
  </si>
  <si>
    <t>. Nicolás Casaba!, Dpn Nicolás Ramírez, D. Lucas de Soto, D. Fructuoso Cariñena, D* Patricio Gómez, D. Manuel Martínez-, D. Dionisio Pinedo, D. HemeterioMdtetio* D. Anacleto Orbañanos, D. Gerardo Moreno, D. Braulio Martínez, Don Vicente Heras y D. Valentín Gutiérrez. Y en la tercera D. Valentín Sa^</t>
  </si>
  <si>
    <t>Martinez, Manuel</t>
  </si>
  <si>
    <t>Manuel Martinez</t>
  </si>
  <si>
    <t>...... 449. &lt;7. Id. Manuel Martinez................ Matías, María Gil..............Bureta............. Borja.............. 136. 4. Id. Josef Ximenez................ . Gregorio, Francisca Padilla. Guadix.........</t>
  </si>
  <si>
    <t>Martínez, María</t>
  </si>
  <si>
    <t>María Martínez</t>
  </si>
  <si>
    <t>a casa sita en esta Corte y calle de Toledo, mím. 9, mauz. 99, perteneciente á la memoria que fundó Doña María Martínez, y comprehende 1045$ pies de sitio , tasada en 39,650. rs. Quien quisiere hacer postura á ella acuda ante dicho Sr. y escribanía eij el término de 30 dias contados desde 13 de est</t>
  </si>
  <si>
    <t>e una casa sita en esta corte y calle de Toledo , num. 9, níánz; 99, propia de la memoria que fundó Doña María Martínez, y comprehende" fÓ4«;£ píes de sitio, tasada en 39,550 rs., está señalado el día 15 de este mes. Quieh quisiere hacer postura aéuda de doce y media á una de su mañana , á la au-:</t>
  </si>
  <si>
    <t>Martinez, Pedro</t>
  </si>
  <si>
    <t>Pedro Martinez</t>
  </si>
  <si>
    <t>40. 10. Id. Pedro Martinez................... Melchor, María Urbanes... Castiilejo....... Huete............. 654. 39* Id. Isidro Alvarez..................... Agustín, Juana Lemos....... Gabilanes.... León.</t>
  </si>
  <si>
    <t>Martínez, Simón</t>
  </si>
  <si>
    <t>Simón Martínez</t>
  </si>
  <si>
    <t>50. 15. Id. Cabo 2/ Simón Martínez.. Simón, Antonia Peña....... Palencia........Palencia...... 452. 33. Id. Ventura Martinez.............. Juan, Bernarda</t>
  </si>
  <si>
    <t>Martínez, Tomás</t>
  </si>
  <si>
    <t>Tomás Martínez</t>
  </si>
  <si>
    <t>ue de Alba. • Retórica para uso del Real seminario de nobles de Valencia, compuesta por su profesor D. Tomas Martínez: un tomo en 8.° tzz: Colección de poemas latinos para uso del mismo seminario yescogidos y comentados por dicho profesor; un tomo en</t>
  </si>
  <si>
    <t>Martinez, Ventura</t>
  </si>
  <si>
    <t>Ventura Martinez</t>
  </si>
  <si>
    <t>33. Id. Ventura Martinez.............. Juan, Bernarda Pereda.... Villamizar... León............ 51. 5. Id. Cabo i." Pablo Guerra.... Manuel, Maria Guerra.... Pa</t>
  </si>
  <si>
    <t>Martínez, Vicente</t>
  </si>
  <si>
    <t>Vicente Martínez</t>
  </si>
  <si>
    <t>des que experimentaban antes de la vacunación, y en ninguno se ha notado síntoma que diese cuidado. Don Vicente Martínez y D. Mateo López , médico y cirujano del hospital general, únicos vacunadores, han observado también ciertas particularidades en el curso de la vacuna, que no se han presentado en paí</t>
  </si>
  <si>
    <t>Marvés, Ramón</t>
  </si>
  <si>
    <t>Ramón Marvés</t>
  </si>
  <si>
    <t>Tenientes de fusileros á los Subtenientes D. Joseph Landaeta, D. Joseph Muxica, D. Manuel Párraga, D. Ramón Marvés y D. Francisco Antonio Malpica; á Subteniente de granaderos ai de fusileros D. Francisco Cazoria ; á Subtenientes de fusileros y de bandera á los Cadetes D. Rafael Paez., P. Joseph Ma</t>
  </si>
  <si>
    <t>Masdeu, Juan Francisco</t>
  </si>
  <si>
    <t>Juan Francisco Masdeu</t>
  </si>
  <si>
    <t>ra sexó y edad : obra dedicada á la Relyna Ntra. Sra. por su autor el Abate I). Juan Francisco Masdeu , académico correspondiente de la Real academia de la Historia de Madrid, é individuo de las de Roma , Bolonia , Sevilla., Barcelona &amp;ü. Se hallará en la librería’dé‘Francés, frente á las gra</t>
  </si>
  <si>
    <t>Masena, General</t>
  </si>
  <si>
    <t>General Masena</t>
  </si>
  <si>
    <t>mbre del monte. Allí obligó á un Coronel y 4 Capitanes enemigos á que le entregasen sus espadas. El General Masena y la junta administrativa de la media brigada certifican que en aquel encuentro ( eí qual solo duró 6 minutos ) el ciud. Soissons mató ó malhirió á hombres, é hizo 6 oficiales prisione</t>
  </si>
  <si>
    <t>Masilla, Joseph</t>
  </si>
  <si>
    <t>Joseph Masilla</t>
  </si>
  <si>
    <t>h Bello, Cadetes del mismo regimiento. Asimismo ha conferido S. M. grado de Capitán de infantería á D. Joseph Masilla, Teniente de granaderos del propio cuerpo. El Rey ha venido en confirmar á D. Joseph de Amigint y Leonardo, para sí, sus hijos y sucesores, el título de Conde del Fonollar* conced</t>
  </si>
  <si>
    <t>Massow</t>
  </si>
  <si>
    <t>dispuestas. En la comitiva de Í os Soberanos van la Camarera Condesa de Voss, el Mariscal dé corte Mr. Massow, los Chambelanes Buch y Schüden, los Ayudantes Kockeriz y fíolzmann, el Consejero de gabinete Bey me, y otros empleado s en la Secretaría de S. M. Prusiana. Muchos muebles precios</t>
  </si>
  <si>
    <t>Mata Linares</t>
  </si>
  <si>
    <t>é Coronel del regimiento de Infantería de Granada al Coronel D, Henrique de la; Mata Linares, Teniente Coronel dei de Soria« la Tenencia Coronela del de infantería del Príncipe al Conde de Maceda, Teniente Coronel agregado al de infantería Inmemorial del Rey: la Comandancia del ter</t>
  </si>
  <si>
    <t>Matachana, Manuel</t>
  </si>
  <si>
    <t>Manuel Matachana</t>
  </si>
  <si>
    <t>. 515. 8. Id. Manuel Matachana........ Pedro, Catalina Roxo....... Viñales.......... León............... $14. Id. Pedro Folgado..................... Lorenzo, Jo</t>
  </si>
  <si>
    <t>Mateos, Antonio</t>
  </si>
  <si>
    <t>Antonio Mateos</t>
  </si>
  <si>
    <t>.*. • 360. 20. Id. Antonio Mateos............... .. Felipe, María Marquina... Arroyo...... Llerena...... . 7, 22. Licenciado, TE</t>
  </si>
  <si>
    <t>Mateos, Manuel</t>
  </si>
  <si>
    <t>Manuel Mateos</t>
  </si>
  <si>
    <t>390. 13. Id. Manuel Mateos........... Joseph, Gertrúdis Huerta.. Valdebimbre. León.............. 385. 7- Id. Matías Ruiz.......... Celestino, Tere</t>
  </si>
  <si>
    <t>Mathieu, General</t>
  </si>
  <si>
    <t>General Mathieu</t>
  </si>
  <si>
    <t>el siguiente. Estas tropas forman; um de 13 a 14© hombres., Pqr;oréen del Roy, se ha rega-r lado al General Mathieu * que las mandaba ,t una -caxa de oro, con eí Real retratoy guarnecida de diamantes,; valuada pn 40©» francos. Acompañaba una carta dél primer Ministro Ácton, muy lisonjera para d</t>
  </si>
  <si>
    <t>Matías- Bayoti</t>
  </si>
  <si>
    <t>z, Don Joaquín Gómez García, D.Pablo de la Puerta, D. Joseph Ruiz'Huidobrq, Di Francisco Sotómaycr, D. Matías- Bayoti; y Rayón, D. Juáp de $als¿ Bcxadórs J D. Manuel Nuñez Portocarrero, D; Ramón Losada y QuíVos, D. Joaquín Goñi y&gt; San Juan ¿D. Mahuel Agüero y Ruiz, D.'Joaquín de Salas y Falces, D</t>
  </si>
  <si>
    <t>Mato, Juan Antonio</t>
  </si>
  <si>
    <t>Juan Antonio Mato</t>
  </si>
  <si>
    <t>ervidero de Santo Tomé de los Caballeros de Salamanca, vacante por muerte de D. Francisco Jacobo, á D. Juan Antonio Mato. El Rey se ha dignado conferir el regimiento de cazadores de Almansa al Coronel Marques de Malespina, Teniente Coronel del de Pavía: el em&gt;leo de Teniente Coronel deí de caballerí</t>
  </si>
  <si>
    <t>Matos, Mateo</t>
  </si>
  <si>
    <t>Mateo Matos</t>
  </si>
  <si>
    <t>fusileros D. Joseph María dé A y ala» y Subteoicñres de fusileros á los Cadetes í). Félix Paredes, D. Mateo Matos, D. Joseph Antonio Velarde y D. Joseplf Antonio Diaz. En el regimiento fixo de Cartagena ha promovido S. M. á Capitán al Ayudante D. Leandro Echevarría. r En la extracción de la R</t>
  </si>
  <si>
    <t>Matute, Manuel</t>
  </si>
  <si>
    <t>Manuel Matute</t>
  </si>
  <si>
    <t>a de la Inclusa: D. Juan Sierra Muñoz, portal de Sta. Cruzt.D^ Valentín Retes, calle de las Postas: D. Manuel Matute', calle de la Montera: DI íélix Antonio Goiri, calle de la Luna, Jonja de Echinique: oficina del Real Contraste de oro y plata, calle dé la AImude4 na: D. Felipe Paredes, Tasador d</t>
  </si>
  <si>
    <t>Mauleon, Joseph Antonio</t>
  </si>
  <si>
    <t>Joseph Antonio Mauleon</t>
  </si>
  <si>
    <t>se en ella á D. Joseph García Anzaldo: para Oficial mayor de la Contaduría de la citada Real Casa á Don Joseph Antonio Mauleon: para Oficial 2.0 de la Contaduría de la Administración del Tabaco del arzobispado de México á D. Antonio Valdes: para la plaza de Oficial 3.0 de la misma á D. Simón Berdié: para</t>
  </si>
  <si>
    <t>Maurepas, General</t>
  </si>
  <si>
    <t>General Maurepas</t>
  </si>
  <si>
    <t>posible en aquel paráge , envié al General Debelie al Puerto de Paz con una división. Hallábase el General Maurepas con 2© hombres de tropa y 20 cultivadores, atrincherado á dos leguas de aquella ciudad en el desfiladero de ios Tres-ríos. Tenia yo mucho empeño en derrotar aquel cuerpo que habia</t>
  </si>
  <si>
    <t>os dias inmediatos hice varias disposiciones para seguir el alcance á los enemigos. El 27 viendo el General Maurepas que no le quedaba retirada ninguna, envió diputados al General Debelie ofreciendo someterse á las condiciones propuestas en mi proclama en que prometo conservar sus grados á los o</t>
  </si>
  <si>
    <t>Mauricio Alva</t>
  </si>
  <si>
    <t>a, D. Joseph Cabrera, D. Ignacio Salens , D. M.a-. nuel Vázquez, D. Juan Vidaror, D. Joseph Anillo, D. Mauricio Alva-, rez, D, Manuel Hinojosa, D. Joaquín Luyando, D. Juan Bosa, D. Bas^ cual Martinez, D. Juan Menendez,' D. Baltasar García Galio, D. Francisco Perea, D. Francisco Malpica y D. Alexa</t>
  </si>
  <si>
    <t>Mauricio Bethmann</t>
  </si>
  <si>
    <t>rave de Hesse-Homburgo, con quien comieron. El día siguiente se desayunaron SS. AA. en el jardín de Mr. Mauricio Bethmann, Cónsul de Rusia en esta ciudad, y después siguiéron los Principes de Badén su viage á Darmstadt, acompañándoles el Príncipe heredero de HesseDarmstadt.</t>
  </si>
  <si>
    <t>Mauricio de Salm-Kirburgo, Príncipe</t>
  </si>
  <si>
    <t>Príncipe Mauricio de Salm-Kirburgo</t>
  </si>
  <si>
    <t>u número pasa ya de 200; y es grandísimo el de los navegantes que han perdido la vida en el mar. El Príncipe Mauricio de Salm-Kirburgo, preso en Altona por el asunto de los billetes falsos de aquel banco, solicitó que la Cámara imperial de Wetzlar expidiese un decreto contra la junta de gobierno del Ducado de Hol</t>
  </si>
  <si>
    <t>Mauricio de Zúñiga</t>
  </si>
  <si>
    <t>al Sargento mayor del propio regimiento D. Joseph de Soto, y la que este dexa al Capitán del mismo D. Mauricio de Zúñiga. : Asimismo ná conferido el Rey Compañía 'en el regimiento de Milicias disciplinadas vde caballería de la Havana al Subteniente, graduado de Capitán, D. Nicolás de Cárdenas,; Subt</t>
  </si>
  <si>
    <t>mez, D. Francisco Xavier Lamadrid, D. Joseph Antonio HerrezuéloD. Joseph Soto, D. Francisco Leysél, D. Mauricio de Zúñiga, D. Pedro Bermudez, D. Ramón de Villar, D. Francisco Collell, D. Cárlos Villemont, D. Tomas Portel), D. Nicolás Iberri, D. Manuel Benisia, D. Manuel Cevallos, D. Pedro Fabregues,</t>
  </si>
  <si>
    <t>Mauricio Mathiéu, General</t>
  </si>
  <si>
    <t>General Mauricio Mathiéu</t>
  </si>
  <si>
    <t>éltá al dominio' de la Francia.’* El Cardenal Consalvi»Secretario de Estado dé S. S.» ha enviado al General Mauricio Mathiéu» comandante que fué de una división del exército francés en él Reyiio de Ñapóles» el retrato; del Papa» en señal de agraderímiento por el buen orden' y- ex&amp;cta 'disciplinar &lt;jue o</t>
  </si>
  <si>
    <t>Mauricio Talleyránd, Carlos</t>
  </si>
  <si>
    <t>Carlos Mauricio Talleyránd</t>
  </si>
  <si>
    <t>potenciarios, á saber; el primer Cónsul, en nombre del pueblo francés, al ciud. Carlos Mauricio Talleyránd, Ministro de Relaciones exteriores de la República francesa; y la Sublime Puerta otomana i Esseid-MoharríedSaid-Ghalib-Effendi, Relator actual, Secretario íntimo y Director de Negocios extr</t>
  </si>
  <si>
    <t>Maurin, Juan</t>
  </si>
  <si>
    <t>Juan Maurin</t>
  </si>
  <si>
    <t>47- *5. Presidio. Juan Maurin........................ Pedro, Rosalía Rodríguez.. Madrid.......... Madrid...,.. 395, 16. Zaragoza.</t>
  </si>
  <si>
    <t>Maurisson</t>
  </si>
  <si>
    <t>uó su camino á París. Ayer se levantó la tapa de los sesos de un pistoletazo el ciud. Maurisson , empleado en la legación francesa. En la ciudad de Sarajevo, en Bosnia, se ha manifestado peste, y es ya muy grande ei número de personas que mueren ,diariame</t>
  </si>
  <si>
    <t>Mauvielle</t>
  </si>
  <si>
    <t>uesto importante de lla sometido. Es un mulato, y en su obediencia intervino el ciud. Mauvielle, Obispo de la paite francesa de la isla. De Santiago echáron al hermano de Santos Louverture,</t>
  </si>
  <si>
    <t>Maxhniano</t>
  </si>
  <si>
    <t>ficio de la primera educación. .El dia 6 los discípulos de latinidad, asistidos de sus catedráticos D. Maxhniano y D. Juan Muñoz, sufriéron respectivamente un riguroso examen eu las clases de rudimentos , sintaxis, propiedad latina, retórica y poética, satisfaciendo á todas las preguntas que se</t>
  </si>
  <si>
    <t>Maxide, Pedro</t>
  </si>
  <si>
    <t>Pedro Maxide</t>
  </si>
  <si>
    <t>96. 7. Id. Pedro Maxide............... . Pedro, Ana Fernandez....... San Juan dei Padrón.... Buron......</t>
  </si>
  <si>
    <t>Maxímiano</t>
  </si>
  <si>
    <t>r no haberse resuelto el punto á satisfacción por su aspirante Manuel Montero, se entregó al citado D. Maxímiano, con la proposición por escrito, para que en caso de que en su inteligencia satisficiese á ella, se le adjudicase á su discípulo, devolviendo la solución por escrito al Sr. Correg</t>
  </si>
  <si>
    <t>Maximiliano Rayneval</t>
  </si>
  <si>
    <t>al He— douville: por primer Secretario el ciud. Chateau Girón, y por segundo el ciud. Maximiliano Rayneval. Habiéndose movido dudas en algunos puertos sobre si podía permitirse la introducción de carbón de piedra de Inglaterra, ha resuelto el gobierno* que en las ac</t>
  </si>
  <si>
    <t>Maximiliano Saut Maxent</t>
  </si>
  <si>
    <t>D. Casimiro Montero, D. Antonio Montaña, D. Joseph S?avedra, D. Joseph Sastre, D; Francisco Nuñez, D. Maximiliano Saut Maxent, D. Tadeo Muniesa, D. Fernando Bienpica, D. Juan O-Snlivan, í). joseph de la Valle , Don Joseph Alvarez, D. Cárlos Meyner, D. Francisco Rodríguez , D. Tolhas Rocamora, D. Agustín</t>
  </si>
  <si>
    <t>May</t>
  </si>
  <si>
    <t>Viena ij de Julio* H a concedido S. M. I. la gran medalla de oro, con una cadena del mismo metal, á Mr. May, director deria escuela de sordo-mudos dé e ra capital, en recompensa del mérito que contraxb en el re tablecimiento de Otra escuela semejante en Waitzen de Hungría. El Conde de K</t>
  </si>
  <si>
    <t>hombrado el ciud. TriboletPrefecto de Berna , y este, empleo sé ha conferido ai ciud. May. ^ . Nápoles ij de¿Igosto. -J, oí/ H óy á las 11 de la mañana llegó á esta capital la Rey0.a y las Princesas sus hijas con su numerosa comitiva;; y ahora empez</t>
  </si>
  <si>
    <t>1 convenio firmado el 15 de este mes entre la municipalidad de esta plaza y el ciud. May , Comisario del gobierno helvético , es del tenor siguiente : „ Habiendo dado varias circunstancias motivo á actos hostiles entre las tropas helvéticas y los h</t>
  </si>
  <si>
    <t>par la ciudad y so distrito, y estableció en ella un consejo pequeño. Aunque el ciud. May se halla todavía en Zurich, no exerce ya las funciones de Comisario del gobierno. Finalmente, llega ¿ tal punto la confusión y el desorden, que no se espera re</t>
  </si>
  <si>
    <t>May, Andrés</t>
  </si>
  <si>
    <t>Andrés May</t>
  </si>
  <si>
    <t>* Quien supiere el paradero de Dona María Teresa Castellar y Morales (ó da sus herederos), viuda de D. Andrés May re, le. avisará se presente á IX Plácido Botino, oficial retirado en Valencia , que vive en dicha ciudad , calle de los Aslíos , piñén tier.e que comunicarle asunto que la interes</t>
  </si>
  <si>
    <t>Maybl, Martín</t>
  </si>
  <si>
    <t>Martín Maybl</t>
  </si>
  <si>
    <t>'En Patencia.... ;D^#ílc5k5‘rC^1cftfgi5«‘ ‘ : En Pítima........... D. Martín Maybl."•* J5f« Sré$i'Barbería é hijos*' En Salamanca/.i .:Srei. Urrerb v (ÍÜásasecá.. f ' í/í;5^/?/|r«^r..-Vf..'Sré{5r^j¡ájté„feQ,vy.-&lt;i¿inpañíá...'' .77,' ■ ^?íu&lt;Íá"3jg ÍÍÍ^Josjph¿Maii</t>
  </si>
  <si>
    <t>Mayeuií de Éosredon</t>
  </si>
  <si>
    <t>n segunda Tenencia al Subteniente de granaderos D. Juan pucro's: la resulta al ptiíner Subteniente *D. Mayeuií de Éosredon ; y la de esté al segundo Subteniente IX Carlos, ’Masda. También se ha servido el Rey conferir el empleo de Teniente Coronel del regimiento de caballería de. la Reyna á D. Fernand</t>
  </si>
  <si>
    <t>Maynes, Alberto</t>
  </si>
  <si>
    <t>Alberto Maynes</t>
  </si>
  <si>
    <t>D. Manuel Astor, Don Ramón Mijares, D. Francisco Alegría, D. Francisco Arnedo, D. Joseph de Zúñiga, D. Alberto Maynes, D. Joseph. de Tona, D. Juan Joseph de Fierro, D. Pedros Salcedo, D. Ignacio Muñoz de Cedenilla, D. Pedro de Tagle y D. Atanasio Sotelo. , Agrado de Capitán los Tenientes: en Espa</t>
  </si>
  <si>
    <t>Mayoi, Martín</t>
  </si>
  <si>
    <t>Martín Mayoi</t>
  </si>
  <si>
    <t>.............. D. Manuel Rubiano. En Palenda........... D. Nicolás Calonge. En Palma............... D. Martin Mayoi.. En Pamplona........ Sres. viuda de Barbería é hijos^ En Salamanca...... Sres. Urrero y Casaseca. En Santander........ Sres. Vial é hijo y compañía. En Segovia............. Viuda</t>
  </si>
  <si>
    <t>Mayol, Martín</t>
  </si>
  <si>
    <t>Martín Mayol</t>
  </si>
  <si>
    <t>do.............. D. Manuel Rubiano. En Palencia.......... D. Nicolás Calonge. En Palma............. D. Martin Mayol. En Pamplona........ Sres. viuda de Barbería é hijos. En Salamanca..... Sres. Urréro y Casaseca. En Santander........Sres. Vial é hijo y* compañía. En Segovia............. Viuda d</t>
  </si>
  <si>
    <t>Oviedo............. D. Manuel Rubiano. En Falencia....... D. Nicolás Calonge. En Palma............. D. Martin Mayol. En Pamplona....... Sres. viuda de Barbería é hijos* En Salamanca..... Sres. Urrero y Casaseca. En Santander...... Sres. Vial é hijo y compañía. • En Segovia............Viuda de D</t>
  </si>
  <si>
    <t>Oviedo........... D. Manuel Rubiano. En Patencia........ D. Nicolás Calonge. En Palma..... ........D. Martin Mayol. En Pamplona..... . Sres. viuda de Barbería é hijos. En Salamanca......Sres. Urreto y Casaseca. En Santander.. .... Sres. Vial é hijo y compañía. En Segovia.......... Viuda de D.</t>
  </si>
  <si>
    <t>do............. D. Manuel Rubiano. En Patencia.......... D. Nicolás Calonge. En Palma.............. D. Martin Mayol. En Pamplona........Sres. viuda de Barbería é hijos» En Salamanca...... Sres. Urrero y Casaseca. En Santander....... Sres. Vial 6 nijo y compañía. En Segovia........... Viuda de D</t>
  </si>
  <si>
    <t>n Oviedo........... D. Manuel Rubiano. En Falencia........ D. Nicolás Calongc. En Palma..i... ..... D. Martin Mayol. :Í En Pamplona..*,.... Sre$. viuda de Barbería é hijos. En Salamanca......Sre$. Urrero y Casaseca. ? •’ - : .r .&gt;# : En Santander..Sres.¿Vfo\ é hijo y compañía. En Segovia.......</t>
  </si>
  <si>
    <t>dalit!. En Oviedo JX Manuel Rübianó. En Palenda......... J&gt;. Nicolás C alongé. En Palma............ D. Martin Mayol.. En Pamplona..... .. Sres. viuda de Barbería é hijos* En Salamanca......Sres. Urrero y Casaseca. En Santander.. .... Srts. Vial éhíjoycOjnpañía. En Segovia.ív..:... Viuda de D; J</t>
  </si>
  <si>
    <t>Mayone, Antonio</t>
  </si>
  <si>
    <t>Antonio Mayone</t>
  </si>
  <si>
    <t>i, D. Joseph de León, D. Patricio Kindélan, D. Ignacio Husey, D. Ignacio Maraver, D. Manuel Eligió, D. Antonio Mayone, D. Ramón Gómez, D. Diego Cortés, D. Juan O-Donovan, D. Joaquín 0-ReiUy\D. Joseph de la Piedra, D. Santiago Moreda , Don Gregorio Donayrej Dé Pablo Carbonell, D. Juan Antonio Mart</t>
  </si>
  <si>
    <t>Mayor, Tomás María</t>
  </si>
  <si>
    <t>Tomás María Mayor</t>
  </si>
  <si>
    <t>ción de la colegial de Alfaro, vacante por renuncia que ha hecho de ella D. Joseph María de Mesa, á D. Tomas María Mayor; y para la Capellanía de Coro de la santa iglesia dé Toledo, vacante por la promoción á Racionero de la misma iglesia de D. Luis Alfonso Vázquez, á D. Domingo Antonio Gutiérrez Le</t>
  </si>
  <si>
    <t>Mayre</t>
  </si>
  <si>
    <t>estado de la salud pública. La junta contestó así: ,,No queremos perder tiempo, ciudadano Mayre, en desvanecer ios rumores siniestros que podrian consternar á nuestros conciudadanos, é impedir que llegasen á esta ciudad los extrangeros que se proponen ven</t>
  </si>
  <si>
    <t>Mayre, Lord</t>
  </si>
  <si>
    <t>Lord Mayre</t>
  </si>
  <si>
    <t>Baviera se les ha propuesto por el gobierno dé Viena que pasen al Austria. .Londres íj de Mayo. ül Lord Mayre &lt;5 Corregidor de esta, ciudad con todo el Ayuntamiento se presentó el dia 13 ál Rey, para cumplimentarle con motivo del recobro de la paz: besaron láReal mano.; y S. M. nómbro cab</t>
  </si>
  <si>
    <t>MayV</t>
  </si>
  <si>
    <t>er ; en el 3.0, el que se intitula el Dudoso 6 el jQven Browniano á Ja cabecera del enfermo, por el Dr. MayV Los 3 siguientes , que parece se están imprimiendo actualmente en Florencia., se publicarán .después : forman la práctica sobre las enfermad^desbócales, ysobrclos’que se puede. furjda</t>
  </si>
  <si>
    <t>Mazeres, Salvador</t>
  </si>
  <si>
    <t>Salvador Mazeres</t>
  </si>
  <si>
    <t>l primer Teniente de granaderos D. Pedro Meruéndano: en el de Asturias Ayudantía al primer Teniente D. Salvador Mazeres: en el de Ultonia primera Subtenencia al segundo Subteniente D. Manuel Estrada; y segundas Subtenencias al Sargento primero D. Joseph Periton y ai Cadete D. Manuel Peyrson: en el</t>
  </si>
  <si>
    <t>Mdendez, Julián</t>
  </si>
  <si>
    <t>Julián Mdendez</t>
  </si>
  <si>
    <t>240. 39. Id. Julián Mdendez..... i .Francisco, María Perez... Cubillero....... Oviedo........... 440. 17. Id. M a nuet de' Ley va...... Manuel, Fl</t>
  </si>
  <si>
    <t>Medal, Domingo</t>
  </si>
  <si>
    <t>Domingo Medal</t>
  </si>
  <si>
    <t>...... 943. 19. Id. Domingo Medal................... Vicente, Josefa de Porto... SantiagodeOis.Santiago........ 906. 15. Id. Miguel García..................... Francisco,CatalinaLunara. Zafra............. Badajoz</t>
  </si>
  <si>
    <t>Medeiros, Joseph</t>
  </si>
  <si>
    <t>Joseph Medeiros</t>
  </si>
  <si>
    <t>itor de Guerra de Marina en la Havana, honores de Alcalde del Crimen de la Audiencia de México. Y á D. Joseph Medeiros, Asesor del Gobierno é Intendencia de la ciudad de la Paz , honores de Qidorvde,la de Buenos-Ayres. También ha concedido S. M. quatro Títulos de Castilla pala el Vireynato de Nuev</t>
  </si>
  <si>
    <t>Medrano, Francisco</t>
  </si>
  <si>
    <t>Francisco Medrano</t>
  </si>
  <si>
    <t>Carabineros ; á Teniente de Carabineros al Teniente D. Escolástico Quiñones; á Teniente al Alférez D. Francisco Medrano , y á Alféreces á los Sargentos primeros D. At^pasio Quadra, de Carabineros , y D. Jóséph de Guerra, y al Cadete D. Tomas Dávila. También ha concedido $. M. agregación de Alférez</t>
  </si>
  <si>
    <t>Medrano, Joseph</t>
  </si>
  <si>
    <t>Joseph Medrano</t>
  </si>
  <si>
    <t>D. Manuel Ignacio San Juan, D. Juan Senen de Contreras , D. Pedro Lobo y Arjona, D. Diego Orbaneja, D. Joseph Medrano, D. Joaquín de la Chica, D. Agustín Cabrera, D. Antonio Franchi,D. Rafael de Zuniga, D. Gerónimo Martin Cortés, D. Ramón Bétes, D. Francisco Portillo, D. Tomas Salcedo, D. Fernand</t>
  </si>
  <si>
    <t>Meerfeld, General</t>
  </si>
  <si>
    <t>General Meerfeld</t>
  </si>
  <si>
    <t>ados por la tropas austríacas. El 19 de Agosto á las 10 de la mañana tomó posesión de Saltzburgo el General Meerfeld con 2 reímientos de infantería y *uim de dragones; y otras partidas ocupáron á t -auffen y Tittmanning. Aquel' General ha publicado una proclama que dice en substancia: que de ord</t>
  </si>
  <si>
    <t>Meinertz, Capitán</t>
  </si>
  <si>
    <t>Capitán Meinertz</t>
  </si>
  <si>
    <t>os su satisfacción por esta prueba de fidelidad, valor y amor á la patria. Ha salido para Guinea el Capitán Meinertz* y para la Guadalupe el Capitán Dorberg. Asimismo, Mr. Nicolaysen se ha hecho á la vela con tropas para la isla de Sta. Cruz. Hamburgo 12 de Diciembre. D e todo el Norte se recibe</t>
  </si>
  <si>
    <t>Meizi</t>
  </si>
  <si>
    <t>n ¿ran tíimulo en honor de Pió vr. Milán to de Febrero. E 1 dia 7 llegó aquí el ciud. Meizi, Vice-Presidente de la República italiana, y fue recibido con salvas de artillería. El mismo dia comió en casa del General Murat, y por la noche concurrió ai t</t>
  </si>
  <si>
    <t>Melchan, Melchor</t>
  </si>
  <si>
    <t>Melchor Melchan</t>
  </si>
  <si>
    <t>...... 122. 24. Id. Melchor Melchan............ Eugenio, Antonia Castro... Villacastin... Segovia........... 232. Id. Andrés Saez....... ................. Manuel, Josefa L</t>
  </si>
  <si>
    <t>MelEn</t>
  </si>
  <si>
    <t>ones de la Consulta extraordinaria, de la qual, según dicen, será Presidente el ciud. MelEn efecto, se sabe que apenas llegó el ctud. Talleyrand á León escribió ¿1 ciud. Marescalchí manifestándole su .deseo de qué atendida su calidad dé Mi nistró dé la</t>
  </si>
  <si>
    <t>Melendez, Joseph</t>
  </si>
  <si>
    <t>Joseph Melendez</t>
  </si>
  <si>
    <t>dro de Mesa, D. Ignacio Olaeta, D. Joaquín Gómez Barreda, D. Benito Santacilia, D. Cosme- Carranza, D. Joseph Melendez, D. Antonio Pareja, D. Francisco Piedrola, D. Fernando Bustillo Cuéva,' D. Francisco Vízcarrondo, D. Santiago Irrisarri y Sarti, D. Joaquín: dé Castañeda , D. Francisco Riquelme ,</t>
  </si>
  <si>
    <t>Melgarejo, Pablo</t>
  </si>
  <si>
    <t>Pablo Melgarejo</t>
  </si>
  <si>
    <t>ple de la parroquial de Sobradillo , en la diócesis de Ciudad-Rodrigo, vacante por fallecimiento de D. Pablo Melgarejo, a D. Eustaquio Diez Montes. En el regimiento de Reates Guardias Españolas se ha servido promover el Rey á Capitán al primer Teniente y Comandante de cazadores Don Francisco Anton</t>
  </si>
  <si>
    <t>Melisen, Capitán</t>
  </si>
  <si>
    <t>Capitán Melisen</t>
  </si>
  <si>
    <t>8 de este mes zarparon de la Rochela las fragatas holandesas Juno, Concordia y Fénix, al mando del Capitán Melisen: llevan baxo su escolta 6 embarcaciones de transporte con tropas para la isla de Java. No tardará en establecerse en esta República la uniformidad de pesos y medidas. Basilea 2 e,</t>
  </si>
  <si>
    <t>Melisse, Capitán</t>
  </si>
  <si>
    <t>Capitán Melisse</t>
  </si>
  <si>
    <t>de Buena E-peranza y las Indias orientales. Se han recibido noticias favorables de lá esquadra del Capitán Melisse, comandante de la legión botara destinada para las Molucas y la isla de Ja-a va: el 3 de Mayo se hallaba sin enfermos ni averías en el puerto de Praya de la isla de Santiago. Tamb</t>
  </si>
  <si>
    <t>Meliton de Ariza, Isidoro</t>
  </si>
  <si>
    <t>Isidoro Meliton de Ariza</t>
  </si>
  <si>
    <t>para otra de la colegial de S. Martin de Helines, diócesis de Burgos, vacante por fallecimiento de D. Isidoro Meliton de Ariza, á D. Francisco de Bustamahíte , Cura Beneficiado de la parroquia del lugar de Sta. María del Hito, en el mismo arzobispado : para el Beneficio de Albacete, en la diócesis; de Car</t>
  </si>
  <si>
    <t>Meliton de Memige, Francisco</t>
  </si>
  <si>
    <t>Francisco Meliton de Memige</t>
  </si>
  <si>
    <t>los dantos mártires Servando y German/patroños deCádiz‘, escrita por el Dr. D. Francisco Meliton de Memige,Canónigo Magistral de la santa iglesia de la misma ciudad,’éxíminador sinodal de su obispado &amp;c. Con motivo de haberse renovado el cuito dé estos Santos mártires en Cédiz, formándose una c</t>
  </si>
  <si>
    <t>Meliton de Nava, Joseph</t>
  </si>
  <si>
    <t>Joseph Meliton de Nava</t>
  </si>
  <si>
    <t>ríguez Valderábano: para la de Algecíras á D. Pedro Benito Vidal: para la de la villa de Medellin á D. Joseph Meliton de Nava: para la de la isla de la Palma , en Canarias, á D. Juan de Mata Franco; y para la del Valle delguña, de nueva creación, á D. Joseph García Tabáres. El Consejo, a consulta de la C</t>
  </si>
  <si>
    <t>Mellon, Agustín</t>
  </si>
  <si>
    <t>Agustín Mellon</t>
  </si>
  <si>
    <t>y D. Joseph Fivadulla, en aritmética: D. Pédro Gómez y D. Rafael Cobian, en aritmética y geometría D. Agustín Mellon, Cadete de carabineros de María Luisa, en geometría: D. Pascual López Villapol y D. Joseph Antelo , en geometrías,, trigonometrías y cosmografía ; y D. Joseph López Villapol, en á</t>
  </si>
  <si>
    <t>Melzi</t>
  </si>
  <si>
    <t>blica italiana, que la elección del Cónsul Bonaparte para Presidente , y la del ciud. Melzi para vice-Presidente. Antes de ayer tarde llegó el General en xefe Murat; el mismo día se cantó un solemne Te Deitm en la iglesia de Sta. Fidel: y por la noche</t>
  </si>
  <si>
    <t>aparte, el inmortal Bonaparte, ha sido proclamado su Presidente; y el excelente ciud. Melzi está nombrado vice-Presidente. Cesó ya la penosa incertidumbre que en todos los corazones infundia inquietud r desaliento; y están ya fundadas las basas de la co</t>
  </si>
  <si>
    <t>Melzi de Eril, Francisco</t>
  </si>
  <si>
    <t>Francisco Melzi de Eril</t>
  </si>
  <si>
    <t>etos que componen los cuerpos del gobierno, y de nombrar por vice-Presidente al ciud. Francisco Melzi de Eril, le llamó el primer Cónsul para que se colocase á su lado: le dio una mano y le abrazó. Toda la Consulta celebró mucho esta señal indeliberada de su afecto. El</t>
  </si>
  <si>
    <t>Mena, Manuel</t>
  </si>
  <si>
    <t>Manuel Mena</t>
  </si>
  <si>
    <t>31. i*. Muerto. Manuel Mena...................... Juan, Teresa Oiaz.............. Ocaña............ Ocafla.............. 47. 14. Id. Gerónimo Fernandez...... Antonio, Bernarda Herrero..........................</t>
  </si>
  <si>
    <t>Meñaca y Arechaga, Francisco</t>
  </si>
  <si>
    <t>Francisco Meñaca y Arechaga</t>
  </si>
  <si>
    <t>en, Don Domingo de Paz, D. Aiexandro Morales,D.Pedro Joseph de Lemus, Don Manuel Arcavna y Ximenez, D. Francisco Meñaca y Arechaga, D. Justo Arison yRooaud, D. Pedro Iriarte y Zerezera, D. Joseph Sáavedra y Chaves, D. Miguel Basabru, £&gt;. Ramón Pardo y Lama, D. Francisco Ruiz de la Escalera, D. Juan Venéro y S</t>
  </si>
  <si>
    <t>Mendez Benesasi, Manuel</t>
  </si>
  <si>
    <t>Manuel Mendez Benesasi</t>
  </si>
  <si>
    <t>ph Guillen* y én él batallón dé .cazadores Voluntarios dé Barbastro á segundo Subteniente aP Cadete D. Manuel Mendez Benesasi: y ha nombrado el Rev en el oeToIeao jjarael empleo d^Capellán al Presbítero D. DiegoVazquez Buceta. Mn América. El Réy se na Servido nombrar para el Deanato de la</t>
  </si>
  <si>
    <t>Méndez Cabezas, Santiago</t>
  </si>
  <si>
    <t>Santiago Méndez Cabezas</t>
  </si>
  <si>
    <t>nandez de la Llave: |^ar?r0trp.de g^r^qiaiíi. de,S.:Ped«)rde,1a misma villa, Vacante por muerte de D. Santiago Méndez Cabezas-, á,E&gt;. Luis Ramón García;.y para ptrpr^imple„|le la parrpgpiidíd^ §^aptf María de la ciudad de T ari la, en ía dióce sis, de Cádiz, vacan te por fallecimiento de Don üV^jlrTrí..-</t>
  </si>
  <si>
    <t>Mendez de la Parra, Pedro Joseph</t>
  </si>
  <si>
    <t>Pedro Joseph Mendez de la Parra</t>
  </si>
  <si>
    <t>roncoso, y para la Media-Ración, vacante en la referida iglesia por muerte de D. Manuel Caviedes, á D. Pedro Joseph Mendez de la Parra, Capellán del monasterio de religiosas Carmelitas .descalzas del Potosí. El 16 de Diciembre último falleció en esta corte á los 36 años y medio de edad la Exenta. Sra. Doña María</t>
  </si>
  <si>
    <t>Mendez de Vigo, Francisco</t>
  </si>
  <si>
    <t>Francisco Mendez de Vigo</t>
  </si>
  <si>
    <t>I Rey se ha servido nombrar para la Canongía de la catedral de Oviedo, vacante por fallecimiento de D. Francisco Mendez de Vigo, á Don Manuel Martin: para otra, vacante en la de Málaga por muerte de D. Miguel Gainza, á D. Domingo de la Casa: para la Prestamera de la parroquia de Tresjuncos, en la diócesis</t>
  </si>
  <si>
    <t>Mendez de Vigo, Pedro</t>
  </si>
  <si>
    <t>Pedro Mendez de Vigo</t>
  </si>
  <si>
    <t>os al Ayudante del de la Princesa D. Félix Ochoa: en el de Asturias á segundo Subteniente al Cadete D. Pedro Mendez de Vigo: en el de Cazadores voluntarios de la Corona á primer Teniente al segundo de gastadores D. Juan Rancourt, y á esta resulta al segundo Teniente D. Marcos Aragonés; y en el de Suizo</t>
  </si>
  <si>
    <t>Mendez, Bernardo</t>
  </si>
  <si>
    <t>Bernardo Mendez</t>
  </si>
  <si>
    <t>d-Real. .55- 6. Id. Bernardo Mendez.. Cayetano, María Torres... Bembibre.... León.............. 476. Z8. Id. Diego Meta......... . Pedro, Catalina Sua</t>
  </si>
  <si>
    <t>Mendez, Francisco</t>
  </si>
  <si>
    <t>Francisco Mendez</t>
  </si>
  <si>
    <t>acristía del lugar de Masueco, en el obispado de Salamanca, vacante por dimisión que ha hecho de él D. Francisco Mendez, á D. Miguel Salamanca Cubi ano , con la obligación de precisa y personal residencia; y para otro de Vúlamieva del Arzobispo, en la diódesis de Jaén, vacante por muerte de D. Juan</t>
  </si>
  <si>
    <t>Mendez, Joseph Esteban</t>
  </si>
  <si>
    <t>Joseph Esteban Mendez</t>
  </si>
  <si>
    <t>ardo; Subteniente de granaderos al de fusileros D. Joseph Ramón de Isla, y Subteniente de bandera á D. Joseph Esteban Mendez. También ha conferido el Rey en el batallón Auxiliar ael Nuevo Reyno de Granada la Ayudantía mayor al Capitán graduado D- Nioasio Dabouza, Ayudante mayor agregado al mismo cuerpo;</t>
  </si>
  <si>
    <t>Méndez, Juan</t>
  </si>
  <si>
    <t>Juan Méndez</t>
  </si>
  <si>
    <t>n Fatqués, ,t I&gt;. Manuel Dambrihe, D. Francisco Perez Brito , D. Juan Joseph Cana*,D'&lt;Pedro García, D. Juan Méndez, D. Rafael Morales,. Agustín Arenas, D. Juan Amaro Pestaña, D. Manuel Fernandez, D. Miguel Texedor, D. Joseph de los Ríos, D. Guillermo Roo, IX Juan Antonio Heredia, D. Joseph de</t>
  </si>
  <si>
    <t>Méndez, Santiago Antonio</t>
  </si>
  <si>
    <t>Santiago Antonio Méndez</t>
  </si>
  <si>
    <t>las tareas de la academia. El Rey se ha servido nombrar para el Deanato de la catedral de Soísona á D. Santiago Antonio Méndez : para el Arcedianato de Ayilon , Dignidad de la catedral de Sigüenza , que resultará vacante por la premoción de D. Miguel Alonso y Alcalá á una Canongía de Cuenca, á D.Pascual L</t>
  </si>
  <si>
    <t>Mendinueta, Francisco</t>
  </si>
  <si>
    <t>Francisco Mendinueta</t>
  </si>
  <si>
    <t>Salas Boxadors, Don Alonso Yusti y Herrera, D- Torquato Piedrola y Verdugo, D. Luis Cris y Sansón, D. Francisco Mendinueta, D. Joseph Orozco, y Herrera , D. Manuel Barruchi, D.Francisco Lafita, D.:Francisco Benitez y Antunez, Don Joaquín Gómez García, D.Pablo de la Puerta, D. Joseph Ruiz'Huidobrq, Di</t>
  </si>
  <si>
    <t>Mendivil y Castañeda, Joseph</t>
  </si>
  <si>
    <t>Joseph Mendivil y Castañeda</t>
  </si>
  <si>
    <t>a y Seix, D. Bartolomé Arguelles y Valdes, D. Femando Becerra .y Solis, D. Rafael Bobadilla y Pery, D. Joseph Mendivil y Castañeda, Don Antonio Saavedra y Jofre, D. Vicente Valcarcel y Qconri, D. Joseph Primo de Rivera, D. Salvador Ortuño-y Castañon , D. Antonio Villaviqencio, D. Joseph Delgado y Guerra, D. J</t>
  </si>
  <si>
    <t>Mendizabal, Gabriel</t>
  </si>
  <si>
    <t>Gabriel Mendizabal</t>
  </si>
  <si>
    <t>de Castro, D. Roque Antía, D. Antonio Darcourt, D. Tomas Kindelan , D. Juan de Dios Alvarez Ordoño, D. Gabriel Mendizabal, D. Ignacio Martinez Vallejo, D. Matías Piriz, D. Pedro Baylin, D. Bartolomé de Castro, D. Santiago Puig, Don Francisco Cortabarria, D. Antonio Maestre, D. Fernando Manuel de Vill</t>
  </si>
  <si>
    <t>Mendízabal, Joseph</t>
  </si>
  <si>
    <t>Joseph Mendízabal</t>
  </si>
  <si>
    <t>e parecía posible que cupiese en sus rentas. Don Juan Aguado Muzquet remitió el 11 del mes último á D. Joseph Mendízabal , vecino de la ciudad de S. Sebastian , 7 vales Reales de 600 pesos, creación de i.° de Enero , números 363,739, 359,697, 371,582 5 371,806, 373,155, 373,481 y 376,78:5. Y habiénd</t>
  </si>
  <si>
    <t>Mendoza, Francisco</t>
  </si>
  <si>
    <t>Francisco Mendoza</t>
  </si>
  <si>
    <t>..... 1267. 27. Id. Francisco Mendoza........ . Josef, Martina García....... La Vera de... Plasencia........ 402. 4, Muerto. Julián Ponce........................ Gregorio, María Canal..... Puebla de.... Sa</t>
  </si>
  <si>
    <t>Menendez, Juan</t>
  </si>
  <si>
    <t>Juan Menendez</t>
  </si>
  <si>
    <t>. Mauricio Alva-, rez, D, Manuel Hinojosa, D. Joaquín Luyando, D. Juan Bosa, D. Bas^ cual Martinez, D. Juan Menendez,' D. Baltasar García Galio, D. Francisco Perea, D. Francisco Malpica y D. Alexandro Rivacoba. JSn América. El Rey se ha servido nombrar para el Deanato de la santa iglesia de la C</t>
  </si>
  <si>
    <t>Menendez, Vicente</t>
  </si>
  <si>
    <t>Vicente Menendez</t>
  </si>
  <si>
    <t>Togórés \ D*. Oa* brielSalas .Boxadors, D. Pedro de vRueda )^á^raeErr&amp; Cayetano Lobaton y,Cerrión,. D. Vicente Menendez :Go yeil*. D. Joseph Ballesteras y Fermosel!D. Lucas de Goy cochea* 0. Andrés Santiso y Serántes, Dea Antonio Montenegro Espantoso, 0. Pedro Hurtado de Corcuera, D. Simón Londoño</t>
  </si>
  <si>
    <t>Meneos, Manuel</t>
  </si>
  <si>
    <t>Manuel Meneos</t>
  </si>
  <si>
    <t>oseph Éscovedoj Di Pedro Linares, D. Manuei^le San Pedro, D. Ramón de la Cuesta, D. Lorenzo Arroyo, D. Manuel Meneos, D. Joseph Imaz, D. Joseph Martínez, D. Rodrigo Medrano, D. Bartolomé Monta! ño, D. Joseph Gómez deLatorre, D. Antonio Sarmiento, D. Antonio Hermosiíla, D. Joseph Bonicelii, D. Jo</t>
  </si>
  <si>
    <t>Meneses, Joseph</t>
  </si>
  <si>
    <t>Joseph Meneses</t>
  </si>
  <si>
    <t>Miguel Irigoyen, D^Joan Mesías* y D. Tomas Avalde. ' A Capitanes de Fragata los Tenientes de Navio D. Joseph Meneses, D. Juan Antonio Careaga, D. Vicente Foxa y Montúfar, D. Rosendo Porlier, D. Joseph Iturrigaray, D. JuanBernazi y Retamar, D. Ramón Blanco Criado, D. Pedro Valencia, D. Tomas rand</t>
  </si>
  <si>
    <t>Mengs, Rafael</t>
  </si>
  <si>
    <t>Rafael Mengs</t>
  </si>
  <si>
    <t>pa de Ntra. Sra. con su hijo en los brazos, en medio pliego de marca mayor , pintada por el célebre D. Rafael Mengs, grabada por D.Manuel Esquive!. Se hallará á lors. en la calcografía establecida en la imprenta Real. El 13 de Febrero D. Manuel Cebrian é hijo, de Valencia, remitieron y endosaro</t>
  </si>
  <si>
    <t>Ménica, Manuel</t>
  </si>
  <si>
    <t>Manuel Ménica</t>
  </si>
  <si>
    <t>Fernando San Millan: eii el de Zamora á segundo Subteniente al Cadete del de cazadores de la Corona D. Manuel Ménica: en el de Granada i. primer Teriierite al segundo de granaderos D. Antonio Ximenez, y á seundo Teniente de granaderos al de fusileros D. Diego Pascual: en el de f 'oledo á segundo</t>
  </si>
  <si>
    <t>Menoiij-y, General</t>
  </si>
  <si>
    <t>General Menoiij-y</t>
  </si>
  <si>
    <t>os transportes que han llevado á Francia las tropas del General Belliard, para embarcar en ellos al General Menoiij-y los 45-00 hombres del cuerpo de su mando, de los quáles ¡a mayor parte están enfermo? ó heridos. Al mismo tiempo saldrá de allí el exército ingles, y solamente quedarán por ahora 5® c</t>
  </si>
  <si>
    <t>Menou</t>
  </si>
  <si>
    <t>testimonio de todo ello a BonapartEÍ Senado conservador ha nombrado Tribuno al ciud. Menou, General de Han decretado los Cónsules que luego que se tremole la bandera de la República en las islas de la Martinica, Sta. Lucia y Tabago, el pueblo v Serte</t>
  </si>
  <si>
    <t>Menou, General</t>
  </si>
  <si>
    <t>General Menou</t>
  </si>
  <si>
    <t>en mas de 3 millones de francos. El consejo de guerra de Alexandría volvió á juntarse por orden del General Menou el 31.de Agostó, para enredarse de las respuestas del General ingles abproyecto.de capitulación acordado el 28 , y propuesto el jo,: y unánimemente se decidió que el General en xefe</t>
  </si>
  <si>
    <t>municiones &amp;c., y todo se llevará al puerto de la República francesa del Mediterráneo que elija el General Menou. Resp. Las tropas francesas de mar y tierra, las auxiliares, y demas personas mencionadas en el artículo 4.0, se embarcarán en los puertos de Alexandría, si en. fuerza de un conve</t>
  </si>
  <si>
    <t>hecho sobre las diversas clases de habitantes de Egipto , sus costumbres, usos &amp;c. „ Al evacuar el General Menou á Alexandría logró conservar y traer a Francia varias colecciones hechas en aquel país por los miembros del instituto y por la junta de artes.'Solamente han quedado■.■en poder de</t>
  </si>
  <si>
    <t>exandría contiene las siguientes circunstancias: ,, Algunos dias después que salió de Alexandría el General Menou, fueron 4 Beyes desde elCayro á visitar al Capitán Baxá, que estaba campado á 2 le</t>
  </si>
  <si>
    <t>239 El General Belliard, que quedó mandando en el Cayro quando salló de allí el General Menou para Alexandría, llegó el 2 de este mes al puerto de Sables en el departamento del Vendée, en donde visitó á su familia; y el dia 4 salió de allí para Fontenai. El ciud. Geofíroy,</t>
  </si>
  <si>
    <t>nes. El Coronel Riomier ha traído de Egipto en un buque de guerra un trozo de granito negro, que el General Menou halló en Roseta,y se disponía a enviarle á Francia. Tiene 3 inscripciones en 3 diversas lenguas y y de distintos caracteres : la primera está en geroglíficos, la segunda en cophtó</t>
  </si>
  <si>
    <t>xonia , eL qual se despedia ; ry Mr. Doorman , Síndico de Hambprgo. . . . : &gt; Ha llegado á París el General Menou, y ha. sido presentado al primer Cónsul;, que le recibió cón mucha distinción. Díxole Menou: ,,Cónsul, al presentarme á vos^seme repuqva vivamente el. dolor de, haber visto perder</t>
  </si>
  <si>
    <t>Meóeiidéz, Rafael Francisco</t>
  </si>
  <si>
    <t>Rafael Francisco Meóeiidéz</t>
  </si>
  <si>
    <t>dé diezmos dél arzobispado de liimaV vacante pór falléciiíuénto:' de Di-Felipe Manrique de Larai á D. Rafael Francisco Meóeiidéz , Tesóreiro que fue de Temporalidádes en dicha ciudad. ^ - i; f \: / ¿ El Consejo, á consulta dé la Comisión gubernativa, y con aprobación di:S. M., ha fesüéko la quadragesimasegu</t>
  </si>
  <si>
    <t>Mercado, Joseph</t>
  </si>
  <si>
    <t>Joseph Mercado</t>
  </si>
  <si>
    <t>nía D. Francisco de Armenta, y resulta vacante por haber pasado á Racionero de aquella catedral , á D. Joseph Mercado : para otro de la villa de la Fuente de Pedro Narro, en la diócesis de‘Cuenca, vacante por renuncia que lia hecho de él D. Juan Diego Duro y Solanop á Fr. Juan de Almaraz: para el</t>
  </si>
  <si>
    <t>Merchan, Miguel</t>
  </si>
  <si>
    <t>Miguel Merchan</t>
  </si>
  <si>
    <t>28. 12. Id. Miguel Merchan... Andrés , Ana Bueno........... Casaseca....... Zamora......... 2. 10. Licenciado. Manuel Paradela...</t>
  </si>
  <si>
    <t>Merendó, Miguel</t>
  </si>
  <si>
    <t>Miguel Merendó</t>
  </si>
  <si>
    <t>80. 39. Id. Miguel Merendó.. r « « • i « « t 4 Yillarejo........ Cuenca......... Sebastian López.</t>
  </si>
  <si>
    <t>Mergelina y Silva, Joseph</t>
  </si>
  <si>
    <t>Joseph Mergelina y Silva</t>
  </si>
  <si>
    <t>Butron y Cortés, D: Joseph Rodríguez de Arias, D. Anselmo G -m^ndio , D. Francisco Osorio y Vargas, D. Joseph Mergelina y Silva, D. Martin Iriarte, D. Vicente de Flores VülamiJ,^. Francisco .Füente^Bircancgra, D. Juan Coronado, D. Joseph Doronzoro, D« Joseph R.eynoso Roldan , 0. Angel Crespo Martínez, D. J</t>
  </si>
  <si>
    <t>Meric, Juan</t>
  </si>
  <si>
    <t>Juan Meric</t>
  </si>
  <si>
    <t>mez, D. Cándido Higuera, D. Diego Navarro , D. Bernardo Luque, D. Rafael Pezzino, D. Luis Ranea ño, Don Juan Meric, D. Antonio Bocarro, D. Juan Feliu, D. Juan Desnaux, Don Manuel Vigil de Quiñones, D. Joseph Ponce de León, D. Francisco Soler, el Conde de Maceda, D. Joseph Bermudez de Castro, D</t>
  </si>
  <si>
    <t>Merino Gómez, Juan</t>
  </si>
  <si>
    <t>Juan Merino Gómez</t>
  </si>
  <si>
    <t>tarios de Cartagena al Subteniente D. Joseph María Prieto del Campillo i y Subtenencia de bandera á D. Juan Merino Gómez. Igualmente se ha servido el Rey promover en el regimiento de infantería de Milicias de Voluntarios de Santa Marta á Tenientes á D. Manuel Conde, Subteniente de la compañía de Art</t>
  </si>
  <si>
    <t>Merino y Zapata, Diego</t>
  </si>
  <si>
    <t>Diego Merino y Zapata</t>
  </si>
  <si>
    <t>or de la de Málaga á D. Benito Saiz de Villegas: para la primera de la de Córdoba, que este dexa, á D. Diego Merino y Zapata: para la de Murcia á D. Joseph Ximenez de Cenarve: para la de la villa de Don Benito á D. Ramón Satué; y para la de Alcalde mayor de la villa de Socuéllamos, territorio de la orde</t>
  </si>
  <si>
    <t>Merino, Francisco</t>
  </si>
  <si>
    <t>Francisco Merino</t>
  </si>
  <si>
    <t>ancisco Marcó del Pont, D. Juan Martí Mofa, D. Alonso Morales, D. Nicolás de Mora, D. Fermín Roméo, D. Francisco Merino, D. Manuel María Pus* terla, D. Francisco Ayóla, D. Juan Tarrius, D. Manuel de Miedes, Don Francisco Dionisio Vives, D. Joseph Canellas, D. Joseph García Orozco, D. Joaquín Regnar</t>
  </si>
  <si>
    <t>Merino, Joaquín</t>
  </si>
  <si>
    <t>Joaquín Merino</t>
  </si>
  <si>
    <t>145. 33. Dispersos. Joaquín Merino......... Villadiego. .. Búrgos....... 156. 27. Id. Antonio Fernandez....;...- R i vad</t>
  </si>
  <si>
    <t>Merino, Romualdo</t>
  </si>
  <si>
    <t>Romualdo Merino</t>
  </si>
  <si>
    <t>emiados D. Pablo Alonso, D. Agapito Martínez, D. Pedro del Caño y D. Joseph Gallarte. En la segunda D. Romualdo Merino» D. Nicolás Casaba!, Dpn Nicolás Ramírez, D. Lucas de Soto, D. Fructuoso Cariñena, D* Patricio Gómez, D. Manuel Martínez-, D. Dionisio Pinedo, D. HemeterioMdtetio* D. Anacleto Orb</t>
  </si>
  <si>
    <t>Merlo, Nicolás</t>
  </si>
  <si>
    <t>Nicolás Merlo</t>
  </si>
  <si>
    <t>religiosas de Sta. Clara de la villa de Tordesillas y obispado de Valladolid, vacante por muerte de D. Nicolás Merlo, á D. Manuel Gregorio Angelón y Arhueso. En el regimiento rde Reales Guardias Españolas se ha servido promover S*» M: ¿-'Sargento mayor al Comandante'de batallón, graduado de Brig</t>
  </si>
  <si>
    <t>Merlos, Ignacio</t>
  </si>
  <si>
    <t>Ignacio Merlos</t>
  </si>
  <si>
    <t>paran , D. Francesco Alburquerque, D. Blas González, D. Juan María de Soto, D. Francisco Caballero, D. Ignacio Merlos, Don Lorenzo Burgos^, D. .Joseph Arata,p. Ildefonso Larrauri ,D. Tomas ligarte, D. Ignacio de; la Luz, D. Francisco Sánchez, p. Joseph Aymericb, D. Jacobo Dubrevil , D. Francisco</t>
  </si>
  <si>
    <t>Merri</t>
  </si>
  <si>
    <t>állase ya de vuelta en esta ciudad Mr. Jackson, que durante las negociaciones de Amiens reemplazó á Mr. Merri como Ministro de Inglaterra en París.</t>
  </si>
  <si>
    <t>Merry</t>
  </si>
  <si>
    <t>exteriores se previene que las personas que deseen ir á Inglaterra deben presentar sus pasaportes á Mr. Merry, Ministro plenipotenciario de S. M. Británica en París , para que los reconozca y les dé el pase: con cuyo requisito experimentarán ménos detención y estorbos en su viage. Ha seña</t>
  </si>
  <si>
    <t>sento .ai^pirin^fe^áhsdlfxltiríficipé fdérCasteífráncOv"Émb^^ado^ic|e#mísi* mo Soberano lem Viena.^ Mr. Merry - ,p MifiEtro plenipotéficikrid-bef fi£» Bbtámca/presentólcs ¡Lores Hoiland y Cloncutry, y otros -19 sugetbi</t>
  </si>
  <si>
    <t>rsonas á Mr. de Tscherneswitsch, Consejero de colegio y empleado en la Embaxada de Rusia en España. Mr. Merry, Ministro de S. M. Británica, presentó 4 36 ingleses, entre ellos el General Lord Carhamiptñtt * f varios oficiales de</t>
  </si>
  <si>
    <t>Meruéndano, Pedro</t>
  </si>
  <si>
    <t>Pedro Meruéndano</t>
  </si>
  <si>
    <t>tería de Granada Compañías al Cápitan agregado D. Pedro Montero, y al primer Teniente de granaderos D. Pedro Meruéndano: en el de Asturias Ayudantía al primer Teniente D. Salvador Mazeres: en el de Ultonia primera Subtenencia al segundo Subteniente D. Manuel Estrada; y segundas Subtenencias al Sarg</t>
  </si>
  <si>
    <t>Mesedo, Felipe</t>
  </si>
  <si>
    <t>Felipe Mesedo</t>
  </si>
  <si>
    <t>....... 310. 7. Id. Felipe Mesedo......... Juan , Dorotea Estirada... Arcones.......... Pedrosa......... 175. 29. Licenciado. Francisco Martínez. Miguel, Basil</t>
  </si>
  <si>
    <t>Meseguer, Francisco</t>
  </si>
  <si>
    <t>Francisco Meseguer</t>
  </si>
  <si>
    <t>do y siguen vacunándose como á porfía varias gentes de todas clases, sexos y edades. Los profesores D. Francisco Meseguer, médico , D. Jayme Cebrian, D. Juan de Alarcon y D. Andrés Martínez , cirujanos, han acompañado al referido profesor é imitado su fácil y sencillo método, y, continúan propagando</t>
  </si>
  <si>
    <t>Mesía y Caycedo, Joseph</t>
  </si>
  <si>
    <t>Joseph Mesía y Caycedo</t>
  </si>
  <si>
    <t>de Oidor de la Real Audiencia .de México, vacante por fallecimiento de D. Juan Francisco de Anda, á D. Joseph Mesía y Caycedo, Alcalde del Crimen de la propia Audiencia. . : - i El'Gonsejo, iL consulta de la Gomision gubernativa^y con aprobación de S. M* »lha acordado que se amorticen i So Vales de ooo p</t>
  </si>
  <si>
    <t>Mestraene--Theniaat</t>
  </si>
  <si>
    <t>lín al .ciud. Stagendorp; en Viena al ciud. Spaan Vorstonde, y en. Stockolmo al ciud. Mestraene--Theniaat. El Almirante Dewinter llevará á las potencias berberiscas los regalos que el gobierno les envia ordinariamente por la libertad de la navegación bátava en el M</t>
  </si>
  <si>
    <t>Meta, Diego</t>
  </si>
  <si>
    <t>Diego Meta</t>
  </si>
  <si>
    <t>...... 476. Z8. Id. Diego Meta......... . Pedro, Catalina Suarez.... Arcos de la Frontera....... 640. 4. Muerto. Pablo Gómez........... Luis, Ana Roxo........</t>
  </si>
  <si>
    <t>Metaxa, Conde</t>
  </si>
  <si>
    <t>Conde Metaxa</t>
  </si>
  <si>
    <t>r en la iglesia le cerraron las puertas. Sin embargo de los decretos del pueblo pasó á visitarle el Conde Metaxa; pero al salir de su visita fue preso: luego le desterráron con toda su familia, y le confiscáron los bienes. La plebe amenazaba continuamente á ios nobles, los quales no se atrev</t>
  </si>
  <si>
    <t>Metcheil y del Contra-Almirante Campbell, Almirante</t>
  </si>
  <si>
    <t>Almirante Metcheil y del Contra-Almirante Campbell</t>
  </si>
  <si>
    <t>están prontos á zarpar tres navios de 98 cañones, uno de 84 y tres de 74, baxo las órdenes del Vice-Almirante Metcheil y del Contra-Almirante Campbell. Dichos buques han tomado víveres pata 6 meses: Créese que van á Jamayca. El -resto de la esquadra reunida 'en aquel puerto sigue haciendo disposiciones para salir. Monseñor Erski</t>
  </si>
  <si>
    <t>Metchell, Almirante</t>
  </si>
  <si>
    <t>Almirante Metchell</t>
  </si>
  <si>
    <t>. S. el Duque de $axonia-Meimengen y un secretario. Lóndres 1 de Enero de 1802. L a esquadra que el Almirante Metchell mandaba en la bahía de Bantri, volvió ayer á Portsmouth. Su regresóla aquel puerto prueba evidentemente que este comandante no tenia órdenes de seguir á los navios franceses que s</t>
  </si>
  <si>
    <t>Metchpr Chacel de Soto</t>
  </si>
  <si>
    <t>una Media^Racicm de ja catedral de^Valládolid, vacante"’por muerte de D. Prudencio‘Lope* Morón , á D. Metchpr Chacel de Soto.5 ’ &lt;rt t r. - j míí- i i- t &lt; 3 o* ’ cRl R ey? te bá Séiryíáb éonferir el empleo Be segundo Teníente dé la Real compañía de Alábátdéroí al MaRscal de&lt; Campo Marques de^Campo Real</t>
  </si>
  <si>
    <t>Metcliell, Almirante</t>
  </si>
  <si>
    <t>Almirante Metcliell</t>
  </si>
  <si>
    <t>entrado en Portsmouth un parlamentario con aviso de haber salido de Brest la escuadra francesa. El Almirante Metcliell tenia orden de ir siguiendo á dicha esquadra hasta Sto. Domingo *. y a este efecto V ^ barcaciones á ciertas distancias para que le diesen aviso de la salida de aque11«l$ fuerzas</t>
  </si>
  <si>
    <t>Metternich, Conde</t>
  </si>
  <si>
    <t>Conde Metternich</t>
  </si>
  <si>
    <t>de Saxouia en calidad de Ministro plenipotenciario de la República francesa. Pocos días ántes , el Conde Metternich— Winneburg, Ministro de S. M. Imperial, tuvo también su primer audiencia del mismo Príncipe. Según las últimas cartas de Ratisbona no se mira como probable que la Dieta del Imperi</t>
  </si>
  <si>
    <t>Metzger</t>
  </si>
  <si>
    <t>rlinas, ó 1.248,000 pesos. Haya 17 de Diciembre. E ste gobierno' ha nombrado al ciud. Metzger por Embaxador en la corte de Madrid en lugar del ciud. Valckenaer. Las inundaciones han cáusado en las provincias de Frisia y Texel daños iguales á los padecid</t>
  </si>
  <si>
    <t>Metzger, Tomás</t>
  </si>
  <si>
    <t>Tomás Metzger</t>
  </si>
  <si>
    <t>i primer Subte-, ñiente D. Guillermo de Luna ; y en ei de Suizos de Rutiman á Subteniente al Cadete D. Tomas Metzger. Él día 28 de Julio próximo se execntará la quema de ios Vales de 300. pesos de Febrero de 179?, y de los de 6ooy i5ode 1 $ de Marzo del mismo, año; y estando mandado por S. M. en</t>
  </si>
  <si>
    <t>Metzguer, Joseph</t>
  </si>
  <si>
    <t>Joseph Metzguer</t>
  </si>
  <si>
    <t>ionisio Sánchez, D. Joseph Chardenoux, D. Joaquín de la Hoz, D. Mateo Rodrigue?, D. Gervasio Gasea, D. Joseph Metzguer; y áD. Ignacio Paino y Mateos, grado de Milicias. En América, D. Pedro Salcedo, D. Francisco de Torres, D. Cárlos Larras, D. Joseph del Castillo, D. César Baibiam, D. Bartolomé Ar</t>
  </si>
  <si>
    <t>Mexia, Francisco</t>
  </si>
  <si>
    <t>Francisco Mexia</t>
  </si>
  <si>
    <t>món Fuentes, D. Manuel de Madrigal, D. Narciso Bernales; D. Fernando Orive, D. Francisco de Castro,.D. Francisco Mexia, D. Juan Joseph Indafmtu, D. .Juan Fatqués, ,t I&gt;. Manuel Dambrihe, D. Francisco Perez Brito , D. Juan Joseph Cana*,D'&lt;Pedro García, D. Juan Méndez, D. Rafael Morales,. Agustín Ar</t>
  </si>
  <si>
    <t>Mexía, Joaquín</t>
  </si>
  <si>
    <t>Joaquín Mexía</t>
  </si>
  <si>
    <t>ot. ' _ t También se ha servido S. M. conferir Compañía en el regimentó de caballería del Infante á D. Joaquín Mexía, Cadete de la compañía Flamenca del Real cuerpo de Guardias de Corps. . , , f n América. El Rey se ba servido nombrar para una Ración de la catedral del Nuevo Reyno de León en la</t>
  </si>
  <si>
    <t>Mexía, Luis</t>
  </si>
  <si>
    <t>Luis Mexía</t>
  </si>
  <si>
    <t>s á Alférez al Cadete D. Diego Duran: en el de Voluntarios de Escaria á segundo Teniente al Alférez D. Luis Mexía; yen el de Carabineros *de la Reyna María Luisa á segundo Teniente al Alíéiez D. Blas de Vidarte. También se ha servido S. M. promover en el regimiento de dragones del ley á Ayuda</t>
  </si>
  <si>
    <t>Mey</t>
  </si>
  <si>
    <t>ana sus. credenciales al. gobierno, de estado. ;i&lt; i! Ha ido de aquí á París el ciud. Mey para servirla secretaría de ^aqueila embazada bátava. U, e.'C: ?■ ;1 Está nombrado el ciad. Apostool por Comisario de,Relaciones;mercáa«i ticales de esta Repúb</t>
  </si>
  <si>
    <t>Méy, General</t>
  </si>
  <si>
    <t>General Méy</t>
  </si>
  <si>
    <t>nrotros y/6 ..hombres que venían de fíuninga y.van á Zurich;, Aráiu &amp;c.. JLunégoí que llegó aquk ei General Méy^expidió íÓid0n^iar:qúé *ifiiése^ festaciüdad un bitaUQk.de trop¿s;|rábcesa$i^'el-4^ihci^^d efectivamente el J23 /parda tarde. La,llega da :de restas ttíppa^ y ^lasque hanentrado é</t>
  </si>
  <si>
    <t>Meyenfisch, General</t>
  </si>
  <si>
    <t>General Meyenfisch</t>
  </si>
  <si>
    <t>Senado nombrará el nuevo Consejo encargado de la execucion de las leyes. , : Ha ,muerto en-Berna el General Meyenfisch, y el dia 27 se le dio sepultura con todos los honores militares, asistiendo á sus funerales los xefes civiles y militares, y muchos empleados públicos. Jioma x 3 de Enero. E 1 10</t>
  </si>
  <si>
    <t>Meyer</t>
  </si>
  <si>
    <t>arácter. Acaba de comprar S. M. en 4® thalers el precioso gabinete de medicina y física del difunto Dr. Meyer, y lo ha enviado á la universidad de Francfort del Oder. Munich 24 de Febrero. N o ha llegado á firmarse el convenio que se aseguró estaba ajustado entre Mr. de Mongelas y el Baró</t>
  </si>
  <si>
    <t>Meyer, Coronel</t>
  </si>
  <si>
    <t>Coronel Meyer</t>
  </si>
  <si>
    <t>taña de Zurich y se extendió hastaKloteo. Intimidado con M elrveeipdario envió ai ciud. Hirzel y al Coronel Meyer para arreglar un convenio con el General Andermatt. Este lés propuso los tres artículos siguientes1.® Que todos los vecinos entregasen las armas. 2.* Que se pagasen á la tesorería</t>
  </si>
  <si>
    <t>Meyner</t>
  </si>
  <si>
    <t>elve de Copenhague ; al ciud. Semonville, que viene del Haya con licencia, y al ciud. Meyner, nombrado Ministro plenipotenciario de la República bátava para residir en Madrid. Ha llegado á París la Princesa de Saboya Carinan, que estaba en Saxonia. El</t>
  </si>
  <si>
    <t>Meyner, Carlos</t>
  </si>
  <si>
    <t>Carlos Meyner</t>
  </si>
  <si>
    <t>adeo Muniesa, D. Fernando Bienpica, D. Juan O-Snlivan, í). joseph de la Valle , Don Joseph Alvarez, D. Cárlos Meyner, D. Francisco Rodríguez , D. Tolhas Rocamora, D. Agustín Pinedo, D. Antonio Cordero,. D. Pedro Villaescusa, D. Miguel Emparan , D. Francesco Alburquerque, D. Blas González, D. Jua</t>
  </si>
  <si>
    <t>Miaría Benita Guerra Lirón</t>
  </si>
  <si>
    <t>Lorenzo y villa del Escurial , a instancia de ‘Fernando Yebrftx Pimentel , vecino de ella, viudo de Doña Miaría Benita Guerra Lirón , natural de la villa de Cienpozuelos, arzobispado de Toledo, hija legítima de D. Luis Fernandez Guerra, natural de dicho Cienpozuelos, y de Doña María Antonia Liroq de Robles , n</t>
  </si>
  <si>
    <t>Michaux, Andrés</t>
  </si>
  <si>
    <t>Andrés Michaux</t>
  </si>
  <si>
    <t>natural: extracto de la historia dé las encinas de la América septentrional deí ciud. Andrés Michaux. Se, hallará en el despacho de la imprenta Real. Él 29 de Mayo se perdió un vale Real de 300 pesos, creación de i.° de Mayo, núm. 425,415, renovado en cabeza d</t>
  </si>
  <si>
    <t>Michelena y Moreno, Juan</t>
  </si>
  <si>
    <t>Juan Michelena y Moreno</t>
  </si>
  <si>
    <t>rcelo Federici, D. Roque GWrqceta , D. Pedro ¿Je PqrfíSr y Escribano, D. Domingo Navarro y Torres , D. Juan Michelena y Moreno, D. Pedro Cortazar y Abarca, D. Isidro Cortazar: y Abarca, y D. Ramón de Salas Boxádors. / . t . A Tenientes de IFragata los Alféreces de Navio , * D. Joseph Arguelles, D. Félix P</t>
  </si>
  <si>
    <t>Miechelson, General</t>
  </si>
  <si>
    <t>General Miechelson</t>
  </si>
  <si>
    <t>do anteriormente en Constantmopla, y luego le llamó á esta capital el difunto Emperador Paulo i. £1 General Miechelson fué el que presentó al Emperador la sentencia del Consejo de Guerra que condenó á una muerte cruel al oñcial de Guardias que se hirió á ú mismo, suponiendo después que había habid</t>
  </si>
  <si>
    <t>Mignel García</t>
  </si>
  <si>
    <t>, para que en el término de 30 dias perentorios comparezcan ante S. S. y escribanía de provincia de D. Mignel García 4e la Madrid , í deducirle con la debida justificación,</t>
  </si>
  <si>
    <t>Migóel Pascual de Bustamante</t>
  </si>
  <si>
    <t>M. se ha servido nombrar para la Canongfa de la catedral de Calahorra, vacante por fallecimiento de D. Migóel Pascual de Bustamante, á D. Joseph Ventura Duro.; Él Rey se ha dignado nombrar Cadete supernumerario de la Compañía Española del Real cuerpo de Guardias de Corps al Guardia de la misma Compañía D. Toma</t>
  </si>
  <si>
    <t>Migtíel Merlos y Basabilbaso</t>
  </si>
  <si>
    <t>1&gt;; ;Bo^itó\Gorir«k .y HeAíique*, ’Dóíi Francisco- Correa y Henriquez, D. Jós^ph Jalón y Bañuéió$y D. Migtíel Merlos y Basabilbaso, D Joseph Camaño y Homero, D. Benito^©átísoain^ Perez, D- Francísco Mandiáiy JSHclrrayjDWJosóph ^aifcja Campero, Don Manuel de la Llave y Coca, B;Í^Francisco deila Llave y Coca ,</t>
  </si>
  <si>
    <t>MiguehChirino</t>
  </si>
  <si>
    <t>ral del Cuzco, vacante por failefcftnieiito de D. Felipe Unieres, al Arcediano de la misma catedral D. MiguehChirino* r p^a ef Arcedianato al Chantre D. Jbseph.Perez Armendáriz: para lá Chantná al Maestrescuela D Juan de DiósKPereyra: para la Mae trésCÓlía al Tesorero D. Francisco Xmer de Tesore</t>
  </si>
  <si>
    <t>Miguel Domingo</t>
  </si>
  <si>
    <t>o nombrar Guarda Almacén ordinario* de Artillería de la plaza de Alcudia al Sargento del mismo ramo D. Miguel Domingo. Ent América. S. M. se ha servido conferir ei empleo de Comandante veterano de la primera división de milicias de la Costa del Norte del Reyno de.Nueva España al Capitán I). Anfoj</t>
  </si>
  <si>
    <t>MigüeldeVá</t>
  </si>
  <si>
    <t>assopagano, D. Miguel Roco y Massopagano , D. Juan Pascual y AyeL, D. Joseph de Posada* y Castilla^ D. MigüeldeVá-^ randicaylX Marcos Betancourt, D. Gerardo Morphry Connan, D. Pedro Fühés V Morillo, D: LoptfFtíúes ^í^íorifjló * D. ¡Andrbs Allende Salazar, D: Lorenzo dé Parra y VÚlalba-, D; Ram</t>
  </si>
  <si>
    <t>Miguelez, Gabriel</t>
  </si>
  <si>
    <t>Gabriel Miguelez</t>
  </si>
  <si>
    <t>....... 465. 7. Id. Gabriel Miguelez................ Santiago, María Perez........Fresno de la Vega....... León...............</t>
  </si>
  <si>
    <t>MiguélGómez</t>
  </si>
  <si>
    <t>ley, pera percibir la sarte qée les püé¿ da caber,:á los testamentarios í&gt;. Francisco Castellano y D. MiguélGómez, vedaos de Aranjuesyy pasado ¿1 término, loexecutaréncon los que se presenten: en Inteligencia de que dicho comerciante hizo cesión de sus bienes en Febrero dél año 'i79s-iisVi-ii</t>
  </si>
  <si>
    <t>MígüeTFüentécilla</t>
  </si>
  <si>
    <t>. ha servido premover á Subteniente de compañía del regimiento de infantería ¡dé Cuba al de bandera D. MígüeTFüentécilla; yfáfes^ tk resulta al Cadete Di Gabriel Menocal. También ha nombrado S. M.J Ci^ rüjano del de la Havana al Dr. D. Martin Xirnenezi " ' i ‘ Igualmente ha nombrado S. M. para él em</t>
  </si>
  <si>
    <t>Miguez, Antonio</t>
  </si>
  <si>
    <t>Antonio Miguez</t>
  </si>
  <si>
    <t>3- 21. Id. Antonio Miguez........ ......... Gregorio, Josefa Taboas.. .. Reboreda...... Tuy............ 120. 20. Id. Juan Espifieyra......... .........Félix, Antonia Cruces.., ... Oleyros....</t>
  </si>
  <si>
    <t>Mijáres, Ángel</t>
  </si>
  <si>
    <t>Ángel Mijáres</t>
  </si>
  <si>
    <t>, D. Rafael Cravallo, D. Guillermo Chicheri, D. Pedro Saenz, D. Angel de Lana, D. Felipe de la Mar, D. Angel Mijáres, D. Gerónimo Marco , D. Francisco Marcó del Pont, D. Juan Martí Mofa, D. Alonso Morales, D. Nicolás de Mora, D. Fermín Roméo, D. Francisco Merino, D. Manuel María Pus* terla, D. F</t>
  </si>
  <si>
    <t>Mijares, Ramón</t>
  </si>
  <si>
    <t>Ramón Mijares</t>
  </si>
  <si>
    <t>seph de los Ríos, D. Guillermo Roo, IX Juan Antonio Heredia, D. Joseph de Chastre, D. Manuel Astor, Don Ramón Mijares, D. Francisco Alegría, D. Francisco Arnedo, D. Joseph de Zúñiga, D. Alberto Maynes, D. Joseph. de Tona, D. Juan Joseph de Fierro, D. Pedros Salcedo, D. Ignacio Muñoz de Cedenilla,</t>
  </si>
  <si>
    <t>Mikleham</t>
  </si>
  <si>
    <t>testigos. Hasta ahora permanecen en la cárcel. En el observatorio del colegio de Glasgow observó el Dr. Mikleham el 25 de Febrero el nuevo planeta de Piazzi. Pasó el meridiano á las 2 y 14 minutos de la tarde: su ascensión recta era de 187 grs. 27 minutos; y su declinación norte 14 grs. 5 2 mi</t>
  </si>
  <si>
    <t>Milagro y Santas, Manuel</t>
  </si>
  <si>
    <t>Manuel Milagro y Santas</t>
  </si>
  <si>
    <t>,á D. Baltasar de Salas: para una Ración patrimonial de la misma catedral, vacante por promoción de D. Manuel Milagro y Santas á la Dignidad de Arcipreste de la propia iglesia, á D. Francisco Falces y Agramont: para la Canongía de la catedral de Tuy, vacante por fallecimiento de D. Ramón de Rivadeneyra, á</t>
  </si>
  <si>
    <t>Milagro, Domingo</t>
  </si>
  <si>
    <t>Domingo Milagro</t>
  </si>
  <si>
    <t>otros pueblos inmediatos, para hacer uso de ella e introducirla aquí, pasó el cirujano de número,. D. Domingo Milagro á Pamplona con tres niños á principios de Octubre riel año último., para que , los .físicos de aquella ciu</t>
  </si>
  <si>
    <t>Milano Cadérécha, Joseph</t>
  </si>
  <si>
    <t>Joseph Milano Cadérécha</t>
  </si>
  <si>
    <t>la misma villa. Quién quisiese pretenderla acudirá 1 la escribanía de aquel Ayuntamiento á cargo de Don Joseph Milano Cadérécha. Se solicita saber el paradero y existencia de los herederos de D. Juan Manuel de Ando, y de su muger DofiaMaria de Mier, vecinos y def comercio que fuéron del puerto de Santa Mar</t>
  </si>
  <si>
    <t>Millan, Ignacio</t>
  </si>
  <si>
    <t>Ignacio Millan</t>
  </si>
  <si>
    <t>ez Don Francisco Izquierdo; á Alférez al Portaguión Marques de Apartado, y á Portaguión al Sargento D. Ignacio Millan. A conseqiiencia de lo estipulado en el tratado definitivo de Paz concluido en Amiens entre S. M. y el Rey del Reyno Unido de la Gran Bretaña é Irlanda sobre las pertenencias de l</t>
  </si>
  <si>
    <t>Millan, Pablo</t>
  </si>
  <si>
    <t>Pablo Millan</t>
  </si>
  <si>
    <t>98. 25. id. Pablo Millan....................... Pedro, Josefa González......... San Andrés.. AguilarCam- ' r pó...-*..«.</t>
  </si>
  <si>
    <t>Mílor, Juan Cayetano</t>
  </si>
  <si>
    <t>Juan Cayetano Mílor</t>
  </si>
  <si>
    <t>sé ha, extraviado .un vale Real de 300 pesos, mira.. 447,66^ creación de 1 .* de Mayo, éndqsidb por D. Juan Cayetano Mílor á favor de í&gt;on Gaspar Joseph García. Quien supiere su paradero avisará ai referido D. Gaspar Joseph García en Ja Corufia , calle de la Amargura, niím. ip. En continuación de la s</t>
  </si>
  <si>
    <t>Mingache, Juan</t>
  </si>
  <si>
    <t>Juan Mingache</t>
  </si>
  <si>
    <t>S^bastiaa. Juan Mingache.......... .........Toribio, María Ignacia.. .. Gijon............ Oviedo........... 603. 31. Presidio. Gregorio Antolin...... .........Padres incógnitos............... ..</t>
  </si>
  <si>
    <t>Minguez, Gabriel</t>
  </si>
  <si>
    <t>Gabriel Minguez</t>
  </si>
  <si>
    <t>14. 8. Id. Gabriel Minguez................ Simón , Francisca Urquiza. Monzonillo... Búrgos....... .. 7. 7. Id. Juan García................... Matías, Antoni</t>
  </si>
  <si>
    <t>Minguez, Xavier</t>
  </si>
  <si>
    <t>Xavier Minguez</t>
  </si>
  <si>
    <t>....... 610. 3. Id. Xavier Minguez........... ManueK, María Mazo.,....... Quel......... Calahorra.... 184. 22. Muerto. Tambor Joaquín Minguia;; Julián, Gerónima Moral... Valladolid... Valladolid.... .220.</t>
  </si>
  <si>
    <t>Ministro Acton</t>
  </si>
  <si>
    <t>brero. ... • E .1 ciud. Lebrun, Ayudante del primer Góhsul, no hallando aquí al Ministro Acton, xe embarcó inmediatamente para Palermo^;; « " f Permanecen en este puerto 3 fragatas rusas; una francesaotra inglesa, y una anglo-americana. Como esta última</t>
  </si>
  <si>
    <t>Ministro Ácton</t>
  </si>
  <si>
    <t>rnecida de diamantes,; valuada pn 40©» francos. Acompañaba una carta dél primer Ministro Ácton, muy lisonjera para dicho General y para sus tropas, cuya buena.conducta alaba.: f \Rotfta ig, de Alaye. r-, B SpéraseTaquí de N^pol^al - r í • t ,i}p 1, El ci</t>
  </si>
  <si>
    <t>Ministro Albini</t>
  </si>
  <si>
    <t>los empleados civiles habían sido absueltds dél'juramento de fidelidad: que el Ministro Albini, representante del Elector en Ratisbona, había notificado á los detíias Ministros de la Dieta y dé la diputación todos estos acontecimientos, expresando al mis</t>
  </si>
  <si>
    <t>Ministro Barones de Gayling</t>
  </si>
  <si>
    <t>im el primer transporte. El Margrave de Badén, su esposa, el Príncipe Luis, los Ministros Barones de Gayling y Edelsheim y otras personas condecoradas, llegaron el-dia 8 á Manheim: el Margrave, convidado por el Consejero de Hacienda Boehringer, comió en uno de los transportes, y lu</t>
  </si>
  <si>
    <t>Ministro Chaptai</t>
  </si>
  <si>
    <t>junta de 3 vocales eri la Consulta cisalpina. No menos el primer Cónsul que los Ministros Taíleyrand y Chaptai visitan las fábricas, y examinan los varios establecimientos de esta ciudad. París 2(5" de Enero. H a entrado en Cherburgo una embarcación inglesa, nombrada la</t>
  </si>
  <si>
    <t>Ministro Conde de Cobentzei</t>
  </si>
  <si>
    <t>. Hablan las cartas de Viena de una importantísima conferencia que ha.tenido el Ministro Conde de Cobentzei con ios diputados de los Príncipes'y estados eclesiásticos que están en aquella ciudad. Tratóse en ella del proyecto de indemnizaciones y secularizaciones que</t>
  </si>
  <si>
    <t>Ministro Conde de Cobentzel</t>
  </si>
  <si>
    <t>arquía austríaca, vacante por muerte del Conde Venceslao de Colloredo. Entre el Ministro Conde de Cobentzel , el Embajador de Fratíeiír Champagni y el Enviado prusiano Conde- de Keller', se- han celebrado e's*tos dias varias conferencias relativas, según se dice, al</t>
  </si>
  <si>
    <t>sugeto que los traxo era Mr. de Tscbapenikr, General ruso. El mismo dia tuvo el Ministro Conde de Cobentzel una conferencia secreta con Mr. de Rasumowsky, Embaxador de Rusia. Refieren las noticias de Viena de la misma fecha que la proposición hecha á la dieta de Pres</t>
  </si>
  <si>
    <t>el Conde de Rasumowsky, Embaxador de Rusia, que las comunicó inmediatamente al Ministro Conde de Cobentzel , y este las despachó á Laxémburgo, en donde se halla S. M. I. Parece que su contenido tiene relación con el plan de resarcimientos. Dase por cierto,que el Duq</t>
  </si>
  <si>
    <t>Ministro Conde de Colloredo</t>
  </si>
  <si>
    <t>l día if, ha presentado ya copia de sus credenciales al Conde de Cobentzel y al Ministro Conde de Colloredo. Se ha suspendido por algún tiempo la partida de la Reyna de Ñapóles para la capital de aquel Reyno. Dice se que el gobierno de Francia ha propuesto al Archidu</t>
  </si>
  <si>
    <t>Ministro Conde de Haugwitz</t>
  </si>
  <si>
    <t>l dia el objeto de sus relaciones con las demas potencias. En la secretaría del Ministro Conde de Haugwitz se reciben todos los proyectos sobre indemnizaciones, sea impresos, sea manuscritos: allí los examinan y extractan, y su resúmen se comunica al Rey y al Embaxa</t>
  </si>
  <si>
    <t>Ministro Conde de Kotsr</t>
  </si>
  <si>
    <t>3 Ayudantes generales Príncipes Dolgorowsky y Wolkousky, y Conde de Lieven, el Ministro Conde de Kotsr,hubey, un Médico, y varios secretarios y criados. Al pasar per delante del campamento prusiano le hiciéron salva de 100 cañonazos. S. M. Prusiana salió á cabal</t>
  </si>
  <si>
    <t>Ministro Consejero Grefrer</t>
  </si>
  <si>
    <t>na María Luisa; Secretario de Estado y de Gobier**' no del Consejo de Estado, y Ministro Consejero Grefrer de la insigne óí¿den del Toyson de Oro. Sirvió á S. M. por espacio de 40-años, habiendó empezado de Oficial de Partes de la Secretaría del Despachó de Gracia jr Just</t>
  </si>
  <si>
    <t>Ministro Contador de las Reales Caxas de San Luis Potosí</t>
  </si>
  <si>
    <t>Dirección de la Lotería de México al Coronel. D. Luis Noailies ; y el empleo de Ministro Contador de las Reales Caxas de San Luis Potosí, en el propio Reyno, á D. Joseph Caballero Basave. También se ha servido S. M. conferir la lntendencia.de exército y Real Hacienda de Ja provincia de Venezuela</t>
  </si>
  <si>
    <t>Ministro Edelsheim</t>
  </si>
  <si>
    <t>Ministro Elector de Tréveris</t>
  </si>
  <si>
    <t>el exemplo del Elector de Maguncia, y se conformase con los deseos del Papa. El Ministro Elector de Tréveris ha anunciado de oficio que su soberano renuncio formalmente todos los derechos metropolitanos que tenia en los países de la misma izquierda del Rhin. .Francfor</t>
  </si>
  <si>
    <t>Ministro Elmatta-Dowla</t>
  </si>
  <si>
    <t>oficiales de su palacio. Uno de ellos, quejoso del Monarca, persuadió al primer Ministro Elmatta-Dowla entrase en la conjura, ofreciendo colocarle en el trono. Otras 19 personas de las elevadas en dignidad tomaron parte en este proyecto, y Mulíam Alí, valido del E</t>
  </si>
  <si>
    <t>Ministro Grenville</t>
  </si>
  <si>
    <t>r á todos los principios una política ménos pura.” El Conde de Carlisle y el ex-Ministro Grenville hablaron con mucha vehemencia contra el ministerio actual. El segundo se adelantó hasta decir que se necesitaban providencias vigorosísimas para salvar ia pote</t>
  </si>
  <si>
    <t>Ministro Lord Pelham</t>
  </si>
  <si>
    <t>mano. Londres 10 de Abril. E n la sesión de la Cámara alta del dia 8 ofreció el Ministro Lord Pelham presentar copia del tratado definitivo de paz el 26 de este mes. Con las sumas que el gobierno ha pedido para los gastos de este año, con el empréstito de 27 m</t>
  </si>
  <si>
    <t>Ministro Marescalchi</t>
  </si>
  <si>
    <t>ocales presididos por el Cardenal Bellísomi: y otra de 9 diputados notables. El Ministro Marescalchi introduxo el dia 12 á la audiencia del primer Cónsul los individuos de la Consulta, los quales fueron entrando formados y divididos por departamentos ó ramos d</t>
  </si>
  <si>
    <t>Ministro Montgelas</t>
  </si>
  <si>
    <t>Ministro 4c Estado Ba^on de Edelsheim ha ido á Murich para coor clnir ; con el .Ministro Montgelas el tratado de cesión del PaLatinado del Rhin; y no tardará en ocupar los países considerables que le han repartido las potencias que han regulado las indemnizaci</t>
  </si>
  <si>
    <t>Ministro Plenipotenciario</t>
  </si>
  <si>
    <t>l protocolo: c* ¡ al tiempo de esta entrega había desempeñado su combion con el Ministro Plenipotenciario, procurando traerle á que accediese al conclusum principal del- 8 de este mes; y que para ello se había valido de las razones expuestas en el protocolo. El Min</t>
  </si>
  <si>
    <t>Ministro Príncipe Kourakin</t>
  </si>
  <si>
    <t>cuidado que han tenido de los prisioneros durante un camino tan largo, mandó al Ministro Príncipe Kourakin regalase de su parte á cada uno una sortija ricamente guarnecida de. diamantes 'Vtena 2 r de Agosto. Y a se ha cerrado Ja Dieta de Hungría. Vendrán de Presburg</t>
  </si>
  <si>
    <t>Ministro Ruffin</t>
  </si>
  <si>
    <t>a del Reis-Eífendi, quien, después de varias expresiones lisonjeras A favor del Ministro Ruffin# levantando ia voz dixo al ciud#</t>
  </si>
  <si>
    <t>Ministro Semonviile</t>
  </si>
  <si>
    <t>epública evacúen el territorio de Holanda, y solamente se espera la llegada del Ministro Semonviile para arreglar todo lo relativo á dicha evacuación. Mediante la partida de estas tropas ahorrará el estado quantiosas sumas; pero los habitantes de las ciudades</t>
  </si>
  <si>
    <t>Ministro Taíleyrand</t>
  </si>
  <si>
    <t>Ministro Talleyrand</t>
  </si>
  <si>
    <t>os asuntos de los mencionados paises. Leon 8 de Enero. T odos los dias tiene el Ministro Talleyrand mesa de 80 cubiertos, y convida sucesivamente á los individuos de la Consulta cisalpina, y á los principales vecinos de esta ciudad. En la sala de las juntas s</t>
  </si>
  <si>
    <t>sta de los ciudadanos Marescalchí, Melzí y Serbelloni, para corresponder con el Ministro Talleyrand en orden á las operaciones de la Consulta extraordinaria, de la qual, según dicen, será Presidente el ciud. MelEn efecto, se sabe que apenas llegó el ctud. Talle</t>
  </si>
  <si>
    <t>Egira.” _ - ‘-'.r"' En la junta del Senado del mismo día di ó también cuenta el Ministro Talleyrand de las últimas negociaciones con la Puerta Otomana, y del tratado que se firmó el 25 de Junio, el qual se incluirá en la g’azeta próxima. El día 8 se proclamó, en los</t>
  </si>
  <si>
    <t>Ministro Talleyrátid</t>
  </si>
  <si>
    <t>e. El puerto de Hiill se hallará éb esté caso. f 1 Berna 27 de Noviembre. ■ E 1 Ministro Talleyrátid ha asegurado' á los tres diputados del Senado helvético que los negocios dé la Suiza sé'terminarían; pronto' de un modo satisfactorio. ^ ¿' ' ?.u-a ¿:i Sé espe</t>
  </si>
  <si>
    <t>Ministro Tayllerand</t>
  </si>
  <si>
    <t>os que servirán en esta ciudad mientras permanezca en ella el primer Cónsul. El Ministro Tayllerand ha escrito en los siguientes términos al Prefecto del departamento del Ródano. ,,La muerte del Arzobispo de Milán es una pérdida para su patria: ha sido muy do</t>
  </si>
  <si>
    <t>Ministro Tesorero de las Reales Caxas</t>
  </si>
  <si>
    <t>ncia de Chiapa, en el Rxeyno deGoatemala. Y se ha servido conferir el empleo de Ministro Tesorero de las Reales Caxas del puerto de Oinoa, Reyno de Goatemala, vacante por muerte de D. Ignacio Morales, á D. Manuel Jacinto Gómez y Fuentes, Oficial quarto de la Contaduría general de</t>
  </si>
  <si>
    <t>Ministro Tesoreros de las Reales</t>
  </si>
  <si>
    <t>érez ai Portaguión D. Joseph Malo. Ei Rey se ha servido conferir los empleos de Ministros Tesoreros de las Reales caxas de Veracruz, Guanaxuato, Pachuca, Acapulco y Bolarños, en el Rey no de Nueva España, á D. Manuel Quimper, D. Francisco Rocha, D. Juan González Ferino, D.</t>
  </si>
  <si>
    <t>Ministro Togado</t>
  </si>
  <si>
    <t>ientos en 1770, -7 al año siguiente se dignó el Rey nombrarle para una plaza de Ministro Togado en su tribunal del Principado de Cataluña, desde donde en 1780 fu©promovido á Alcalde de su Real casa y cotte, y. posteriórifieote aLReal Consejo ide las Ordenes</t>
  </si>
  <si>
    <t>abante , acuda ante el Sr. D. Tomas Quartero de Bona , del Copsejo de S. M., su Ministro Togado en el supremo de la Guerra , Juez comisionado, y por la escribanía de cámara de dicho supremo Tribunal, y admitirá las mejoras que hicieren siendo justas y arreg</t>
  </si>
  <si>
    <t>Ministrov Dessalines</t>
  </si>
  <si>
    <t>Marina. La primera fecha en Puerto-Republicano el i.0 de Abril, dice sísí i: „ Ciudadano Ministrov Dessalines , perseguido por nosotros, inmediatamente después de la toma de la Crete-á-Pierrot, se retiro á las selvas;; pero¡yo había dispuesto: que un destacamento que o</t>
  </si>
  <si>
    <t>Minto, Lord</t>
  </si>
  <si>
    <t>Lord Minto</t>
  </si>
  <si>
    <t>n éxemplo , no mereciéron siquiera que se hiciese contra ellas una representación.....” Continuó el Lord Minto hablando sobre la importáncia^a* dichas adquisiciones, y de las que ha hecho la Francia en Amética pérh nueva demarcación de la Guayana. Sin embargo protestó que ho era su ánimo a</t>
  </si>
  <si>
    <t>Mioño y Quevedo, Joaquín</t>
  </si>
  <si>
    <t>Joaquín Mioño y Quevedo</t>
  </si>
  <si>
    <t>mo de Rivera, D. Salvador Ortuño-y Castañon , D. Antonio Villaviqencio, D. Joseph Delgado y Guerra, D. Joaquín Mioño y Quevedo, Don Diego Ponce dé León, D. Rufino Torrcntcgui, D. Nicolás Rubín de Barrio, D. Isidro Gago y Abarca, D. Pablo de Villa y Gutiérrez, D. Joaquín Sanchiz Verenguer, D. Rafael de Lob</t>
  </si>
  <si>
    <t>Miralles, Antonio</t>
  </si>
  <si>
    <t>Antonio Miralles</t>
  </si>
  <si>
    <t>. Joaquín Rodríguez de Ribera, D. Juan Topete, D. Joseph Quevedo y Cheza, D. Lino Truxiilo y Tacón, D. Antonio Miralles, D. Luis María de Salazar, D. Miguel Gastón y Navarrete, D. Antonio de la Torre Puebla, Don Francisco de Castro Navarro, D. Joaquín Zarauz, D. Joseph Calderón, D. Antonio García'</t>
  </si>
  <si>
    <t>Miranda y Cosmea, Antonio</t>
  </si>
  <si>
    <t>Antonio Miranda y Cosmea</t>
  </si>
  <si>
    <t>o Acedo, D. Francisco García González, D„ Francisco Xaviejr Pineda, D. Bartolomé Rodríguez de Arias,D. Antonio Miranda y Cosmea, D. Francisco Párraga, D. Vicente de la Torre Puebla ,D. Joseph Pardo y Lama, D. Lorenzo de Toro y Toledo, D. Leandro de Cáceres, D. Juan Izquierdo, D. Manuel de Lobo y Campo, D.</t>
  </si>
  <si>
    <t>Miranda, Cayetano</t>
  </si>
  <si>
    <t>Cayetano Miranda</t>
  </si>
  <si>
    <t>184 Pedro Fernandez Palacios y D. Cayetano Miranda : teniendo los tres 2 años v 3 meses de servicio ; y D. Manuel Rodríguez Avellan y D. Francisco de Paula Miranda, 8 meses de servicio. Fueron examinados de todos los títulos de la</t>
  </si>
  <si>
    <t>Miranda, Domingo Antonio</t>
  </si>
  <si>
    <t>Domingo Antonio Miranda</t>
  </si>
  <si>
    <t>su importe á la mayor brevedad, y luego que se verifiqué se procederá á la rifa á presencia del Sr. D. Domingo Antonio Miranda , Alcalde de la Real casa y corte, Juez comisionado por S. M., ante D. Ignacio Antonio Martinez, Escribano de Cámara mas antiguo y de Gobierno de la Sala de Sres. Alcaldes, según</t>
  </si>
  <si>
    <t>Miranda, Joseph</t>
  </si>
  <si>
    <t>Joseph Miranda</t>
  </si>
  <si>
    <t>evilla á Capitán al Ayudante D. Matías Munilla, y á Subteniente de granaderos al primer Subteniente D. Joseph Miranda: en el de Granada á segundo Teniente de granaderos al de fusileros D. Tomas Alvarez Cienfuegcs, y á segundo Teniente al Subteniente de granaderos D. Francisco Roxas: en ei de Tole</t>
  </si>
  <si>
    <t>Miranda, Miguel</t>
  </si>
  <si>
    <t>Miguel Miranda</t>
  </si>
  <si>
    <t>Id. Miguel Miranda........... Miguel, María Sánchez..., Aldea del Piñal. ......; Osma.............. 204. 30. Id. Josef Aparicio.......................Antonio, María Luengo... Abelon........</t>
  </si>
  <si>
    <t>Miranda, Rafael</t>
  </si>
  <si>
    <t>Rafael Miranda</t>
  </si>
  <si>
    <t>gundo Teniente D. Elíseo Perez Tello: en el de Jaén á segundo Teniente al Subteniente de granaderos D. Rafael Miranda: en el de cazadores Voluntarios de la Corona á Subteniente al segundo Subteniente D. Manuel Ximenez Leorin; y en el batallón de infantería de Canarias á primer Teniente al segundo</t>
  </si>
  <si>
    <t>Mitford, Juan</t>
  </si>
  <si>
    <t>Juan Mitford</t>
  </si>
  <si>
    <t>nitivo. Ha muerto en Dublin el Lord Clare, Gran Canciller de Irlanda. Este empleo se ha conferido á Mr. Juan Mitford, Orador ó Presidente de la Cámara de los Comunes, en la qual le reemplaza Mr. Abbot. Ayer se confirmó su nombramiento en la Cámara de los Pares por una junta de tres Lores autoriz</t>
  </si>
  <si>
    <t>Mitjavila</t>
  </si>
  <si>
    <t>ios de modo que en cosa de dos meses se acabó toda la impresión , y habiéndose hecho nuevamente, el Dr. Mitjavila la ha adicionado y enriquecido con el extracto de los nuevos experimentos sobre los contravenenos del arsénico por el ciud. Cas. Renault.En el extracto de estos nuevos experimentos,</t>
  </si>
  <si>
    <t>órmulas medicinales adaptadas á esta, según las luces del nuevo sistema. Dentro de 15 dias el mismo Dr. Mitjavila publicará los opúsculos p.° y io.°, y luego el n.° y ia.°j los 4 contendrán la práctica de las enfermedades asténicas ó de debilidad. Las afecciones locales, que ocuparán 6 opúscu</t>
  </si>
  <si>
    <t>Mitjavila, Vicente</t>
  </si>
  <si>
    <t>Vicente Mitjavila</t>
  </si>
  <si>
    <t>ácil para saber si el vino , pan &amp;c* están adulterados con plomo: por el Dr. D. Vicente Mitjavila,medico de Real familia. $e hallará en la librería de. Castillo a ^ rs. . , T Defensa de la jurisdicción Real y sus relaciones con la pontificia o eclesiástica : obra en que se exponen va</t>
  </si>
  <si>
    <t>la experien-é cia y en la doctrina browniana; opúsemos nono y décimo del Dr. D. Vicente Mitjavila , teniente protomédico de Cataluña, catedrático de medicina práctiea &amp;c. Estos dos opúsculos contienen la mitad de las enfermedades asténicas, con las fórmulas medicinales propias para su cu</t>
  </si>
  <si>
    <t>Mitrowsky, General</t>
  </si>
  <si>
    <t>General Mitrowsky</t>
  </si>
  <si>
    <t>ido en las frontéras de Transilvania entre nuestras tropas y los turcos, se quejó á Baswan Oglow el General Mitrowsky de los excesos de sus tropas que diéron motivo á aquella reyerta. Respondió el Baxá de Widín que desconocía por gente suya a Los que se valiesen de su-nombre para violar él territorio aust</t>
  </si>
  <si>
    <t>Mo, Joseph</t>
  </si>
  <si>
    <t>Joseph Mo</t>
  </si>
  <si>
    <t>undo Subteniente D. Ambrosio del Gallo: en el de Saboya á Subteniente de granaderos al de fusileros D. Joseph Mo3*a *, y en el ae Aragón a primer Subteniente al segundo Subteniente Don Martin de Sierra* El Consejo, á consulta de la Comisión gubernativa de consolidación de Vales, y con aproba</t>
  </si>
  <si>
    <t>Mocenigo, Jorge (conde)</t>
  </si>
  <si>
    <t>Conde Jorge Mocenigo</t>
  </si>
  <si>
    <t>bitantes, ha • nombrado &gt;por su Ministro plenipotenciario en las Siete-Islas-Uriidás al Exentó. Sr. Conde Jorge Mocenigo,su ConsejérodéEstadb, mandando igualmente S. M. J. qtie sus' invencibles tropás de már y tierra apostadas en Ñipóles , vengan áúCorfú para apoyar las saludables medidas que* debe</t>
  </si>
  <si>
    <t>nrácordado y sancionado todaV las disposiciones"de la presente, en virtud de haberlo tratado con el Conde Jorge Mocenigo, Ministro plenipotenciario de 5. M* el Emperador de todas las Rusias, y de haberse hallado que' era lo si$£ conveniente alistado actual dé las islas confederadas. A conscqiiencia</t>
  </si>
  <si>
    <t>Modesto Ibañéz de Corbera</t>
  </si>
  <si>
    <t>la‘;Gutierrez , D Pedro Marfand ^Gallego i D. Rafael Ximenez de Montalho, D. Pedro Baeza y Alcalde ,D. Modesto Ibañéz de Corbera, L&gt;: Pedro de Lamas y la Torre, D. ifulio Róco y Massopagano, D. Miguel Roco y Massopagano , D. Juan Pascual y AyeL, D. Joseph de Posada* y Castilla^ D. MigüeldeVá-^ randicaylX Ma</t>
  </si>
  <si>
    <t>Modrego, Manuel</t>
  </si>
  <si>
    <t>Manuel Modrego</t>
  </si>
  <si>
    <t>. 11. Licenciado, Manuel Modrego............ .. Josef, Feliciana Monreal... And rada....... Andrada. . 500. 7. Muerto. Miguel de la Calle.......... .. Miguel, Agusti</t>
  </si>
  <si>
    <t>Mofean</t>
  </si>
  <si>
    <t>que lo es dei departamento del Aisne. ’ Extracto del M¿nitor. ,, Ha fnuerto el ciud. Mofean, Obispo de Auton. Habia el primer Cónsul pedido ál Papa el capelo cardenalicio para este dignísimo Prelado; y ha tenido el dolor mas vivo por la muerte tempran</t>
  </si>
  <si>
    <t>Molaguero, Francisco</t>
  </si>
  <si>
    <t>Francisco Molaguero</t>
  </si>
  <si>
    <t>333. 3- Id. Francisco Molaguero.......... Manué^ Jacinta Lozano... Bustillo......... León.............. 440. 33. Id. Tomas Lopezi....Bartoltyjmé^jariaHenriquez .Arcos de la Fr</t>
  </si>
  <si>
    <t>Moles, Joachín</t>
  </si>
  <si>
    <t>Joachín Moles</t>
  </si>
  <si>
    <t>eclesiástica del SS. P. Benedicto xiv sobre santificar el sagrado tiempo de quaresma, traducida por D. Joachin Moles, presbítero. Se hallará en la imprenta y librería de Blanques, calle de las Carretas, num. a. Ocupaciones de quaresma en opúsculos devotos, sacados de varios libros espirituales ;</t>
  </si>
  <si>
    <t>Emo. Sr. Cardenal de Lorenzana , Arzobispo que fue de Toledo : ilustrada con exemplos y símiles por D. Joachín Moles, presbítero. Se hallará á rs. en la imprenta y librería de Bianques, calle de las Carretas, mím. a. Advertencias á la historia del P. Juan de Mariana por el Marques de Mondéjar :</t>
  </si>
  <si>
    <t>lio romano el S5. P. Benedicto xiii, sacado á la letra del original italiano del mismo concilio por D. Joachin Moles,presbítero. Se hallará á 4 quartos en la imprenta y librería de Blanques , calle de las Carretas, núm. 2: puede remitirse en carta. Historia cronológica del pueblo de Dios hasta é</t>
  </si>
  <si>
    <t>s campanas en semana santa } y otra sobre el cumplimiento con la iglesia por pascua: traducidas por D. Joachín Moles, presbítero. Se hallarán en la imprenta y librería de Blanques, calle de las Carretas, núm. 1. Romance historial de la sagrada pasión y muerte de N. S, Jesuchristo, según los sant</t>
  </si>
  <si>
    <t>Moles, Joaquín</t>
  </si>
  <si>
    <t>Joaquín Moles</t>
  </si>
  <si>
    <t>Benedicto xiv del patrocinio de S. Antonio Abad para guardarla salud de los animales,traducida por D. Joaquín Moles, presbítero. Se hallará en casa de Blanques , calle de las Carretas, num. 2. Puede remitirse en carta. Almanak mercantil, 6 Guia de comerciantes, para el año de 1802: comprehen— d</t>
  </si>
  <si>
    <t>Móles, Joaquín</t>
  </si>
  <si>
    <t>Joaquín Móles</t>
  </si>
  <si>
    <t>de S. Felipe Neri, fundador de la congregación del Oratorio: traducidos de su original italiano por Don Joaquín Móles, presbítero. Llevan dos retratos del Santo, uno de niño y otro de anciano, y un compendio de su vida sacado literalmente de las lecciones del breviario romano. Se hallarán en la i</t>
  </si>
  <si>
    <t>al público, y el modo que se le debe la adoración, procurando enmendar muchos abusos: traducida por D. Joaquín Moles, presbítero/ tercera edición. Se hallará en la imprenta y libreria de Blanques , calle de las Carretas , núm. a. ' Quaderno 6.° de la obra intitulada el. Censor en la historia de</t>
  </si>
  <si>
    <t>Mólés, Joaquín</t>
  </si>
  <si>
    <t>Joaquín Mólés</t>
  </si>
  <si>
    <t>l SS. P. Benedicto xiv sobre santificar el sagrado tiempo del adviento: traducida en castellano por D. Joaquín Mólés, presbítero. Se hallará en lá librería dé Blanques , calle de las Carretas , núm. 1. Gil Blas de Santillana, última edición en 5 tomos en 8.° con láminas. Véndese en las librerías</t>
  </si>
  <si>
    <t>Molina, Antonio</t>
  </si>
  <si>
    <t>Antonio Molina</t>
  </si>
  <si>
    <t>n el esquadrón montado del regimiento de Milicias disciplinadas de dragones de Matanzas al Teniente D. Antonio Molina; Tenencia al Subteniente D. Francisco. Morejon ; Subtenencia al Portaguión P. Felipe Ximenez, y ésta resulta al Cadete 1&gt;. Antonio Ximenez. «finalmente, ha, nombrado 5. M. Tenient</t>
  </si>
  <si>
    <t>Molina, Joseph</t>
  </si>
  <si>
    <t>Joseph Molina</t>
  </si>
  <si>
    <t>D. Juan Joseph. Navajas, D. Juan Patricio Rodríguez, D. Joseph Benito Romero, D. Joaquín de Ponte, D. Joseph Molina, D. Lázaro de Avila, D. Baltasar Calvache, Don Francisco Ruiz, D. Alfonso Ramiro, D. Antonio de la Rocha , D. Juan López de Molina,D. Lucas Salazar, D. Ramón Serrano, D. Juan Jose</t>
  </si>
  <si>
    <t>Molina, Lorenzo</t>
  </si>
  <si>
    <t>Lorenzo Molina</t>
  </si>
  <si>
    <t>102 J D. Lorenzo Molina, D. Tomas López, DI Joseph González, D. Manuel Asensio, D. Joseph Francisco Díaz, D. Juan Afán de Rivera, D. Ramón María de Utrilla, D. Juan Antonio Cosío , D. Joseph Vaca, D. Fra</t>
  </si>
  <si>
    <t>Molla, Félix</t>
  </si>
  <si>
    <t>Félix Molla</t>
  </si>
  <si>
    <t>eanato de la colegial de la ciudad de S. Felipe* diócesis de Valencia, vacante por fallecimiento de Don Félix Molla ,, á D. Joseph Ortizi para una Canongía de la catedral de Car-7 tagena, vacante por muerte de D. Benito de las Héras, áD.Manuel Gis— pert; y para la Ración que se halla vacante en</t>
  </si>
  <si>
    <t>Monar, Juan</t>
  </si>
  <si>
    <t>Juan Monar</t>
  </si>
  <si>
    <t>5*. 28. Id. Juan Monar...................... . Miguel, Isabel Fernandez.. Llamas.......... León......... 401. Id. Miguel Miranda........... Miguel, María Sánchez..., Aldea del Piñ</t>
  </si>
  <si>
    <t>Moncenigo, Conde</t>
  </si>
  <si>
    <t>Conde Moncenigo</t>
  </si>
  <si>
    <t>ctan otras varias disposiciones de economía en la corte. Ha sido promovido á Consejero de Estado el Conde Moncenigo , Ministro que fué de Rusia en Florencia: también le ha reintegrado S. M. Imperial en el cuerpo diplomático con todos sus sueldos , y cobrará todos los caídos. El d ia 20 se cantó</t>
  </si>
  <si>
    <t>Moncey, General</t>
  </si>
  <si>
    <t>General Moncey</t>
  </si>
  <si>
    <t>o del departamento, el Arzobispo de Rúan, el General Saint Hilaire, Comandante de la división, y el General Moncey, primer Inspector general de los Gensdarmes, al frente de las tropas de esta guarnición. Aquel dia comiéron con el primer Cónsul el Prefecto, el Maire, el Arzobispo y el General S</t>
  </si>
  <si>
    <t>Monge</t>
  </si>
  <si>
    <t>te, el Ministro y el Agente de comercio de los Estados-Huidos de América , ílos ciudadanos Monge, Senador, Berüer, Consejero deEstado &amp;c. Hubo varios cobros de mudcá, y. duro la función hasta las 12 de la noches Ir . , s En un lagar del departamento de las</t>
  </si>
  <si>
    <t>Mongez</t>
  </si>
  <si>
    <t>Toulongeqn sobre el establecimiento y fundación de nuevas colonias; y otra del ciud. Mongez sobre ios aperos ó instrumentos de agricultura de los antiguos, especialmente de los arados. Socuéllamos 3 provincia de la Mancha, 21 de Abril. H abiendo prece</t>
  </si>
  <si>
    <t>Mongolas</t>
  </si>
  <si>
    <t>favorables y amistosas. Munich 10 de Marzo. P arece que se han reentablado las negociaciones entre Mr. Mongolas, primer Ministro del Elector, y el Enviado austríaco de Buol de Schauenstein*. á lo menos han tenido varias conferencias, y luego despachó Mr. Buol un extraordinario á Viena-----T</t>
  </si>
  <si>
    <t>Monjoya, Juan</t>
  </si>
  <si>
    <t>Juan Monjoya</t>
  </si>
  <si>
    <t>• Juan Monjoya................ . Juan , Bernarda del Prado. Oviedo.......... Oviedo.......... 404. 15. Id. Juan Calderón...................... Josef, ^ ria Calderón</t>
  </si>
  <si>
    <t>Monnod</t>
  </si>
  <si>
    <t>Monod</t>
  </si>
  <si>
    <t>iesen sus empleos; y en efecto lo han hecho así.” El otro aviso es una carta al ciud. Monod, Prefecto del cantón de Vaud, en que le dicen: ,,E1 ciud. Schmid, Secretario de Estado de la Guerra, me encarga os informe de que el 15 por la noche llegó por</t>
  </si>
  <si>
    <t>Monrengón, Pedro</t>
  </si>
  <si>
    <t>Pedro Monrengón</t>
  </si>
  <si>
    <t>alá, á 8 rs. cada quaderno sin iluminar y á zo los iluminados. ", Frioleras eruditas y curiosas por D Pedro Monrengón. Contiene varios asuntos científicos, sacados de muchas obras , útiles á la vida humana, y necésfinó* éh la sociedad dvif: un tomo en R.9 Se hallará én las librerías de Escribano,</t>
  </si>
  <si>
    <t>Monsalve, Pedro</t>
  </si>
  <si>
    <t>Pedro Monsalve</t>
  </si>
  <si>
    <t>e la Secretaría de Estado. S. M.sehadigrudo nombrar Teniente del regimiento de Cazadores de Pavía á D. Pedro Monsalve, Guardia de la Compañía Española del Real cuerpo de Guardias de Corps. En América. El Rey se ha servido nombrar para una Canongía de idioma Mexicano de la colegiata de Ntra. Sra.</t>
  </si>
  <si>
    <t>Monta, Bartolomé</t>
  </si>
  <si>
    <t>Bartolomé Monta</t>
  </si>
  <si>
    <t>uesta, D. Lorenzo Arroyo, D. Manuel Meneos, D. Joseph Imaz, D. Joseph Martínez, D. Rodrigo Medrano, D. Bartolomé Monta! ño, D. Joseph Gómez deLatorre, D. Antonio Sarmiento, D. Antonio Hermosiíla, D. Joseph Bonicelii, D. Joseph de León, D. Patricio Kindélan, D. Ignacio Husey, D. Ignacio Maraver, D.</t>
  </si>
  <si>
    <t>Montainville, Juan</t>
  </si>
  <si>
    <t>Juan Montainville</t>
  </si>
  <si>
    <t>s inalterables. Está todavía en la quinta de Maimaison. Su inventor es el ciud. Juan Montainville, vecino de Neuf-Chatheau, que del mismo modo executa en mármol qualquier mapa , planes y paisages, con tai arte y tan acabados, que compiten con el dibuxo y la pintura. Como resisten á la</t>
  </si>
  <si>
    <t>Montaña, Antonio</t>
  </si>
  <si>
    <t>Antonio Montaña</t>
  </si>
  <si>
    <t>rlos Larras, D. Joseph del Castillo, D. César Baibiam, D. Bartolomé Arguelles, D. Casimiro Montero, D. Antonio Montaña, D. Joseph S?avedra, D. Joseph Sastre, D; Francisco Nuñez, D. Maximiliano Saut Maxent, D. Tadeo Muniesa, D. Fernando Bienpica, D. Juan O-Snlivan, í). joseph de la Valle , Don Jose</t>
  </si>
  <si>
    <t>Montano, Francisco</t>
  </si>
  <si>
    <t>Francisco Montano</t>
  </si>
  <si>
    <t>ente al Subteniente de granaderos D. Manuel Guillen: en el de Córdoba á Ayudante al primer Teniente D. Francisco Montano: en el de España á primer Subteniente al segundo Subteniente D. Joseph Valcarcel; y en el batallón de cazadores Voluntarios de Barbastro á Capitán primero al segundo D. Santiago P</t>
  </si>
  <si>
    <t>Montbret</t>
  </si>
  <si>
    <t>proposición de entablar negociaciones para ajustar un tratado; de comercio. El ciud. Montbret, encargado del asunto&gt;por- el primer Cónsul,</t>
  </si>
  <si>
    <t>Montchoisi, General</t>
  </si>
  <si>
    <t>General Montchoisi</t>
  </si>
  <si>
    <t>na de Diciembre. E l dia 2.2 llegó aquí con su comitiva el General Montrichard , que reenw plaza al General Montchoisi en el mando de las tropas: francesas que hay en. Suiza. Ya salió de esta ciudad para León el ciud. Veminac llamado por el pri* qier Cónsul para, que: le informe sobre el actual esta</t>
  </si>
  <si>
    <t>Montchoisí, General</t>
  </si>
  <si>
    <t>General Montchoisí</t>
  </si>
  <si>
    <t>dslardick. Casi todos están estropeados. .Berna jo de Enero. E bdia 4 salió de aquí para Francia el General Montchoisí, que mandó las tropas francesas en esta República. El pequeño Consejo le escribió una carta de despedida dándole gracias por los servicios que ha hecho á este pais, y por la buena</t>
  </si>
  <si>
    <t>Montenegro, Gerónimo</t>
  </si>
  <si>
    <t>Gerónimo Montenegro</t>
  </si>
  <si>
    <t>e Tieso, calle de las Carretas, en pasta á 20 rs. y en rústica á i&lt;5. Conversión de un pecador, por D. Gerónimo Montenegro j añadidas unas décimas espi rituales á la conciencia en metáfora de relox. Se hallará en el monasterio rie S. Martin de esta corte en el despacho de las obras del limo. Feixoo. C</t>
  </si>
  <si>
    <t>Montengon, Pedro</t>
  </si>
  <si>
    <t>Pedro Montengon</t>
  </si>
  <si>
    <t>al y el Témora, poemas épicos de Osián , antiguo poeta céltico, tra*ducidos en verso castellano por D. Pedro Montengon; tomo i.° en 4.0 Véndese en las librerías de Escribano,calle de las Carretas , y en la de Campo, calle de Alcalá. Descripción breve de Espafia,con la fundación de sus capitales y</t>
  </si>
  <si>
    <t>Montero de Espinosa, Andrés</t>
  </si>
  <si>
    <t>Andrés Montero de Espinosa</t>
  </si>
  <si>
    <t>cas el todo á un censo impuesto á favor de la caxa militar del Real cuerpo de Guardias de Corps por D. Andrés Montero de Espinosa. Quien quisiere comprar unos y otros acuda ante dicho limo. Sr. Conde en su casa posada dia 4 de Marzo próximo desde las doce hasta la una. Para el remate de la casa sita en esta</t>
  </si>
  <si>
    <t>Montero del Carpió, Luis</t>
  </si>
  <si>
    <t>Luis Montero del Carpió</t>
  </si>
  <si>
    <t>or deest a villa , se cita y emplaza á los administradores del estado de la Conquista y concurso de D. Luis Montero del Carpió /ó á quien les representen, para que en el término de ¿o días comparezcan en los autos de testamentaría de Doña María Josepha de Herrera y Retes, viuda de D» Felipe Zapata , admin</t>
  </si>
  <si>
    <t>egundo y último término i los defensores ó administradores del estado de la Conquista y concurso de D. Luis Montero del Carpió, ó á quienes le represénten,para que en él término preciso,de xa dias, contados nesúe 2g de este mes, comparezcan en los autos de testamentaria de Doña Maris Josepha de Herrera y</t>
  </si>
  <si>
    <t>ásde su administración* que estuvo ¿ cargo de D. Felipe Zapata,y al expresado concurso ó quiebra de Don Luis Montero del Carpió, de las ds una üanza dé ad ducados, otorgada por su administrador, por los testamentarios de dicha Dofia JosephaHerrera y Retes, i ' cuya seguridad se hipotecaron unas casas sitas</t>
  </si>
  <si>
    <t>Montero, Carlos Joseph</t>
  </si>
  <si>
    <t>Carlos Joseph Montero</t>
  </si>
  <si>
    <t>, vacante por fallecimiento de D. Francisco Tubau y Sala, al Canónigo Magistral de la misma iglesia D. Carlos Joseph Montero. El Consejo, á consulta de la Comisión gubernativa de consolidación de Vales, y con aprobación de S. M., ha acordado la qnadragesimaoctava amortización de 443 de 600 pesos de Mayo</t>
  </si>
  <si>
    <t>Montero, Felipe</t>
  </si>
  <si>
    <t>Felipe Montero</t>
  </si>
  <si>
    <t>de Cabo del Resguardo de la misma Factoría ;í B. Matías Madrid : para Guarda del propio Resguardo á D. Felipe Montero : para Visitador de la propia Factoría á D. Manuel Antonio de Palacio : para Teniente del Resguardo de la Factoría de. Valladolid á D. Justo* Antonio Fernandez : para Guarda de la</t>
  </si>
  <si>
    <t>Montero, Joseph</t>
  </si>
  <si>
    <t>Joseph Montero</t>
  </si>
  <si>
    <t>jada, P. Antonio Narvaez, el Conde Ruiz de Castilla, 0. Joaquín .Cabrera, Do? Rafael María Aguilar, D. Joseph Montero, D. Isidro jLimonta, tD; Joá-1 quin de Zubillága, D. Joseph Fernando Abascai, D. Benito Perez, y él Conde de Mopox. : ; ■ A Brigadieres los Coroneles: en España. D. Joaquín Ferran</t>
  </si>
  <si>
    <t>Montero, Matías</t>
  </si>
  <si>
    <t>Matías Montero</t>
  </si>
  <si>
    <t>abria.. 108. 3. Id. Matías Montero................. Eugenio, María Soria..... Iriepal........... Guadalaxara. 94* 15. Id. Domingo Rodríguez....... . Miguel, Ana González....... Castro Calde-las............ Tuy.</t>
  </si>
  <si>
    <t>Montero, Pedro</t>
  </si>
  <si>
    <t>Pedro Montero</t>
  </si>
  <si>
    <t>Rey se ha servido conferir en el regimiento de infantería de Granada Compañías al Cápitan agregado D. Pedro Montero, y al primer Teniente de granaderos D. Pedro Meruéndano: en el de Asturias Ayudantía al primer Teniente D. Salvador Mazeres: en el de Ultonia primera Subtenencia al segundo Subten</t>
  </si>
  <si>
    <t>Montes de Oca y Garcés, Juan</t>
  </si>
  <si>
    <t>Juan Montes de Oca y Garcés</t>
  </si>
  <si>
    <t>Herrera, D. Jacinto de * Aguiiar y Tablada, 0. Joreóh Cortés y Azua, O. Basilio de Gelos y García , D. Juan Montes de Oca y Garcés, 0. Cayetano Zurita y Adorno, 0. Joseph López Martínez y.Salas, D. Jacinto.Butler y Henriquez, Don Manuel de Montes, Don Juan Topetey D. Salvador Vidart, 0.- Agustín Bocalán, D. R</t>
  </si>
  <si>
    <t>Montes de Oca, Lorenzo</t>
  </si>
  <si>
    <t>Lorenzo Montes de Oca</t>
  </si>
  <si>
    <t>cio de ella: para otra Ración de la misma catedral; vacante por fallecimiento de D. Matías Fonte, á D. Lorenzo Montes de Oca, Cura de la parroquia de la villa de Guia, de aquel obispado : para otra Ración de Ja propia catedral, vacante por muerte de D. Domingo che León y Rozas, á D. Agustín García y Vel</t>
  </si>
  <si>
    <t>Montes Tabáres, Joseph</t>
  </si>
  <si>
    <t>Joseph Montes Tabáres</t>
  </si>
  <si>
    <t>* ñiente Coronel al Xefe de Brigada D. Alfonso de Fütundarena: á-Xefe^de Brigada al Capitán primero D. Joseph Montes Tabáres; y á Capitán prlmero al de segunda clase D. Francisco López Ezquerra. 1 &gt;♦« S. M. se ha dignado promover á Portaestandarte del regimiento de caballería del Rey, primero de línea,</t>
  </si>
  <si>
    <t>Montes, Christóbal</t>
  </si>
  <si>
    <t>Christóbal Montes</t>
  </si>
  <si>
    <t>ón de San Martin; á esta resulta al Exento Don Carlos Cataneo; á Exento de número al supernumerario D. Christóbal Montes, y á Exento supernumerario al Brigadier de la misma Compañía Italiana D. Benito Capini. El Rey se ha servido conferir en el regimiento de infantería de Granada Compañías al Cápita</t>
  </si>
  <si>
    <t>Montes, Juan</t>
  </si>
  <si>
    <t>Juan Montes</t>
  </si>
  <si>
    <t>. Francisco Campos; á Ayudante al Teniente D. Diego Cabra; á Teniente de granaderos al de fusileros D. Juan Montes; á Tenientes á los Subtenientes Don Pedro Branly, de bandera , D. Joseph y D. Pedro Sánchez Griñan, de granaderos ; á Subtenientes de granaderos los de fusileros D. Luis Arnaiz y</t>
  </si>
  <si>
    <t>Montgirault</t>
  </si>
  <si>
    <t>go; y por otra parte estamos surtidos de modo que no tenemos rezelo ninguno. El ciud. Montgirault hace mil elogios de la franqueza y cordialidad del gobierno español, y de la constante fineza del Almirante Gravina, que no pierde ocasión de sernos útil. Desp</t>
  </si>
  <si>
    <t>Montoya y Diez, Felipe</t>
  </si>
  <si>
    <t>Felipe Montoya y Diez</t>
  </si>
  <si>
    <t>as con 1® hom- 1 bres de desembarco, y se esperaban otros 6®. PUsencia 20 de Agosté. » P or el Líg. D. Felipe Montoya y Diez, Canónigo Lectoral de esta santa iglesia, Juez Subcolector apostólico y Real de espolios y vacantes en ella y su obispado, y director de la Real casa de expósitos, fuéron convidad</t>
  </si>
  <si>
    <t>Montóya, Gerónimo</t>
  </si>
  <si>
    <t>Gerónimo Montóya</t>
  </si>
  <si>
    <t>uel de Gerona, D. Manuel Henriquez, D. Francisco Xavier de Mendíri, D. Bartolomé Ladrón de Guevara, D. Gerónimo Montóya, Don Manuel de la Breña, D. Manuel de Alva, D. Juan Vázquez, D. Alberto Moreyra, D. Joseph de Lago, D. Juan María de Moráles, Dé 'Joseph Coppola, D. Pedro Antonio Casasola^'D. Jos</t>
  </si>
  <si>
    <t>Montrichard, General</t>
  </si>
  <si>
    <t>General Montrichard</t>
  </si>
  <si>
    <t>quiso intentarlo,, se ahogo también: Berna de Diciembre. E l dia 2.2 llegó aquí con su comitiva el General Montrichard , que reenw plaza al General Montchoisi en el mando de las tropas: francesas que hay en. Suiza. Ya salió de esta ciudad para León el ciud. Veminac llamado por el pri* qier Cónsul</t>
  </si>
  <si>
    <t>semana llegó aquí el ciud. Vaillant en calidad de comandante de esta plaza: trae instrucciones del General Montrichard, que anuncian la próxima llegada de varias tropas de dicha nación, que han de ocupar esta ciudad y los demas pueblos del mismo cantón: lo qual causa mayor novedad por quanto se as</t>
  </si>
  <si>
    <t>34§ por el ciud. Vernlnac , Ministro francés én Berna , y por el General Montrichard, comandante de las tropas francesas en Suiza, encargados del arreglo de dicho país en nombre del gobierno francés ; todo ello en virtud del tratado de Luneville, según el qual el-</t>
  </si>
  <si>
    <t>pas; francesassalieron de Basilea el 7 del .corriente. La tarde anterior llegó á¡ aquella ciudad el General Montrichard con su familia y jos individuos de la plana mayor ide' Sii exérejto., y fué recibido con- salva y todos:los honores militares correspondientes á su grado. . Acaba el Senado. de. d</t>
  </si>
  <si>
    <t>Montrichardy, General</t>
  </si>
  <si>
    <t>General Montrichardy</t>
  </si>
  <si>
    <t>ion executiva. Celebróse la dieta á presencia de un Comisario ordenador francés, como apoderado del General Montrichardy la presidió el ciud. Fahrlander , como Prefecto interino. En ella se declaró la unión del frickthal con la Helvecia para formar un solo cantón; y se leyó a los diputados la nueva con</t>
  </si>
  <si>
    <t>Monyano, Tomás</t>
  </si>
  <si>
    <t>Tomás Monyano</t>
  </si>
  <si>
    <t>y se ha servido nombrar para la plaza de Oidor de la Audiencia de Sevilla, vacante por promoción de D. Tomas Monyano á la de Alcalde de su Real casa y corte á D. Joaquín Sotelo, Alcalde del Crimen de la de, Extremadura: para la de Oidor de esta* vacante por promoción también de D. Juan Antonio I</t>
  </si>
  <si>
    <t>Moore</t>
  </si>
  <si>
    <t>Cardenal de Rohan, Obispo de Strasborgo. Lóndres de Octubre. H a salido de aquí con el mayor sigilo Mr. Moore, uno de los oficiales dej la Secretaría de Estado, y que fué-Secretario particular del Lord Cornwallís en el congreso de Amiens. Le acompaña un correo de gabinete, y se&gt; embarcó e</t>
  </si>
  <si>
    <t>% la qual fué muy brillante y numerosa. Poco después se restituyó el Soberano á Kew. Se asegura que Mr. Moore, de cuyo viage repentino y secreto se ha hablado tanto, na ido á Petersburgo, _ La Emperatriz, madre del Emperador Alexandro 1, ha enviado una sortija de gran precio al Dr. Jenner</t>
  </si>
  <si>
    <t>sboa en Holanda un empréstito de 15 millonee de moneda del país á y por 100 de intereses. El ingles Mr. Moore, despachado con tanta priesa como secreto de Lóndres á Petersburgo, ha tardado muchos días en llegar al Haya, porque los temporales le han contrariado en su navegación. Se esperan</t>
  </si>
  <si>
    <t>Mor de Fuentes, Joseph</t>
  </si>
  <si>
    <t>Joseph Mor de Fuentes</t>
  </si>
  <si>
    <t>do. Segunda impresión de la Serafina, novela original, en cartas escritas de Zaragoza á Burgos; por D. Joseph Mor de Fuentes. Esta obrita, que sale muy aumentada, no fué al principio mas que una especiede ensayo;pero ahora, en vista del aprecio que ha merecido este género nuevo y sencillo de composición</t>
  </si>
  <si>
    <t>Mora, Dionisio</t>
  </si>
  <si>
    <t>Dionisio Mora</t>
  </si>
  <si>
    <t>..,.,.. 40. 13. Id. Dionisio Mora.................. .. Josef, Juana Juárez............. Labrada....... Avila....,.,.aso. 4. Id- Alexo Aude....................... .. Manuel, Rosa Lazan......... Alagon......... Ar</t>
  </si>
  <si>
    <t>Mora, Joseph</t>
  </si>
  <si>
    <t>Joseph Mora</t>
  </si>
  <si>
    <t>nombrar para un Beneficio de la villa de Valls, diócesis de Tarragona, vacante por fallecimiento de D. Joseph Mora, y por no haberlo admitido D. Simón Tomas, á D. Fidel Moragas. El R ey se ha servido nombrar para segundo Teniente de la Compañía Americana del Real cuerpo de Guardias de Corps al</t>
  </si>
  <si>
    <t>Mora, Vicente</t>
  </si>
  <si>
    <t>Vicente Mora</t>
  </si>
  <si>
    <t>de la ciudad de Valencia,, ajD. Manano Liñan: para otro de la de Santo Tomas, de la mism^ ciudad, á D. Vicente Mora; y para una de la? quatro Capellanías fundadas en la capilla de* Smó. qhri&amp;o d^ la Redonda, en la colegial de Logroño, diócesis deCalahorra, vacaiitf por failecimiento de D. Mateo</t>
  </si>
  <si>
    <t>Moragues, Antonio</t>
  </si>
  <si>
    <t>Antonio Moragues</t>
  </si>
  <si>
    <t>sep]iZapiota, D. Ramón de Londoño, D. Ramón de Novoa, D. Francisco García Señeris, D. Tomas Seidel, D. Antonio Moragues, D. Gines Marsilia, D. Isidro Suquilvide , 0. Nicolás Angelí. Radovani, 0. Pedro Salas- , 0. Joseph Foraster, D. Francisco de PaulaiZayas, D. Francisco Tórdi, I&gt;. Joaquiti Ruiz, D</t>
  </si>
  <si>
    <t>Moral Pintado, Diego</t>
  </si>
  <si>
    <t>Diego Moral Pintado</t>
  </si>
  <si>
    <t>se publicaron en el suplemento á la gazeta. de .28 del pasado. Por providencia de 26 del pasado de D. Diego Moral Pintado , Regente de la Real jurisdicción de la villa de Cien pozuelos, por ante su Escribano del número 'D. Manuel Pradillo Botija, se ha mandado citar y emplazar los’acreedores á la tes</t>
  </si>
  <si>
    <t>Moral, Joseph</t>
  </si>
  <si>
    <t>Joseph Moral</t>
  </si>
  <si>
    <t>teniente de granaderos D. Francisco Arana y Bustamante; á Subteniente de granaderos al de fusileros Don Joseph Moral, y á la Subtenencia de bandera que resulta al Cadete D. Antonio Tamayo : en el de infantería de Nüeva-España á Capitán al Ayudante D. Agustín de la Vina ; á Ayudante al Teniente d</t>
  </si>
  <si>
    <t>Moral, María</t>
  </si>
  <si>
    <t>María Moral</t>
  </si>
  <si>
    <t>Rubio......... Alarcon......... Cuenca.......... 87. 36. Id. Cadete D. Isidro Astulez... D.Josetj; Doña María Moral. Búrgos........... Búrgos........... s8. 3. Licenciado. Pedro Fernandez................. Pedro, Vicenta Salinas.... Sahagun....... León.............. 40. 30. Id. Angel García.....</t>
  </si>
  <si>
    <t>Morales y Gallegás, Rafael</t>
  </si>
  <si>
    <t>Rafael Morales y Gallegás</t>
  </si>
  <si>
    <t>a /Ó.’Domíngolde^M^tienzd y ligarte , 1).*»Manuel Jove Huelgo Pifefo ,D. Ventufe Merino1 y Llanera^ D. Rafael Morales y Gallegás^ l!&gt;v Melchor Nieto Polo, D. RarnóñTa— oigoe | 'w»it j *^4 jw»i ^vv*vuv* j ( 4 «/vía Tomas Briones y^innuói, D-Mahuel C^ll^P^résy ^H. Pedról^ííartinéa: del Coíro, D.Mamfel de la I</t>
  </si>
  <si>
    <t>Morales y Somolinos, Juan Antonio</t>
  </si>
  <si>
    <t>Juan Antonio Morales y Somolinos</t>
  </si>
  <si>
    <t>tremadura á D. Joseph Manuel Calderón de Guevara, Alcalde mayor de Badajoz ; del Crimen de Aragón á D. Juan Antonio Morales y Somolinos, Alcalde\mayor primero dje Zaragoza; del Crimen de Valencia á D. Ramón Patricio Moreno, Alcalde mayor primero de aquella ciudad: y del Crimen de Cataluña á D. Joseph Cayetano Garc</t>
  </si>
  <si>
    <t>Morales, Alonso</t>
  </si>
  <si>
    <t>Alonso Morales</t>
  </si>
  <si>
    <t>e de la Mar, D. Angel Mijáres, D. Gerónimo Marco , D. Francisco Marcó del Pont, D. Juan Martí Mofa, D. Alonso Morales, D. Nicolás de Mora, D. Fermín Roméo, D. Francisco Merino, D. Manuel María Pus* terla, D. Francisco Ayóla, D. Juan Tarrius, D. Manuel de Miedes, Don Francisco Dionisio Vives, D. J</t>
  </si>
  <si>
    <t>Morales, Francisco Agustín</t>
  </si>
  <si>
    <t>Francisco Agustín Morales</t>
  </si>
  <si>
    <t>nio Rada : para la plaza de Tercenista de la administración principal de aguardientes del Socorro á D. Francisco Agustín Morales: para la de Oficial segundo de la administración principal de alcabalas de Quito á O. Mariano Larrea: para la de Oficial de libros interventor de la factoría de tabacos de Ambalem</t>
  </si>
  <si>
    <t>Morales, Ignacio</t>
  </si>
  <si>
    <t>Ignacio Morales</t>
  </si>
  <si>
    <t>inistro Tesorero de las Reales Caxas del puerto de Oinoa, Reyno de Goatemala, vacante por muerte de D. Ignacio Morales, á D. Manuel Jacinto Gómez y Fuentes, Oficial quarto de la Contaduría general de Alcabalas del propio Reyno; y esta resulta á D. Félix Castalio, Escribiente de la misma renta: y h</t>
  </si>
  <si>
    <t>Morales, Juan Ángel</t>
  </si>
  <si>
    <t>Juan Ángel Morales</t>
  </si>
  <si>
    <t>de. Alcaide delGonsejo deíNavarra, vacante por la promoción de D* Pascual Rodríguez de Arellano ¿ á D. Juan Angel Morales de&gt; Illescas. f ab XartibienXradoneedído;rS. M; honores dedOidorde lá. Chancillería de Grabada», D./fosef&gt;h:(Manuel de BeHuga, Auditorjubilado del departa*! mentor de,. Marina de Cád</t>
  </si>
  <si>
    <t>Morales, Rafael</t>
  </si>
  <si>
    <t>Rafael Morales</t>
  </si>
  <si>
    <t>. Manuel Dambrihe, D. Francisco Perez Brito , D. Juan Joseph Cana*,D'&lt;Pedro García, D. Juan Méndez, D. Rafael Morales,. Agustín Arenas, D. Juan Amaro Pestaña, D. Manuel Fernandez, D. Miguel Texedor, D. Joseph de los Ríos, D. Guillermo Roo, IX Juan Antonio Heredia, D. Joseph de Chastre, D. Manuel</t>
  </si>
  <si>
    <t>Moran, Pedro</t>
  </si>
  <si>
    <t>Pedro Moran</t>
  </si>
  <si>
    <t>... 182. 9. Muerto, Pedro Moran..................... . Josef, María Rodríguez.... Estébanez.... León............. 15. 27. Licenciado, Juan Domínguez................ Sebastian, María</t>
  </si>
  <si>
    <t>93. x8. Id. Pedro Moran.....¡, Mateo, Tomasa Carracedo. Castro-Trigo.. León.............. 80. 23. Id. Manuel Marcos....... Patric</t>
  </si>
  <si>
    <t>Morchio</t>
  </si>
  <si>
    <t>u primera junta nombró los Presidentes de las 4 magistraturas inferiores: á los ciudadanos Morchio para la de legislación, Maglione pava la de lo interior,, Ser*</t>
  </si>
  <si>
    <t>Morcillo</t>
  </si>
  <si>
    <t>rio en Francia. Todavía no está nombrado el Dux, y háce de tal interinamente el ciud. Morcillo, Presidente de la magistratura de legislación. Tur¡n 3 de Julio. H a llegado á Niza un batallón dél cuerpo de tropas francesas que estaban en Nápoles, el quál</t>
  </si>
  <si>
    <t>Moreda, Santiago</t>
  </si>
  <si>
    <t>Santiago Moreda</t>
  </si>
  <si>
    <t>one, D. Ramón Gómez, D. Diego Cortés, D. Juan O-Donovan, D. Joaquín 0-ReiUy\D. Joseph de la Piedra, D. Santiago Moreda , Don Gregorio Donayrej Dé Pablo Carbonell, D. Juan Antonio Martínez, Don Joaquín Goyeneche j D. Vicente de Campos, D. Vicente Pallas, D. Manuel Herrero, D. Jóaquin Egaña, D. Alex</t>
  </si>
  <si>
    <t>Morell de Solanilla, Ángel</t>
  </si>
  <si>
    <t>Ángel Morell de Solanilla</t>
  </si>
  <si>
    <t>or orden de los Generalas Leelercy Richepanse. t\ Laxa 2 de Noviembre. JL or orden y disposición de D. Angel Morell de Solanilla, Corregidor de esta ciudad, se celebró en las casas consistoriales un certamen público de latinidad, retórica, poética, gramática castellana, geografía, historia de España y crono</t>
  </si>
  <si>
    <t>Moreno Avendaño, Juan</t>
  </si>
  <si>
    <t>Juan Moreno Avendaño</t>
  </si>
  <si>
    <t>a de Lima, vacante por promoción de ¿i Felipe Cisneros de la Oliva á Regente' de larde Filipinas ,á D. Juan Moreno Avendaño, Oidor de la Audiencia de Quito. El Consejo » 4 consulta de la Conüstoo gubernativa 9 y con aprobación de S. M., ha resuelto la quadragésima segunda amortización de 210 Vales de 6</t>
  </si>
  <si>
    <t>Moreno Avendano, Juan</t>
  </si>
  <si>
    <t>Juan Moreno Avendano</t>
  </si>
  <si>
    <t>ha seryido nombrar para una plaza de Oidor de la Real Audiencia de Quito, vacante por promopion de D. Juan Moreno Avendano?£,ptr| 4 A I5?)lpe Fuertes ysAm4í» Abogado,de jQ$fR&lt;^Ppn^ps* yi^l^hk Ww dp ladilla de Na^lcapr^r^ Igualr my¿* en el Rey no de Goatemala, vacante por muerte de D* Pedro Antonio Alv</t>
  </si>
  <si>
    <t>Moreno Muñoz, Manuel Antonio</t>
  </si>
  <si>
    <t>Manuel Antonio Moreno Muñoz</t>
  </si>
  <si>
    <t>ltima voluntad D. Manuel Antonio Arias Beas, D. Bernardo Perucho de Heredia, presbíteros, y"ei Lie. D. Manuel Antonio Moreno Muñoz, Abogado de los Reales Consejos, de aquella vecindad, varias informalidades'y omisiones en las cuentas, asientos y demas papeles, han acordado se haga saber á qualesquiera persona</t>
  </si>
  <si>
    <t>Moreno Ximenez de Roxas, Antonio</t>
  </si>
  <si>
    <t>Antonio Moreno Ximenez de Roxas</t>
  </si>
  <si>
    <t>de la Coruña: para otra de la misma iglesia, vacante por fallecimiento de D. Juan Ramón Recarte, a D. Antonio Moreno Ximenez de Roxas, Canónigo de la catedral de Patencia: para otra de la propia catedral de Cuenca, vacante por muerte de D. Fernando Zaragoza, á D. Pedro Antonio Denche, Cura de Tarancon: para otra</t>
  </si>
  <si>
    <t>Moreno y Mendoza, Luis</t>
  </si>
  <si>
    <t>Luis Moreno y Mendoza</t>
  </si>
  <si>
    <t>o Afán de Rivera, D. Benito Prieto Solares, D. Josepn Zuaznavar y Francia, D. Joseph Julián Jovani, D. Luis Moreno y Mendoza, D. Franf cisco Basurto y Vargas, D. Joseph de lá Azuela, P. Antonio Castaños, D. Ignacio Acedo, D. Francisco García González, D„ Francisco Xaviejr Pineda, D. Bartolomé Rodríguez</t>
  </si>
  <si>
    <t>Moreno, Antonio</t>
  </si>
  <si>
    <t>Antonio Moreno</t>
  </si>
  <si>
    <t>1026 Toledo, D. Antonio Moreno, D. Juan Aldrete, D. Joseph Dupré, D. Simón Fuentes, D. Manuel de Madrigal, D. Narciso Bernales; D. Fernando Orive, D. Francisco de Castro,.D. Francisco Mexia, D. Juan Joseph Inda</t>
  </si>
  <si>
    <t>Moreno, Joseph</t>
  </si>
  <si>
    <t>Joseph Moreno</t>
  </si>
  <si>
    <t>os al de fusileros D. Marcos Laborda , y á Subteniente de bandera al Sargento primero de granaderos Don Joseph Moreno: y en el batallón de infantería provincial de Guadalaxara á Capitán de granaderos al de fusileros D. Manuel del Rio. El Rey se ha servido conceder Tenencia en el regimiento de inf</t>
  </si>
  <si>
    <t>Moreno, Juan</t>
  </si>
  <si>
    <t>Juan Moreno</t>
  </si>
  <si>
    <t>333. Muerto. Juan Moreno.................. ..... Talaban........... Cáceres...... 47. 15. Id. Bartolomé Martínez..........</t>
  </si>
  <si>
    <t>Moreno, Juan Joaquín</t>
  </si>
  <si>
    <t>Juan Joaquín Moreno</t>
  </si>
  <si>
    <t>sób de Bateeloba'; D. Ignacio Lancástér; - D.f Francisco Xavier dé Negrece; X). Francisco dé Borja; D. Juan Joaquín Moreno; Conde de Fuéntéblanca&gt; y D. Jdseph dé Urrutia: ’ ' \ — v7 v' ' 7" ;; ,-7- • ‘ 7 r; Bandas de la Real orden dé Dantas nobles de Afaifa Luisa. Xa Reyna Nra. Sra. se lia servido con</t>
  </si>
  <si>
    <t>Moreno, Juan Romualdo</t>
  </si>
  <si>
    <t>Juan Romualdo Moreno</t>
  </si>
  <si>
    <t>de la-catedral de Coria, vacante por fallecimiento de. D. Joaquín FranciscoI Bárdenlos y Ay ala, á D. Juan Romualdo Moreno y, Sanz, -Canónigo péniténciario de la misma iglesia, con 2® rs. de pensión á favor de la Real capilla de S. M. : para el Arcedianato de Valdeaybar,. Dignidad de la catedral dé Pamp</t>
  </si>
  <si>
    <t>Moreno, Manuel</t>
  </si>
  <si>
    <t>Manuel Moreno</t>
  </si>
  <si>
    <t>ificado primeramente con el único hijo del Palaciano de dicha villa 1 ). Martin Pagóla, con otro de D, Manuel Moreno, y con una de las hijas del primero de dichos profesores, para que á su exemplo é imitación ( que es el mejor incentivo) el resto del pueblo adoptase tan preciosa práctica. En efe</t>
  </si>
  <si>
    <t>Moreno, Melchor</t>
  </si>
  <si>
    <t>Melchor Moreno</t>
  </si>
  <si>
    <t>e remitirán sus memoriales á la Comunidad eclesiástica de dicha iglesia parroquial, dirigiéndolos á D. Melchor Moreno, Cura y Secretario de la misma. Para facilitar á toda clase de personas la lectura dé las mejores obras del inimitable Miguel de Cervantes Saavedra, en continuación de los &lt;5 tomo</t>
  </si>
  <si>
    <t>Morera, Sebastián</t>
  </si>
  <si>
    <t>Sebastián Morera</t>
  </si>
  <si>
    <t>s D. Blas Vidarte, Alférez de Carabineros de la Reyna María Luisa, discípulo del primer catedrático D. Sebastian Morera, se distinguió particularmente, mereciendo que todo el concurso elogiase la inteligencia, solidez y claridad con que contestó á las preguntas que por los profesores se le hicieron</t>
  </si>
  <si>
    <t>Moreyra, Alberto</t>
  </si>
  <si>
    <t>Alberto Moreyra</t>
  </si>
  <si>
    <t>Ladrón de Guevara, D. Gerónimo Montóya, Don Manuel de la Breña, D. Manuel de Alva, D. Juan Vázquez, D. Alberto Moreyra, D. Joseph de Lago, D. Juan María de Moráles, Dé 'Joseph Coppola, D. Pedro Antonio Casasola^'D. Joseph*Molina , D. Miguel Taboada, D. Pedro Espinosa, D. Ramón Varela ¿ D. Melchor</t>
  </si>
  <si>
    <t>Moreyra, Martín</t>
  </si>
  <si>
    <t>Martín Moreyra</t>
  </si>
  <si>
    <t>29. 29. Id. Martin Moreyra................. Mateo, María García......... Madrid.......... Madrid........ 191. 18. Licenciado. Nicolás Chaves................. Josef, María'Garda.......... Lillo...........</t>
  </si>
  <si>
    <t>Mori, Carlos</t>
  </si>
  <si>
    <t>Carlos Mori</t>
  </si>
  <si>
    <t>rcito de Aragón. A Tenientes Generales los Mariscales de Campo: en España* D. Francisco de Córdoba, D. Carlos Mori, D. Felipe Beautort, D. Salvador Perillos, D. Melchor Calatayud, D. Manuel Lapeña, D. Joseph Bureau, D. Juan Carrafa, el Marques de la Solana, D. Arturo O-Neille, Duque de San Car</t>
  </si>
  <si>
    <t>Morillas, Antonio</t>
  </si>
  <si>
    <t>Antonio Morillas</t>
  </si>
  <si>
    <t>: para la de Guarda de la misma á B. Juan Manuel Abalos: para la de Interventor de la de Orizava a D. Antonio Morillas : para Oficial 2.0 de. la Contaduría de la de Pueblaá D. Anastasio Alarcon : para la de Tesorero de la Factoría de Valladolid á D. Francisco Ruiz de España: para la de Administrad</t>
  </si>
  <si>
    <t>Morillo, Domingo</t>
  </si>
  <si>
    <t>Domingo Morillo</t>
  </si>
  <si>
    <t>87. 30. Id. Domingo Morillo..... Alonso, María Martínez... Cereigal..... Salvatierra... 85. 3a. Id. Juan Martínez........ Juan , Cay</t>
  </si>
  <si>
    <t>Moro, Manuel</t>
  </si>
  <si>
    <t>Manuel Moro</t>
  </si>
  <si>
    <t>16. 33. Id. Manuel Moro.................... . Antonio, Gerónima Bueno. Orra............... Búrgos....... 76. 16. Id. Francisco Garda Gallego... Gerónimo, Josefa Gallego.</t>
  </si>
  <si>
    <t>Morusi, Príncipe</t>
  </si>
  <si>
    <t>Príncipe Morusi</t>
  </si>
  <si>
    <t>gobierno francés, salió de aquí el i.° de este mes para París. Le .acompañan su dragomán, que es el Príncipe Morusi, y otro dragomán de la legación'de Fráncia. Su comitiva se compone de 38 personas, ademas de dos ingleses que van con él hasta Viena. Petersburgo slj de Abril. H a querido el gobi</t>
  </si>
  <si>
    <t>sGériéraleS'yempleadOs, los obsequió con pipás y sorbetes: Acompañan a esté Ministro su hijb, y ?el Príncipe Morusi , hermano delHospodar dé Valaqúia. Viajan todos en carruages turcos. Díeese que el Embaxador trae muchas curiosidades oriéntale* para regalar á los Cónsules y. á los Ministros ; V</t>
  </si>
  <si>
    <t>otomana. EL mismo dia envió el Plenipotenciario al Ministro de Relaciones exteriores su dragomán el Príncipe Morusi, y tuvo su primer conferencia la tarde del 2. Ha llegado el primer tegumento de artillería. En castigo de lo que el año pasado ocurrió en Turin había mandado el primer Cónsul que</t>
  </si>
  <si>
    <t>12 l8 al Príncipe Alexandro Suzzo, Hospodar de Moldavia; y ha nombrado en stx lugar al Príncipe Morusi,. confiriéndole dicha dignidad por toda su vida, lo qualha hecho también con el Príncipe Ipsilanti, nuevo Hospodar de Valaquia: pues á representación de algunos Ministros extrange</t>
  </si>
  <si>
    <t>Moss</t>
  </si>
  <si>
    <t>40© libras esterlinas, ú 840© pesos. Ha legado 20© libras á su hija, que está casada, y lo demas al Dr. Moss su hijo. Un carnicero vendió estos dias en el mercado de Hereford su muger á publica subasta, y la dió por 120 rs. y un boli de ponch. Amsterdani 20 de Abril. L a dirección genera</t>
  </si>
  <si>
    <t>Motezuma y Róxas, Joseph</t>
  </si>
  <si>
    <t>Joseph Motezuma y Róxas</t>
  </si>
  <si>
    <t>a, que residen en esta ciudad. Por la noche se sirvió en casa del Brigadier de los Reales exércitos D. Joseph Motezuma y Róxas, Teniente de S. A. el Sr. Infante D.Pedro, un abundante y exquisito refresco, al que concurridron la nobleza de ámbos sexóstaoftcialidad de caballería, que hacia tránsito por esta</t>
  </si>
  <si>
    <t>Moure, Juan Bautista</t>
  </si>
  <si>
    <t>Juan Bautista Moure</t>
  </si>
  <si>
    <t>D. Francisco Xavier González: en el de la Princesa á segundo Teniente al Subteniente de granaderos D. Juan Bautista Moure: en el de Cazadores Voluntarios de la Corona á Subteniente al segundo del de Hibernia D, Ramón Alberto Brandis: en el de Borbon á segundo Subteniente al Cadete del íixo de Ceuta D</t>
  </si>
  <si>
    <t>Moutier</t>
  </si>
  <si>
    <t>SS. MM. Prusianas al restituirse á esta capital harán su viage por Varsovia. El ciud. Moutier, Edecán del primer Cónsul, que transitó por aquí yendo con pliegos para Memel, ha vuelto á pasar dirigiéndose á Paris. Se ha restituido de esta ciudad ai Haya</t>
  </si>
  <si>
    <t>Moyano Rodríguez, Buenaventura</t>
  </si>
  <si>
    <t>Buenaventura Moyano Rodríguez</t>
  </si>
  <si>
    <t>i©94 . años y 8 meses el limo. Sr. D. Buenaventura Moyano Rodríguez, natural de la villa de Serrada en Castilla. Hizo sus estudios mayores y obtuvo el grado de Doctor y cátedra de Sagrada teología en propiedad en la Real universidad de Valladolid:</t>
  </si>
  <si>
    <t>Moyano, Fernando</t>
  </si>
  <si>
    <t>Fernando Moyano</t>
  </si>
  <si>
    <t>fael de Zuniga, D. Gerónimo Martin Cortés, D. Ramón Bétes, D. Francisco Portillo, D. Tomas Salcedo, D. Fernando Moyano, D. Juan Alabés, D. Juan Macarti, 0. Dionisio Sánchez, D. Joseph Chardenoux, D. Joaquín de la Hoz, D. Mateo Rodrigue?, D. Gervasio Gasea, D. Joseph Metzguer; y áD. Ignacio Paino y</t>
  </si>
  <si>
    <t>Moyses, General</t>
  </si>
  <si>
    <t>General Moyses</t>
  </si>
  <si>
    <t>s y atrocidades cometieron los negros sublevados, cuyo caudillo, según vehementes indicios, era. el General Moyses , sobrino de Santos Louverture. Contra este y contra todos sus partidarios blancos ó negros se dirigía principalmente la insurrección, cuyos xeles al fui fueron presos y castigado</t>
  </si>
  <si>
    <t>30 dias antes, trae noticia de que se restableció el sosiego en Sto. Domingo así que fué muerto el General Moyses, principal xefe de la insurrección que hubo en los distritos del Limbé , y en la qual perdieron la vida 100 blancos. Deseaban allí recibir noticias de Francia, y se creía que la e</t>
  </si>
  <si>
    <t>Mr Dreyer</t>
  </si>
  <si>
    <t>extraordinario de Suecia; por Mr. Jackson, Mini tro piempotenoar.o ingles; oor Mr Dreyer, Ministro de Dinamarca; por el Marques Oe Lucfiestni, Ministro de Bmsia; por el Conde de Marcoff Ministro de Rmiat y por el ciud Smits . Encargado interino de Negocios de la República batav</t>
  </si>
  <si>
    <t>Mrj Merry</t>
  </si>
  <si>
    <t>ud. Shimmelpenninkl, Émbaxador de la República bátava, el ciud* Labuchere : por Mrj Merry, Ministro de Inglaterra, Mr,;Spencer Sroith,. que era últimamente Ministro plenipotenciario de Inglaterra cerca de la Puerta, el Coronel Dillon, Mr. Palmer, y otros; y por el Marques de Luc</t>
  </si>
  <si>
    <t>Mufioz de Torres, Bartolomé</t>
  </si>
  <si>
    <t>Bartolomé Mufioz de Torres</t>
  </si>
  <si>
    <t>de quien les represente con poder, ante el expresado Exc. Sr. Gobernador del Consejo, y por mano de Don Bartolomé Mufioz dé Torres, Secretario de S. M. y Escribano de Cámara y de Gobierno del Consejo, que se admitirán las que se hicieren siendo arregladas: y verificado, señalará S. E. dia para su remate», que</t>
  </si>
  <si>
    <t>Muiler</t>
  </si>
  <si>
    <t>ciucL Diesbach , ex-Ministro helvético en Viena, ha reconocido aquella corte ai ciud. Muiler por Encargado de negocios de esta República. El ciud. Verninac,-Ministro de Francia residente aquí, ha escrito la siguiente carta al Landammann. y ¿ los Statha</t>
  </si>
  <si>
    <t>Muinarriz, Miguel</t>
  </si>
  <si>
    <t>Miguel Muinarriz</t>
  </si>
  <si>
    <t>oria que fundó Juana y Alonso del " Monte / qué á virtud de comisión se está subastando ante el Sr. D. Miguel Muinarriz /Óel Consejo de S. M- , su Alende de casa y corte, se ha mandado publicar por p 'diaá mas , la qual comprehende 6459 pies de $ltio y está tasada en 13i,4t j* r$/Quien quisiere hac</t>
  </si>
  <si>
    <t>Muller</t>
  </si>
  <si>
    <t>rí el gobierno británico la evacuación y entrega del Cabo de Buena Esperanza al ciud. Muller para la parte civil, ai Capitán Benay para la militar, y al ciud. Diebetz para quanto tiene relación con los hospitales. Estos 3 comisionados se embarcarán á f</t>
  </si>
  <si>
    <t>Mullér</t>
  </si>
  <si>
    <t>s tropas de lá ciudad desechó las dos intimaciones. Durante este ataqúe supo el ciud. Mullér, comandante de Morat, que se había empeñado una acción en sus puestos avanzados. Confiado en que duraba el armisticio, pero temiendo alguna traición* mandó que</t>
  </si>
  <si>
    <t>Muller, Cayetano</t>
  </si>
  <si>
    <t>Cayetano Muller</t>
  </si>
  <si>
    <t>u, D. Matías Arauco, D.. Antonio de Lema,D. Joseph López, D, Joseph de Piles,D. Martin de Jáuregui, D. Cayetano Muller, D, Juan Romay, D. Felipe del Saso , D. Carlos Calvo, D. Joaquín Aldecoa, D. Antonio de Rozo, D. Joseph.de la Gceja , P. Juan de Sesma, D. Santiago Aldaó, D. Juan Piñeyro, D, Narc</t>
  </si>
  <si>
    <t>Muller-Fredberg</t>
  </si>
  <si>
    <t>e los ciudadanos Augustini, Gran Baylío ó,Presidente , Stockalper y Derivaz. El ciud. Muller-Fredberg, que desempeña interinamente las funciones de Comisario extraordinario helvético en el Valais, se presentó en la Dieta, y le comunicó estar separado aquel país</t>
  </si>
  <si>
    <t>Muller-FriSerg</t>
  </si>
  <si>
    <t>elto el Senado enviar á París doAenadores en calidad de diputados, y lo son los ciudadanos Muller-FriSerg&gt; y Sprecher. Acabamos de recibir la agradable noticia de que el gobierno francés ha convenido en mediar en los asuntos de este país y restablecer el sosiego in</t>
  </si>
  <si>
    <t>Munárriz, Jacinto</t>
  </si>
  <si>
    <t>Jacinto Munárriz</t>
  </si>
  <si>
    <t>ricultura; D. Eusebio María Urróz, de la nobleza y dignidad de esta útil ciencia, y de los bosques; D. Jacinto Munárriz, sobre los medios de preservar los olivos de los efectos del frío excesivo; D. Juan Felipe Udaeta, de la utilidad de los inxertos, y sus especies; D. Vicente Ximenez, del modo de</t>
  </si>
  <si>
    <t>Munarriz, Miguel</t>
  </si>
  <si>
    <t>Miguel Munarriz</t>
  </si>
  <si>
    <t>28 Por el juzgado del Sr. D. Miguel Munarriz,'dcl Consejo de S. m! su Alcalde de casa y corte , y por la escribanía de provincia de D. Juan Anto'nió Díaz Noriega, se están subastando dos pedazos de tierra sitos en término de</t>
  </si>
  <si>
    <t>en término del lugar de Vicálvaro , que se sacáron á pública subasta por el juzgado del Sr. Alcalde Don Miguel Munarriz y escribanía de provincia de D. Juan Antonio Diaz Noriega, se remataron en la cantidad de 12,400 rs. en vales Reales, cuyo remate se ha aprobado por el Sr. Intendente de esta provinci</t>
  </si>
  <si>
    <t>, que vive en la calle del Ave María , núm. 3 , quarto baxo. Por providencia de 27 de Enero del Sr. D. Miguel Munarriz, del Consejo de S. M. , su Alcalde de casa y corte, se ha mandado sacar á pública subasta por término de 30 dias una casa sita en esta corte, calle de Amanuel, con accesorias á ia</t>
  </si>
  <si>
    <t>rá , y manifestarán los .planes en particular de cada una. Por providencia de 28 del pasado del Sr. D. Miguel Munarriz, del Consejo, de S. M. ,su Alcalde de casa y córte, se ha mandado sacará pública subasta por término de 30‘ dias una'casa sita*en está corté, calle de Leganitos', núm. 15 , manz.</t>
  </si>
  <si>
    <t>Munarríz, Miguel</t>
  </si>
  <si>
    <t>Miguel Munarríz</t>
  </si>
  <si>
    <t>,073! rs. , se ha vuelto á señalar el dia 25 de este á las 1 2 de su mañana en la audiencia del Sr. D. Miguel Munarríz, del Consejo de S. M. , y Alcalde de su Real casa y corte, y escribanía de provincia de D. Carlos Rodríguez de Moya. Por providencia del Sr. D. Juan Antonio Santa María, del Conse</t>
  </si>
  <si>
    <t>s prendas le hiciéron generalmente bienquisto de todos , y ha hecho sensible su pérdida. Por el Sr. D. Miguel Munarriz , del Consejo de S. M. , su Alcalde de casa y éorte , se cita y emplaza á los acreedores y personas que pretendan tener derecho 4 los bienes libres que han quedado en estos reynos</t>
  </si>
  <si>
    <t>Muñera, Francisco</t>
  </si>
  <si>
    <t>Francisco Muñera</t>
  </si>
  <si>
    <t>adrid de H de Enero de 1 Boo, se prorogap por otro año. Murcia 9 de Enero. D on Francisco Muñera, cirujano botánico honorario de los Reales exércitos, y del quartel de reos rematados de la plaza de Cartagena, convencido de los buenos efectos de la inoculación, de la vacuna por el gran</t>
  </si>
  <si>
    <t>Munet</t>
  </si>
  <si>
    <t>carta á los Corregidores de los tres quarteles en que se divide esta ciudad: ,,Ciudadanos Munet, Rousset y Charpieux, Mayres de la ciudad de León. Estoy muy satisfecho de la unión y del amor al gobierno que anima á los leoneses desde que sois Mayres. Dese</t>
  </si>
  <si>
    <t>Muniesa, Tadeo</t>
  </si>
  <si>
    <t>Tadeo Muniesa</t>
  </si>
  <si>
    <t>onio Montaña, D. Joseph S?avedra, D. Joseph Sastre, D; Francisco Nuñez, D. Maximiliano Saut Maxent, D. Tadeo Muniesa, D. Fernando Bienpica, D. Juan O-Snlivan, í). joseph de la Valle , Don Joseph Alvarez, D. Cárlos Meyner, D. Francisco Rodríguez , D. Tolhas Rocamora, D. Agustín Pinedo, D. Antonio</t>
  </si>
  <si>
    <t>Munilla, Matías</t>
  </si>
  <si>
    <t>Matías Munilla</t>
  </si>
  <si>
    <t>ndo Teniente al Subteniente de granaderos D. Juan de España: en el de Sevilla á Capitán al Ayudante D. Matías Munilla, y á Subteniente de granaderos al primer Subteniente D. Joseph Miranda: en el de Granada á segundo Teniente de granaderos al de fusileros D. Tomas Alvarez Cienfuegcs, y á segundo</t>
  </si>
  <si>
    <t>Munive, Ignacio</t>
  </si>
  <si>
    <t>Ignacio Munive</t>
  </si>
  <si>
    <t>|y Ángulo, D. Miguel Martínez y Montes, D. Luis Lasqueti y Gal vez, D. Joaquín Ramírez de Arellano* Don Ignacio Munive, D. Juan de Latre y Aissa, D. Tomas Urrecha y Assua, D. Ramón de Móyua y Mazarredo, D. Francisco Tamayo y Reynalte, D. Joseph Carássa y Figueroa, D. Francisco Xavier Saravia, D. R</t>
  </si>
  <si>
    <t>Munive, Joseph</t>
  </si>
  <si>
    <t>Joseph Munive</t>
  </si>
  <si>
    <t>an de Yarza, D. Manuel de la Riva Agüero, D. Joseph Cia, D. Leopoldo Menendez, D. Joseph de Torres, D. Joseph Munive, D. Luis Verganza, D. Luis Vidarte, D. Joachín del Rio, D. Francisco 1 respalacios , D. Francisco ÍNecochea , D. Joseph Gaitan , D. Mariano Zapata , D. Agustín y D. Luis Duran. Pr</t>
  </si>
  <si>
    <t>Munive, Joseph María</t>
  </si>
  <si>
    <t>Joseph María Munive</t>
  </si>
  <si>
    <t>Vidarte, i D-Í'o¿qum del ÍÜo, D. Frabciscf» trespalaeios y D, JuanEantista Geram; los seminaristas D. Joseph María Munive y D. Agustín Duran ajo fueron examinados por indisposición de salud. Todos los concurrentes aplaudieron en esta variedad de ramos, así los progresos de los seminaristas como la buena</t>
  </si>
  <si>
    <t>Muñiz, Manuel</t>
  </si>
  <si>
    <t>Manuel Muñiz</t>
  </si>
  <si>
    <t>Torrescano, y al de fusileros D. Juan Bautista Guerra ; á Subteniente de granaderos al de fusileros D. Manuel Muñiz, y á Subtenientes á D. Joseph Buenaventura Herrera y D. Aíanuel Mayo y Camaño, el primero Sargento del mismo cuerpo. El Consejo, á consulta de la Comisión gubernativa, y con aprob</t>
  </si>
  <si>
    <t>Muñoz de Baena, Joseph</t>
  </si>
  <si>
    <t>Joseph Muñoz de Baena</t>
  </si>
  <si>
    <t>oluntarios de España á primer Teniente al segundo Teniente D. Miguel Marín , y ;á Alférez al Cadete D. Joseph Muñoz de Baena. El 3 deL corriente falleció de edad de 53 años, en la ciudad de Cádiz, el Mariscal deCampo de los Reales exércitos D. Domingo Fernandez Cueto, Gobernador interino de dicha plaza.</t>
  </si>
  <si>
    <t>Muñoz de Cedenilla, Ignacio</t>
  </si>
  <si>
    <t>Ignacio Muñoz de Cedenilla</t>
  </si>
  <si>
    <t>seph de Zúñiga, D. Alberto Maynes, D. Joseph. de Tona, D. Juan Joseph de Fierro, D. Pedros Salcedo, D. Ignacio Muñoz de Cedenilla, D. Pedro de Tagle y D. Atanasio Sotelo. , Agrado de Capitán los Tenientes: en España, D. Manuel Chaperon y D. Leoncio Carrasco. Agrado de Teniente los Alféreces D. Dionisio Becca</t>
  </si>
  <si>
    <t>Muñoz de Torres, Bartolomé</t>
  </si>
  <si>
    <t>Bartolomé Muñoz de Torres</t>
  </si>
  <si>
    <t>icadas por S. M. én el asuntó, acudirá ante el mismo Sr. Juez y por medio de O. Bartolomé Muñoz de Torres, Secretario de S. M. , Escribano de Cámara mas antiguo y de gobierno del Consejo y de la referida comisión j con prevención de que para su remate ha señalado dicho Sr. el dia 22 de Abril próx</t>
  </si>
  <si>
    <t>on poder ante el expresado.Exento. Sr. Gobernador del Consejo, y por mano de &amp;. Bartolomé Muñoz de Torres, Secretario de S.M. y Escribano de Cámara y de Gobierno del Consejó, que se admitirán las que se hicieren siendo arregladas: y verificado, sefialará $. E. dia para su remate, que se ha de cel</t>
  </si>
  <si>
    <t>e quien las represente con poder ante el referido, Excmo. Sr. Gobernador del Conseco, y por mano de D. Bartolomé Muñoz de Torres, Secretario de S. M.^Escribano de Cámara y dé Gobierno del Consejo, que se admitirán las</t>
  </si>
  <si>
    <t>e quien las representé con poder ante el referido Excmo. Sr. Gobernador del Consejo, y por roano de D. Bartolomé Muñoz dé Torres, Secretario de S. M. , Escribano de Cámara y de Gobierno-del Consejo, que se admitirán las que se hiciesen hasta el acto del remate, que se ba de verificar en el citado dia «o de</t>
  </si>
  <si>
    <t>Muñoz y Abreu, Juan</t>
  </si>
  <si>
    <t>Juan Muñoz y Abreu</t>
  </si>
  <si>
    <t>o, P. Francisco Ponce de León y Morejon, D. Juan Navarro y Pinillos, D. Rafael del Castillo y Rada, D. Juan Muñoz y Abreu, D. Matías Arauco, D.. Antonio de Lema,D. Joseph López, D, Joseph de Piles,D. Martin de Jáuregui, D. Cayetano Muller, D, Juan Romay, D. Felipe del Saso , D. Carlos Calvo, D. Joaqu</t>
  </si>
  <si>
    <t>Muñoz y Borjas, Nicolás</t>
  </si>
  <si>
    <t>Nicolás Muñoz y Borjas</t>
  </si>
  <si>
    <t>ermo de Zarate, Canónigo Doctoral de la misma: para la Chantría de la propia, vacante por muerte de D. Nicolás Muñoz y Borjas, al Magistral D. Manuel. Ignacio de Uria y Llames *. para</t>
  </si>
  <si>
    <t>Muñoz y San Clemente, Francisco</t>
  </si>
  <si>
    <t>Francisco Muñoz y San Clemente</t>
  </si>
  <si>
    <t>tana, D. Agustín Lasala, D. Pedro Nolasco dei Rio, Don Joseph Sabido de Vargas, D. Joseph Salvador, D. Francisco Muñoz y San Clemente , D. Juan Antonio de laMata,D. Alexo García Condes Don Antonio Alvarez Ximenez, y D. Manuel Salcedo. A grado de Coronel los Tenientes Coroneles! en España. D. Mateo Iruegas, D. Na</t>
  </si>
  <si>
    <t>Muñoz, Félix</t>
  </si>
  <si>
    <t>Félix Muñoz</t>
  </si>
  <si>
    <t>Antonio Laprieta, D. Francisco Ezpeleta, D. Juan Albérni, D. Joaquín Puertolas, D, Vicente Pinzón, D. Félix Muñoz, D. Gines Albadalejos . D. Juan Pelayo Sánchez', D. Joseph María Crespo , D. Bartolomé Reselló, D. Miguel Valcarcel, D. Martin de la Carrera^ D. Jayme Garrofa, y D. Joseph Rich. E</t>
  </si>
  <si>
    <t>Muñoz, Joseph Fernando</t>
  </si>
  <si>
    <t>Joseph Fernando Muñoz</t>
  </si>
  <si>
    <t>n el batallón de milicias disciplinadas de las Quatro Villas á Coronel al Capitán del misino cuerpo D. Joseph Fernando Muñoz; á Ayudante al Teniente D. Mateo Casanova, y á esta clase los Sargentos primeros Veteranos D. Joseph Francisco de la Torre y D. Joseph de la Paz González: en el batallón de igual</t>
  </si>
  <si>
    <t>Muñoz, Juan</t>
  </si>
  <si>
    <t>Juan Muñoz</t>
  </si>
  <si>
    <t>. Gerónimo Cañete de -Lemus, D. Juan de Mata Herrera y Oca, D. Antonio Manrique, D. Antonio Garzón, D. Juan Muñoz, D. Alfonso de Ortega, Don Juan Bautista del Caño , D. Rafael Sánchez de Sandino, Juan de Roxas, Francisco de Yera, Pedro Martin, Francisco de Montes y Juan Cobo; y atendiendo dic</t>
  </si>
  <si>
    <t>Muñoz, Juan Bautista</t>
  </si>
  <si>
    <t>Juan Bautista Muñoz</t>
  </si>
  <si>
    <t>cadémi-* eos para rectificar la cronología de España.- Tomo 3.0 Elogio-de--Antonio--de Nebrija, por D. Juan Bautista Muñoz.=:Memoria sóbre la inscripción hebrea de</t>
  </si>
  <si>
    <t>Muñoz, Tomás</t>
  </si>
  <si>
    <t>Tomás Muñoz</t>
  </si>
  <si>
    <t>Tomas Muñoz......... . Pedro, María Gutiérrez... Cezura...........Búrgos. yo. io. Muerto. Vicente Alonso.................... André</t>
  </si>
  <si>
    <t>Muntaner, Francisco</t>
  </si>
  <si>
    <t>Francisco Muntaner</t>
  </si>
  <si>
    <t>mina; y se explican sus inscripciones. === Estampa que representa los referidos Sabtoi, grabada por D. Francisco Muntaner.Se venden en las librerías de Castillo , frente á S. Felipe, dé la viuda dé Cerro , red de S.' Luis, y-de Esparza,-puerta del Sol, á ¿ rs. la vida, y á 6 la estampa.1 Topografía h</t>
  </si>
  <si>
    <t>Murat, General</t>
  </si>
  <si>
    <t>General Murat</t>
  </si>
  <si>
    <t>rfecta armonía que reyna entre ellas y los habitantes, han movido al Rey de Etruria á manifestar al General Murat, por medio de sus Ministros, su plena satisfacción por una conducta tan digna de elogios. * Milán go de Noviembre. H an salido ya para León mas de 300 personas de las que han desa</t>
  </si>
  <si>
    <t>ho decreto, podrán completar sus cargamentos, para lo qual se les concede un término de 20 dias. El General Murat llegó de Milán aquí el dia 14, y se asegura que irá á León con el primer Cónsul. En Amiens ha dado la oficialidad del regimiento núm. 4 de dragones un bayle, á que asistieron los</t>
  </si>
  <si>
    <t>públicamente de la reunión de esta República con la Cisalpina. Milán 11 de Diciembre. A ntes que el General Murat saliese de aquí para León escribió á este gobierno dándole gracias por su cuidado y esmero en asegurar el pago de los sueldos caídos y corrientes de las tropas francesas , y felic</t>
  </si>
  <si>
    <t>po de esta ciudad ha llegado á León,, y que fue recibido con los mayores obsequios. La carta que el General Murat escribió al gobierno cisalpino poco antes de emprender su viage á León estaba concebida en estos términos : ,,He recibido, ciudadanos, la carta en que me avisáis que habéis señalado</t>
  </si>
  <si>
    <t>e de la República italiana, y fue recibido con salvas de artillería. El mismo dia comió en casa del General Murat, y por la noche concurrió ai teatro , que estaba primorosamente iluminado. Como aun no han venido de León varios miembros del gobierno constitucional, no ha podido hacerse su inst</t>
  </si>
  <si>
    <t>Scala, y se repitieron los vivas y aplausos. Concluyóse el dia con una brillante fiesta que dió el General Murat, El Cuerpo diplomático y los xefes de ios tribunales y otros ramos asistieron ala instalación. Parts i.° de Marzo. E 1 Conde de Dietz, Príncipe heredero de Nassau, hijo del que ha</t>
  </si>
  <si>
    <t>tivos para recibir y depositar en el Vaticano el cadáver de Pió vi. El ciud. Lagrange, Ayudante del General Murat , ha llegado aquí de Egipto, adonde fue con la noticia del ajuste de los preliminares de paz. No tardará en trasladarse á Milán. Hállase también en esta capital el célebre Paisiel</t>
  </si>
  <si>
    <t>quí, salió el 22 para Paris. Asimismo llegaron el 21 los ciudadanos Reille y Lanusse, Ayudantes del General Murat, y Aimé, su Secretario: fuéron presentados al Sto. Padre, y el 23 marcháron á Nápoles , adonde van á hacer las disposiciones que se requieren para la partida de las tropas frances</t>
  </si>
  <si>
    <t>H; Milán 20 de Abril. a vuelto de París el General Murat, y no tardará en salir para el Estado romano, á fin de pasar revista á todas las tropas francesas que han de evacuar el Reyno de Ñapóles y el territorio de la Iglesia. Ya llegáron</t>
  </si>
  <si>
    <t>en se espera en aquella ciudad á principios de Mayo. Parece que por el mismo tiempo llegará aquí el General Murat. Se han sentido estos dias en Orvia temblores de tierra leves, pero muy repetidos. Solamente el día 5 se experimentáron y. Bruselas 27 de Abril. Ü e Middelburgo avisan que las bor</t>
  </si>
  <si>
    <t>los fabricantes que presenten las 3 mejores piezas de telas pintadas. ; El ciud. Reille, edecán del General Murat, el xefe de esquadron Lañusse, y el secretario Aymé , llegaron hoy de vuelta de Ñapóles á esta capital, en donde esperan al General Murat. Maguncia yo de Abril. E . 1 ¿iud. Jea'n-</t>
  </si>
  <si>
    <t>ño désdéí el 17 dé Abril. " Roma 24 de Abril. ■&gt; E ti la noche del 18 al 19 llegó á esta capital el General Murat: á la mañana siguiente paso á visitar al Ministro francés Cacault, y el mismo dia comió con el Emo. Consalvi, Secretario de Estado. Por la tarde fue presentado á S. S., y el 20 em</t>
  </si>
  <si>
    <t>os que los malvados alteren, ni aun levemente, el sosiego público.” Ha llegado de Italia á París el General Murat. Conforme á la ley que manda se abra un curso público y gratuito de antigüedades en la biblioteca nacional , le empezó el dia 2i el ciud. A. L. Millin, conservador de antigüedades</t>
  </si>
  <si>
    <t>Murayre</t>
  </si>
  <si>
    <t>Una diputación del tribunal de Casación pasó á visitar al Cardenal legado; y ei ciud. Murayre, Presidente, le hizo el siguiente discurso: „Señor Cardenal. La religión y la justicia se prestan mutuo apoyo. ¡Felices los estados en que el' influxo de las i</t>
  </si>
  <si>
    <t>9f3 AI discurso del ciud. Murayre, Consejero de Estado, Presidente de! tflbunal de Casación, contestó .así él primer Cónsul: „En la conducta del tribunal tiene el gobierno la prenda mas segura</t>
  </si>
  <si>
    <t>Murga, Manuel</t>
  </si>
  <si>
    <t>Manuel Murga</t>
  </si>
  <si>
    <t>, y D. Juan de Cárdenas y Cárdenas. A Alféreces de Navio los de Fragata D. Diego Venegas y Aguilar, D. Manuel Murga, *p. Ventura Gutiérrez de Bustillo, D.: Joseph Roso y González, D. Joaquín Aróstegni, Don Joaquín Ibañez dé Corbera, D. Joseph Valdasano y Ros, D. Joseph del Rio Noguerido , ; D¿</t>
  </si>
  <si>
    <t>Muriel y Gómez, Matías</t>
  </si>
  <si>
    <t>Matías Muriel y Gómez</t>
  </si>
  <si>
    <t>villa, vacante por promoción de D. Francisco de Armenta y Godoy á otra de la catedral de Córdoba, á D. Matías Muriel y Gómez, Cura de la parroquial de S. Miguel de dicha ciudad de Sevilla: para otra de la catedral de Avila, vacante por promoción de D. Joseph Tous de Monsalve á la Doctoral de la catedral</t>
  </si>
  <si>
    <t>Muxica, Joseph</t>
  </si>
  <si>
    <t>Joseph Muxica</t>
  </si>
  <si>
    <t>al de fusileros D. Pedro Garrido ; á Tenientes de fusileros á los Subtenientes D. Joseph Landaeta, D. Joseph Muxica, D. Manuel Párraga, D. Ramón Marvés y D. Francisco Antonio Malpica; á Subteniente de granaderos ai de fusileros D. Francisco Cazoria ; á Subtenientes de fusileros y de bandera á l</t>
  </si>
  <si>
    <t>Muxica, Miguel</t>
  </si>
  <si>
    <t>Miguel Muxica</t>
  </si>
  <si>
    <t>ente del batallón de infantería de las propias islas; á Teniente Coronel del mismo cuerpo de Guia á D. Miguel Muxica, Capitán de su primera compañía ; á Ayudante mayor de este regimiento al segundo D. Miguel Valdés; y á empleos de la misma clase de los regimientos de la Palma, Abona y Lanzarote</t>
  </si>
  <si>
    <t>Muzquiz, Rafael</t>
  </si>
  <si>
    <t>Rafael Muzquiz</t>
  </si>
  <si>
    <t>é Gerralbo; Marques de San Simón; Conde déTrastainara; Marqués de Quintana ; Conde de Fernannuñez ; D. Rafael Muzquiz, Arzobispo de Santiago; Conde de Santa Clara; D* Pedro Díaz dé v aldes» Obisób de Bateeloba'; D. Ignacio Lancástér; - D.f Francisco Xavier dé Negrece; X). Francisco dé Borja; D. J</t>
  </si>
  <si>
    <t>Mylius, General</t>
  </si>
  <si>
    <t>General Mylius</t>
  </si>
  <si>
    <t>un cuerpo de húsares. , Stuttgard it de Setiembre. A ntes de ayer á las diez de la mañana entró el General Mylius con un cuerpo de tropas de Wurtemberg en la ciudad de Heilbron á orillas dd Neker, y tomó posesión militar de ella en nombre del Duque. Las tropas ocuparon todas las puertas, las</t>
  </si>
  <si>
    <t>Mznuel Escolary Noriega</t>
  </si>
  <si>
    <t>En Córdoba...:..^.. En, la Córuñd........ D. Manuel Ántbníó^ EÍzatirdir^ , .En Cttenqa............ D. Mznuel Escolary Noriega.. r^T., En Granada........ D. Francisco Üftzaga. En Guadalaxara. D, Isidoro García Plaza. • En Jaén................ D. Pedro y Juan Esponera. En %eon.¿.:.;~...... D. Pedro Gil de</t>
  </si>
  <si>
    <t>Mzrin, Vicente</t>
  </si>
  <si>
    <t>Vicente Mzrin</t>
  </si>
  <si>
    <t>. •• Silabario y método' de D. Torqnato Torio, sacado en carteles grandes para usa dé 'esóuélas por D. Vicente Mzrin. Se hallará en Casa del autor, cálle'de Sántia— gb'/rnT-Ti? p, á’gÓO is. él juego. *“«• 1 ’‘í- • V'V.-•' f r ! t; r ’É‘ azote dé tdnoi, ho*^z*.hés y vagabundos^ obrita éñ qUe' se</t>
  </si>
  <si>
    <t>Na, Luis</t>
  </si>
  <si>
    <t>Luis Na</t>
  </si>
  <si>
    <t>ph;¿e Colmenares, D. Lorenzo de Mazarredo, D. Rafael Calviilo y Lara ,D. Antonio Cagada y Cerponti, D. Luis Na</t>
  </si>
  <si>
    <t>Nadal</t>
  </si>
  <si>
    <t>*45 Morluís y D. Cayetano Ferrer: logrando el Dr. Nadal la satisfacción , no solo de Haberla extendido por el corregimiento, y en las ciudades de Huesca y Barbastro y villa de Monzon, sino también la de poder remitir vacuna á los que se l</t>
  </si>
  <si>
    <t>Naharro, Vicente</t>
  </si>
  <si>
    <t>Vicente Naharro</t>
  </si>
  <si>
    <t>lación de los varios métodos inventados para facilitar la enseñanza de leer, escribid á su redactor D. Vicente Naharro , él maestro de primeras letras del lugar de la Alberca , en las Batuecas , sobre varios puntos concernientes al magisterio. Lleva una posdata que contiene varias anotaciones pues</t>
  </si>
  <si>
    <t>Napoleón Bonaparte</t>
  </si>
  <si>
    <t>nocimiento á los Cónsules de la República. 2.° El Senado conservador reelige 2I ciud. Napoleón Bonaparte, primer Cónsul de la República francesa, por otros diez años sobre los diez para que fue nombrado por el art. 39 de la constitución. 3.0 El presente senado-con</t>
  </si>
  <si>
    <t>Napper-Tandi, General</t>
  </si>
  <si>
    <t>General Napper-Tandi</t>
  </si>
  <si>
    <t>la Guadalupe dos embarcaciones de Burdeos y otras dos provenzaíes. Ha llegado aquí de Inglaterra el General Napper-Tandi, y ha sido muy obsequiado así por la oficialidad, como por los empleados civiles. Parts s&gt; de Abril. E n la audiencia que dió el primer Cónsul el dia 1 f á los Embaxadores extrang</t>
  </si>
  <si>
    <t>Naranjo, Manuel</t>
  </si>
  <si>
    <t>Manuel Naranjo</t>
  </si>
  <si>
    <t>5. XI. Id. Manuel Naranjo............. Fuenlabrada. Madrid...... l6« 9* Icf* Antonio Veiasco..................</t>
  </si>
  <si>
    <t>Narciso Belloc</t>
  </si>
  <si>
    <t>enez, y D. Manuel Salcedo. A grado de Coronel los Tenientes Coroneles! en España. D. Mateo Iruegas, D. Narciso Belloc, D. Agustra del Campo, Don Pedro Darsens, D. Francisco Tirado, D. Diego María Fiballer, D. Jayme García Conde, D, Manuel Jáuregui, D. Cárlos Reynaldp de Coup'igni, D. Joseph Lebru</t>
  </si>
  <si>
    <t>Narciso Bernales</t>
  </si>
  <si>
    <t>ledo, D. Antonio Moreno, D. Juan Aldrete, D. Joseph Dupré, D. Simón Fuentes, D. Manuel de Madrigal, D. Narciso Bernales; D. Fernando Orive, D. Francisco de Castro,.D. Francisco Mexia, D. Juan Joseph Indafmtu, D. .Juan Fatqués, ,t I&gt;. Manuel Dambrihe, D. Francisco Perez Brito , D. Juan Joseph Cana*,</t>
  </si>
  <si>
    <t>Narciso Bey, Joseph</t>
  </si>
  <si>
    <t>Joseph Narciso Bey</t>
  </si>
  <si>
    <t>de Villela, del Consejo de S. M.# Alcalde de'su Real casa y corte, y por' la escribanía vacante de D. Joseph Narciso Bey tez 7 sé ha* séñaládo el dia 16 del corriente, á las iq» de su mañana, para el re*</t>
  </si>
  <si>
    <t>Narciso Cerrera y Calvbt</t>
  </si>
  <si>
    <t>1020 mentó de Cartagena D. Narciso Cerrera y Calvbt; del Crimen de la Audiencia de Sevilla al del departamento de Cádiz D. Gerónimo Ruiz de Castro; del Crimen de la Chancillería de Valladolid al de la Dirección general, de la Armad</t>
  </si>
  <si>
    <t>Narciso de la Valéta</t>
  </si>
  <si>
    <t>Voluntarios de Barcelona al Sargento mayor del primero; de Cataluña, graduado de Teniente C tonel, D, Narciso de la Valéta: A del de. Gerona^ al Sargento mayor det propio cuerpo, graduado de Teniente Coróne!, Don; Narciso de Basols; y h del segundó bátallon de Voluntarios de Cataluña ai Sargento mayor</t>
  </si>
  <si>
    <t>Narciso Gingi</t>
  </si>
  <si>
    <t>ia parroquia de Castellón de Ampurias,diócesis de Gerona, vacante por muerte de D. Joseph París, á D. Narciso Gingi; para otro fundado baxo la invocación de Sta. Anastasia, en la catedral de Gerona, vacante por fallecimiento de D. Juan Bastero, á D. Joseph Canet y Sostros: para otro llamado Dom</t>
  </si>
  <si>
    <t>Narciso Herranz, Diego</t>
  </si>
  <si>
    <t>Diego Narciso Herranz</t>
  </si>
  <si>
    <t>reduce á hallar el camino por donde tendrá mas cuenta el girar una letra de cambio : compuesto por D. Diego Narciso Herranz, maestro de primeras letras del número y colegio de esta corte: un tomo en 4.0 Se hallará en la librería de Hurtado,calle de las Carretas. Quaderno 3.0 de la Iconología ó tratado</t>
  </si>
  <si>
    <t>Narciso Llaudes</t>
  </si>
  <si>
    <t>, D. Antonio de Rozo, D. Joseph.de la Gceja , P. Juan de Sesma, D. Santiago Aldaó, D. Juan Piñeyro, D, Narciso Llaudes, D. Pedro Marsilla, D. Ni-' colas dél Castillo, D. Gines López del Castillo, D. Mariano de Lara,Dori' Manuel Fernandez Cortacero, D. Manuel Barrientos, D. Nicolás Povil, D, Juan d</t>
  </si>
  <si>
    <t>Narciso Ortiz de Lanzagorta</t>
  </si>
  <si>
    <t>aga con separación su asistencia. Los que quieran pretender dicha plaza, dirigirán sus memoriales á D. Narciso Ortiz de Lanzagorta , Escribano del número y propietario de su Ayuntamiento, hasta el 1 g de Marzo. Orígenes de la poesía castellana, por D. Luis Joseph Velazquez, caballero del érden de Santiago, de</t>
  </si>
  <si>
    <t>Narciso Plandolit</t>
  </si>
  <si>
    <t>ha junta. Don Eugenio de Aparicio, vecino de esta corte, remitió el dia 8 del corriente á los Sres. D. Narciso Plandolit é hijo, vecinos de Barcelona, los vales Reales siguientes: todos renovados con fecha de i.° de este mes, á nombre del expresado Aparicio, y endosados por este á dichos Sres. Pland</t>
  </si>
  <si>
    <t>Narischkin, Príncipe</t>
  </si>
  <si>
    <t>Príncipe Narischkin</t>
  </si>
  <si>
    <t>l ex-Ministro ruso Conde de Paninque por orden de S. M. Sueca no pudo atravesar por aquel Reyno. El Príncipe Narischkin, Caballerizo mayor del Emperador de Rusia, ha llegado aquí con iu hijo. Vienen de Pétersburgo, y van á París. &lt; En aquella capital del Imperio ruso casó el mes último un mahometan</t>
  </si>
  <si>
    <t>Narvaea, Bartolomé</t>
  </si>
  <si>
    <t>Bartolomé Narvaea</t>
  </si>
  <si>
    <t>rofesor. Fuéron los discípulos premiados por el Corregidor, por D. Francisco Maldonado-Chacon y por D. Bartolomé Narvaea, Coronel del provincial Ide Málaga. Concluyó él acto eí Corregidor pronuñqiando un ndtscurso en que . manifestó ' la complacencia que kodos habían /tenido * y discurrió icón erudi</t>
  </si>
  <si>
    <t>Ñauehe</t>
  </si>
  <si>
    <t>sido el estar descuidada la reparación de los diques que se hallan á las orillas de dichos ríos. El Dr. Ñauehe, presidente de la sociedad galvánica , ha observado con les Senadores Abqville y de Lespinasse, que se puede hacer que un ciego, sea qualquiera el estado de su ceguedad, vea ráfag</t>
  </si>
  <si>
    <t>Nava, Joseph</t>
  </si>
  <si>
    <t>Joseph Nava</t>
  </si>
  <si>
    <t>ente Chamizo py las Subtenencias de esta última compañía al Sargento del Real cuerpo de, Artillería D. Joseph Nava^ jas, y al Soldado distinguido del/mismo,cuerpo D. Joseph Arnaiz. ~. .£n America, fil Rey se há dignado promover; en él regimiento de infantería íixo de Cartagena á Capitán de gra</t>
  </si>
  <si>
    <t>Navarrete, Bartolomé</t>
  </si>
  <si>
    <t>Bartolomé Navarrete</t>
  </si>
  <si>
    <t>se ha servido S. M. promover á Tenientes á los Subtenientes D. Juan Subirats, D. Antonio Martinez, Don Bartolomé Navarrete, D. Santiago Fernandez, D. Felipe López de Arjona, D. Joseph Rivera, D. Joseph Cabrera, D. Ignacio Salens , D. M.a-. nuel Vázquez, D. Juan Vidaror, D. Joseph Anillo, D. Mauricio A</t>
  </si>
  <si>
    <t>Navarrete, Martín</t>
  </si>
  <si>
    <t>Martín Navarrete</t>
  </si>
  <si>
    <t>arios tribunales, y adquisición de artículos relativos á su instituto. Continuó el Capitán de Navio D. Martin Navarrete, su académico supernumerario, leyendo un discurso sobre varios viages hechos por algunos españoles á la costa del Norueste de la América, buscando el paso de comunicación entre el</t>
  </si>
  <si>
    <t>Navarro Pingar, Ramón</t>
  </si>
  <si>
    <t>Ramón Navarro Pingar</t>
  </si>
  <si>
    <t>ldes de su Real, casa, y corte á D. Juan Antopiq Inguanzo, Oidor de lá~ Audiencia de Extremadura, y D. Ramón Navarro Pingar ron, Fiscal del Crimen de la de Sevilla. Asimismo h$f .nombrado el Rey para el Corregimiento de Guipuzcoa, que resulta vacante por promoción de D. Alfonso Duran y Barazabal á plaz</t>
  </si>
  <si>
    <t>Navarro Sangran, Joseph</t>
  </si>
  <si>
    <t>Joseph Navarro Sangran</t>
  </si>
  <si>
    <t>utólo, D. Joseph Zarauz , D. Francisco- Salinas Moñino, 0. Pedrd Buch y O-Donell, D. Diego Artacho, D. Joseph Navarro Sangran, ,Don Mateo Perez, D. Francisco Réqu'ená, D. Antonio Parxearroyo, 0; Joseph Molina* 0. Joseph Urbtua, D. Antonio Samper, D, Joaquín dé Mendoza* D. Fernando • Gaver, D. Mannel Andr</t>
  </si>
  <si>
    <t>Navarro Vida, Joseph</t>
  </si>
  <si>
    <t>Joseph Navarro Vida</t>
  </si>
  <si>
    <t>e^ha servído nombrar para cinco dé las plazas que se hallan vacantes en el Consejo Reai á los Sres. D. Joseph Navarro Vida!, D. Domingo Fernandez Campo manes, D, Andrés Lasauca, D. Bartolomé de Ra</t>
  </si>
  <si>
    <t>Navarro Vidal, Joseph</t>
  </si>
  <si>
    <t>Joseph Navarro Vidal</t>
  </si>
  <si>
    <t>sta corte. En virtud de Real facultad dei supremo Consejo de la Cámara da Castilla, cometida al Sr. D. Joseph Navarro Vidal, Alcalde de-casa y corte, se vende la dehesa nombrada de Loriana,con Navaredonda y Valredondiílo, situada en .Extremadura , paVtido -de Badajoz, compuesta ó dividida con respecto</t>
  </si>
  <si>
    <t>etas de 30 de Enero de 1801 y 8 de Junio de este año, se ha señalado por el Sr. Alcalde comisionado D. Joseph Navarro Vidal el jueves 13 del corriente á las 11 de su mañana en la escribanía de pro* vincia de D. Pedro de Valladáres. Los subscriptores al Compendio de los libros históricos de la santa Bibli</t>
  </si>
  <si>
    <t>ado S. M. para la plaza de Alcalde de su Real casa V corte, vacante por la citada promoción del Sr, D. Joseph Navarro Vidal al Alcalde supernumerario de la misma Sala D. Antonio Cano Manuel: t&gt;ara otra. vacante por jubilación del JMárques de los Llanos , a D. Alfonso Duran v Barazabal; Manuel^Perez de</t>
  </si>
  <si>
    <t>Navarro y Pinillos, Juan</t>
  </si>
  <si>
    <t>Juan Navarro y Pinillos</t>
  </si>
  <si>
    <t>ente, D. Juan Barrera y Amiot, D. Rafael de Quésada y Axango, P. Francisco Ponce de León y Morejon, D. Juan Navarro y Pinillos, D. Rafael del Castillo y Rada, D. Juan Muñoz y Abreu, D. Matías Arauco, D.. Antonio de Lema,D. Joseph López, D, Joseph de Piles,D. Martin de Jáuregui, D. Cayetano Muller, D, Juan</t>
  </si>
  <si>
    <t>Navarro y Torres, Domingo</t>
  </si>
  <si>
    <t>Domingo Navarro y Torres</t>
  </si>
  <si>
    <t>eph Ahtran de la Torre , D. Marcelo Federici, D. Roque GWrqceta , D. Pedro ¿Je PqrfíSr y Escribano, D. Domingo Navarro y Torres , D. Juan Michelena y Moreno, D. Pedro Cortazar y Abarca, D. Isidro Cortazar: y Abarca, y D. Ramón de Salas Boxádors. / . t . A Tenientes de IFragata los Alféreces de Navio , * D.</t>
  </si>
  <si>
    <t>Navarro y Vidal, Joseph</t>
  </si>
  <si>
    <t>Joseph Navarro y Vidal</t>
  </si>
  <si>
    <t>l facultad cometida por S. M. y Sres. de sy .Real y supremo Consejo de la Cámara de Castilla al Sr. D. Joseph Navarro y Vidal, del Consejo, de S. M. , su Alcalde de casa y corte, se., vende la dehesa nombrada de Loriana, con Naváredonda y Valredondillo, situada en Extremadura y partido de^IJadajoz, compu</t>
  </si>
  <si>
    <t>ncia al público por término de 1^ dias , para que el que quiera mejorarla acuda ante el Sr. Alcalde D. Joseph Navarro y Vidal, á quien está cometida di-, cha Real facultad, y por la escribanía de provincia de D. Pedro de Valladares, que, se admitirán las que se hagan, no siendo manos muertas, Por no habe</t>
  </si>
  <si>
    <t>Navarro, Diego</t>
  </si>
  <si>
    <t>Diego Navarro</t>
  </si>
  <si>
    <t>el la Barre, D. Juan Bernardo Laporte, Don Felipe Crame, D. Francisco Ruigomez, D. Cándido Higuera, D. Diego Navarro , D. Bernardo Luque, D. Rafael Pezzino, D. Luis Ranea ño, Don Juan Meric, D. Antonio Bocarro, D. Juan Feliu, D. Juan Desnaux, Don Manuel Vigil de Quiñones, D. Joseph Ponce de León</t>
  </si>
  <si>
    <t>Navarro, Joseph</t>
  </si>
  <si>
    <t>Joseph Navarro</t>
  </si>
  <si>
    <t>pues en su defecto se procederá á lo que haya lugar. En el juzgado del Sr. Alcalde de casa corte y D. Joseph Navarro, y escribanía de provincia de D. Pedro de Valladares , está radicada la testamentaría de Doña Tomasa Ribas, viuda deD. Juan del Canto, que falleció en ella abintestato el 14 de Fe</t>
  </si>
  <si>
    <t>Navarro, Juan</t>
  </si>
  <si>
    <t>Juan Navarro</t>
  </si>
  <si>
    <t>Lafita , D. Serafín Alonso, D. Rafael Nestares, D. Joaquín Ruiz, D. Miguel Aguirre, Don JuanNuñez , D. Juan Navarro , D. Anselmo Plaza , D. Francisco González de la Vega, D. Joseph Antonio de Terán, D. Vicente Vázquez, Don Juan Vázquez, D. Manuel Quiroga y Cornide, D. Gonzalo4H¿1 Lema, D. Xavie</t>
  </si>
  <si>
    <t>Navarro, Manuel</t>
  </si>
  <si>
    <t>Manuel Navarro</t>
  </si>
  <si>
    <t>ho de Ja imprenta Real: en el Real sitio de Aran juez en la tienda del Rubio; y en Cádiz en casa de D. Manuel Navarro. El Sr. Intendente de esta provincia por decreto de 16 del corriente ha aprobado el remate celebrado el a del mismo de unas casas sitas en las calles de Embaxadores y S. Justo, nú</t>
  </si>
  <si>
    <t>ho de la. imprenta Real; en el Real sitio de Aranjuez en la tienda del Rubio; y en Cádiz en casa de D. Manuel Navarro. , Por providencia de 30 de Enero del Sr. Di Miguel Munarriz, del Consejo de S. M., su Alcalde de casa y corte, se ha mandado sacar á pública subasta por el término ordinario una</t>
  </si>
  <si>
    <t>cho de la imprenta Real: en el Real sitio de Aranjuez en la tienda del Rubio; y en Cádiz en casa de D. Manuel Navarro. El partido de cirujano de ia villa de Guadarrama , distante 7 leguas de esta corte, queda vacante el i.° de Mayo próximo: quien lo solicite ha de ser latino ó medico-cirujano. La</t>
  </si>
  <si>
    <t>cho de la imprenta Real: en el Real sitio de Araojuez en la tienda del Rubio; y en Cádiz en casa de D. Manuel Navarro. Por decreto de 19 de Marzo del Sr. Intendente de esta provincia se ha aprobado el remate executado ante el Sr. Alcalde D. Manuel Perez de Rozas, y escribanía de provincia de D. J</t>
  </si>
  <si>
    <t>cho de la imprenta Real: en el Real sitio de Aranjuez en la tienda del Rubio; y en Cádiz en casa de D. Manuel Navarro.</t>
  </si>
  <si>
    <t>cho de la imprenta Real: en el Real sitio de Aranjuez en la tienda del Rubio* y en Cádiz en casa de D. Manuel Navarro. Para el remate de las 41 fanegas, 11 celemines y 7 estadales de tierra en 31 pedazos, sitos en término de los lugares de Carabanchel,Getafe y Villaverde, tasadas en 47,474 rs., e</t>
  </si>
  <si>
    <t>cho de la imprenta Real: en el Real sitio dé Aranjuez en la tienda del Rubio; y en Cádiz en ¿asa de D. Manuel Navarro. Por el Sr. D. Manuel Vicente de Torres, del Consejo de S¡ M., Teniente Corregidor deest a villa , se cita y emplaza á los administradores del estado de la Conquista y concurso de</t>
  </si>
  <si>
    <t>político de Mayo se hallará desde mafiana en el despacho de la imprenta Real; y en Cádiz en casa de D. Manuel Navarro. La casa sita en la calle de Toledo, núm. p, manz. pp, perteneciente á la memoria que fundó María Martínez, tasada en 39,6¿o rs., se remató el i £ de Junio en 20,440, lo que se ap</t>
  </si>
  <si>
    <t>ico de Junio se hallaré desde el jueves en el des* pacho de la imprenta Real; y en Cádiz én casa de D. Manuel Navarro. Con fecha de 4 de Setiembre rémitiéron los Sres. viuda dé Ibiry y sobrinos, de Bilbao, y endosaron é D. Juan Esteban Delotz,del comercio de Cádiz, los vales Reales seguientes: un</t>
  </si>
  <si>
    <t>histórico y político de Julio se hallará en el despacho de la imprenta Real; y en Cádiz en casa de D. Manuel Navarro. A conseqiiencia de la comisión conferida por S. M. en la mas amplia forma al Excmo. Sr. D. Joséph Eustaquio Moreno, del Consejo de Estado, Colector general de Espedios y Vacantes</t>
  </si>
  <si>
    <t>olítico de Agosto se hallará desde mañana en el despacho de la imprenta Real; y en Cádiz en casa de D. Manuel Navarro. En el ministerio de correos marítimos de la Coruña se halla una caza de oro, que en el mes de Junio de 1793 condqxo desde Buenos-Ayres el Capitán D. Luis Antonio de Musques en la</t>
  </si>
  <si>
    <t>Navarro, Pedro</t>
  </si>
  <si>
    <t>Pedro Navarro</t>
  </si>
  <si>
    <t>ir. 10. Muerto. Pedro Navarro.... Juan, María Castrejon.... Casillas......... León............. 1S0. 8. Id. Ramón López....... Alvaro, In</t>
  </si>
  <si>
    <t>Navarro, Vicente</t>
  </si>
  <si>
    <t>Vicente Navarro</t>
  </si>
  <si>
    <t>Valbuena , Sargento mayor é Inspector del expresado regimiento, dixo el Dr. D. Vicente Navarro,presbítero. Véa-* dese á a rs. en la librería de Arribas , calle de las Carretas. - Explicación de los adornos y decoraciones de obras públicas executadas en Bar* celona, con otras particula</t>
  </si>
  <si>
    <t>NecJter</t>
  </si>
  <si>
    <t>el decreto del 17 para trabajar en una nueva constitución, se han negado á este encargo importante. Mr. NecJter, entre otros, ha escrito al Consejo pequeño motivando su renuncia en los términos siguientes: ,,E1 mal estado de mi salud me obliga á tener gran cuidado de mi persona: razón por l</t>
  </si>
  <si>
    <t>Necker</t>
  </si>
  <si>
    <t>bril los ciudadanos: (Sigue la lista de 47 individuos escogidos en diferentes cantones, entre ellos Mr. Necker). No volverá el Senado á juntarse hasta que le convoque el Consejo pequeño.”__ 'Tres vocales de este Consejo protestaron contra dicha resolución, y se retiraron; y el Secretario g</t>
  </si>
  <si>
    <t>Necochea, Francisco</t>
  </si>
  <si>
    <t>Francisco Necochea</t>
  </si>
  <si>
    <t>el Carnara y D. Ceferino Carrillo. En sintaxis , baxo la dirección de su maestro D. 'Rufino Espada, D. Francisco Necochea, D. Pedro Goosens, D. Fermín Cia, D. Joseph Gaytan de Avala, D. Agustín Duran y D. Alonso Alvarado. En humanidades y retórica, baxo la dirección de D. Pedro Fuertes, D. Iñigo Orte</t>
  </si>
  <si>
    <t>Negrete y Talla, Pedro</t>
  </si>
  <si>
    <t>Pedro Negrete y Talla</t>
  </si>
  <si>
    <t>D. Norberto de Mella-y Barbeyto, I&gt;. Juan de Bustamante y Bustamante, D. Joaquín del Pollo Sagasú, D. Pedro Negrete y Talla , Don Antonio Veguér' y Martiller, D. Joseph Salazar: jr. Ayendelagua, D. Ma-, nuel Abreu y Orta, D. Ignacio del Valle y ¡Máttmon , D. Manuel Primo de Ribera , D. Joseph de Santia</t>
  </si>
  <si>
    <t>Negueruela de Tejada y Oraa, Domingo</t>
  </si>
  <si>
    <t>Domingo Negueruela de Tejada y Oraa</t>
  </si>
  <si>
    <t>s que quisiesen hacer pretensión á esta plaza dirijin sus memoriales hasta el 16 de Enero de 1803 á Don Domingo Negueruela de Tejada y Oraa, vecino de ella /uno de los Capitulares, y comisionado para el efecto. Don Francisco Lexalde y Almazan, que pasó á Nueva-España á mitad del si* glo último, y en defecto de este su</t>
  </si>
  <si>
    <t>Neísoft, Lord</t>
  </si>
  <si>
    <t>Lord Neísoft</t>
  </si>
  <si>
    <t>en Wenbíedpn á un cuerpo de 10® hombres de infantería y caballería. Aeaba el Rey de permirir que el Lord Neísoft traiga las insignias de caballero Gran Comendador dé la orden de S. Joaquín , que le ha enviado el Cóndé delLeiningen Westérbnrgo; Gran Maestre de dicha orden. La Gámára de R epre</t>
  </si>
  <si>
    <t>Nelsom, Lord</t>
  </si>
  <si>
    <t>Lord Nelsom</t>
  </si>
  <si>
    <t>ransmisible 4 sus herederos legítimos. •: . ,"r, v : . i * ' . n •.; • -o: rcrJc 1 - s •■- - ■ . El Lord Nelsom lra tenido con jos Lores dél AlmifantázgO'-una larga’ conferencia, en la que se ha tratado:del destino de una esquadra^ue1 ha de enviarse á parages remotos; y cuyo mando dicen'se</t>
  </si>
  <si>
    <t>Nelson, Lord</t>
  </si>
  <si>
    <t>Lord Nelson</t>
  </si>
  <si>
    <t>una esquar. dra de 30 navios de línea, la mitad de ellos de tres puentes. Finalmente, parece que el Lord Nelson va á mandar en las Indias occidentales, y que liará su viage en la fragata nombrada la Medusa. Las cartas de Egipto y Malta de 25 y 27 de Diciembre expresan que el Lord Keith no h</t>
  </si>
  <si>
    <t>uego que se retiró S. M. propuso el Lord Arden la acostumbrada respuesta de gracias , y le apoyó el Lord Nelson. Este en su discurso dixo: „La guerra no ha apurado nuestros recursos; y en medio de los embarazos de una paz, que quizá no ha producido ni la seguridad,ni el sosiego que por lo r</t>
  </si>
  <si>
    <t>Nelsori</t>
  </si>
  <si>
    <t>De la esquadra que está en Corck saldrán 7 navios de línea para las Indias occidentales. Parece que Mr. Nelsori mandará el apostadero de Jamayca. A Portsmouth llegó el día 16 órdén para que los oficiales de marina de todos grados no se ausenten de noche de sus respectivos buques. Dícese que</t>
  </si>
  <si>
    <t>Nemerofaki</t>
  </si>
  <si>
    <t>las. Débese este favor al inñuxo de la Ru&lt;sis y á las generosas disposiciones de la Puerta otomana. Mr. Nemerofaki, Consejero de corte, y de esta embaxada rusa, se tiró dos pistoletazos, y se ha quitado la vida, habiéndose encerrado para ello en su misma habitación. Aunque hacia poco tiempo qu</t>
  </si>
  <si>
    <t>Nemes, Adam (conde)</t>
  </si>
  <si>
    <t>Conde Adam Nemes</t>
  </si>
  <si>
    <t>s funestas de resultas de este, terremoto» Ha sido destruido de todo punto él castillo que tenia el Conde Adam Nemes en Hidweg , cerca de Cronstadt, pereciendo</t>
  </si>
  <si>
    <t>Nepcmuceno Escudero, Juan</t>
  </si>
  <si>
    <t>Juan Nepcmuceno Escudero</t>
  </si>
  <si>
    <t>00^ rs. en moneda metálica, y se ha de rematar el dia i.° de Diciembre de este afio en el oficio de D. Juan Nepcmuceno Escudero, en la plaza de S. Salvador de la ciudad de Sevilla, donde enterarán por menor de las circunstancias y calidades de dicha hacienda, y pensiones que sobre si tiene. Los subscriptor</t>
  </si>
  <si>
    <t>Neri, Juan de Dios</t>
  </si>
  <si>
    <t>Juan de Dios Neri</t>
  </si>
  <si>
    <t>la plaza de Cartagena de levante. Quien sepa de él, ó si tiene padre , madre ó hermanos, avisará á D. Juan de Dios Neri, Cura propio de la parroquia deSanta María de Gracia de Cartagena , ó al Cura de Ja parroquial de S. Mateo de la ciudad de Lorca, del mismo reyno de Murcia, ó al de la parroquia d</t>
  </si>
  <si>
    <t>Ñero, Príncipe</t>
  </si>
  <si>
    <t>Príncipe Ñero</t>
  </si>
  <si>
    <t>r D. Juan Antonio Salvador y Carmona,grabador de cámara, que ha presentado sus obras á SS. MM. y al Príncipe Ñero. Sr. y Sr. Infante D. Cárlos: dicha estampa es del tamaño de medio pliego de marca, mayor como la del Smo. Sacramento, Jesús Nazareno, Soledad , Buen Pastor, Divina Pastora, Ntra.</t>
  </si>
  <si>
    <t>Nestares, Rafael</t>
  </si>
  <si>
    <t>Rafael Nestares</t>
  </si>
  <si>
    <t>con , D. Peclro Celés'tino Calvo, D. Henrique Texerizo, D. Benito Tolra Lafita , D. Serafín Alonso, D. Rafael Nestares, D. Joaquín Ruiz, D. Miguel Aguirre, Don JuanNuñez , D. Juan Navarro , D. Anselmo Plaza , D. Francisco González de la Vega, D. Joseph Antonio de Terán, D. Vicente Vázquez, Don Jua</t>
  </si>
  <si>
    <t>Nevares, Juan</t>
  </si>
  <si>
    <t>Juan Nevares</t>
  </si>
  <si>
    <t>omingo. 470. $. Id. Juan Nevares....................... Francisco, Cesaría Antigüe* dad............ ..................... Palencia........ Palencia......... 498. 48. Id. - F</t>
  </si>
  <si>
    <t>Ney, General</t>
  </si>
  <si>
    <t>General Ney</t>
  </si>
  <si>
    <t>e Octubre, A cerca de 12© hombres ascenderá el exército que se junta en Huninga, y que al mando del General Ney entrará en $uiza para sostener al gobierno helvético, conforme á las repetidas instancias que así el Senado como el gobierno han hecho al primer Cónsul. Parte de la guarnición de es</t>
  </si>
  <si>
    <t>eguir parí salvarnos de los desastres, inevitables que nos amenazaban. .¿—¿Acabamos de saben que el General Ney está nombrado Enviado extraordinario y Ministro plenipotenciario en nuestra República, por haber llamado de París al erad. Verninac para que informe sobre nuestra situación, y sobre</t>
  </si>
  <si>
    <t>tareas. AlovS Redi ^g, en calidad de Pre^ídeáte dé aquella especie de congreso, escribió también al General Ney i dándole aviso de haberse disuelto dicha asamblea. En su carta le decía: ,, En vista de la intimación que nos hizo Mr. Bechet, Ayudante del General Ney, de que respondiésemos cat</t>
  </si>
  <si>
    <t>suadido de que no encontrará la Suiza felicidad ni sosiego mas que conservándole este derecho___ Al General Ney se te ruega comunique al primer Cónsul esta declaración, que incluye los sentimientos no solo de la Dieta, sino también de todos los suizos amantes de su patria." Berna j de Novie</t>
  </si>
  <si>
    <t>o de des«argar sus géneros , ni de hacer libremente su tráfico. Berna 18 de Noviembre. : , 1 r: E 1 General Ney recibió ántes de ayer mañana pliegos de París .poir un extraordinario. De resultas tuvo una conferencia muylarga. con el Consejó cxecutivo. ' .. . ; i .. i. Acabamos de recibir la</t>
  </si>
  <si>
    <t>mayor gusto y satisfacción. . - . , . ..............- . . &lt; r Sé ha modificado la orden dada por el General Ney para que se desarmasen todos los Abitantes de la Suiza. No se verificará el desarmamento Sino en los cantones o distritos que ¿ornaron parte en las últimas revueltas. J~la dado ef</t>
  </si>
  <si>
    <t>l la causa'dé los confederados. Así qúe aceptó el nombramiento de diputado dé Berna, sé presentó al General Ney para pedirle la libertad de Aloys-Reding y de los demas presos; pero no consiguió sino permiso para, que Mr. Thermann, Secretario que ha sido de Estado, pueda visitar á Reding en</t>
  </si>
  <si>
    <t>Néy, General</t>
  </si>
  <si>
    <t>General Néy</t>
  </si>
  <si>
    <t>bre. - ’: E í General en xefe de las tropas 'francesas' que están en Itklia ha recibido pliegos del General Néy , que le encarga mande suspender la marcha de las-tropas destinadas para la Suiza, en atención?á'que se han Sometido •todos los cantones. ^ 1 -i uuj m/T ' 'H '••• • vBptigélds^§gd</t>
  </si>
  <si>
    <t>Neyíasistió, General</t>
  </si>
  <si>
    <t>General Neyíasistió</t>
  </si>
  <si>
    <t>vas insnrreocionéS , y¡iil-fiiltad6'¡vendria á pa-v rar en la anarquía mas completa. 3 ’ ^ ^''^v ¥- General Neyíasistió iáyer á la junta ddl Senador manifestó iós pria* cipips yi áentimientos^mas. favorables ¡á la Républica belyeticáy*-y aseguró .pc0pdt^na;d^j¿^ste^oBié|b0^todosliltís!aU9áli!O^ que</t>
  </si>
  <si>
    <t>Ni, Joseph</t>
  </si>
  <si>
    <t>Joseph Ni</t>
  </si>
  <si>
    <t>z de Villela, del Consejo de S. M., Alcalde de su Real casa y corte, y por la escribanía vacante de D. Joseph Ni casto Beitez, de una casa sita.en Ja calle de Calatrava, á la de Toledo, núm. 25 , mam. icp, perteneciente.á cierta memoria que está 4 cargo de la iglesia parroquial de S. JustQ y</t>
  </si>
  <si>
    <t>Nicasio Álvarez de Cienfuegos</t>
  </si>
  <si>
    <t>atriótica de Madrid, y uno de sus fundadores : hecho de orden de este cuerpo por su socio de mérito D. Nicasio Alvarez de Cienfuegos. Se hallará en casa de Castillo. Ensayo sobre el origen , progresos y estado de la historia natural entre los antiguos anteriores á Plinio r asunto propuesto en la cátedra de hist</t>
  </si>
  <si>
    <t>osas, suaves y aflautadas; compiten con los mejores de Inglaterra, y se venden á prueba. Poesías de D. Nicasio Alvarez de Cienfuegos. Se hallarán en casa de Castillo á j6 rs. en pasta y ia en rústica. Manual de cambios, distribuido en diferentes tablas numerales, para hallar con la posible brevedad y exactitud</t>
  </si>
  <si>
    <t>Nicasio Beitez</t>
  </si>
  <si>
    <t>z de Viliela, del Consejo de S. M., Alcalde de su Real casa y corte, y por la escribanía.vacante de D. Nicasio Beitez, se ha mandado sacar á subasta por término de 30 dias una casa, sita en la cálle de Toledo, núm. 11, matiz. rói, perteneciente á unas memorias que están á cargo de la iglesia parr</t>
  </si>
  <si>
    <t>Nicasio Bey, Joseph</t>
  </si>
  <si>
    <t>Joseph Nicasio Bey</t>
  </si>
  <si>
    <t>j ' su Alcalde dé casa y corte , y por la escribanía de provincia vacante, por fallecí— ¡ miento de D, Joseph Nicasio Bey tez , su fecha 10 ¿el coríiéfité, Se ha mandado sacar nuevamente á pública subasta una casa sita en lía cálle1 dé Calatrava y de \é ' Paloma, núm. ai,manz. 109, perteneciente ¿ ci</t>
  </si>
  <si>
    <t>Nicasio Carrascosa, Francisco</t>
  </si>
  <si>
    <t>Francisco Nicasio Carrascosa</t>
  </si>
  <si>
    <t>liaderos; á este empleo al Teniente de fusileros D. Francisco Nicasio Carrascosa; al empleo que este dexa al Subteniente de granaderos D. Joaquín Velazquez; a Subteniente de granaderos al de fusileros D. Alexo Alarcon, y á Subtenientes de bandera al Cadete D.</t>
  </si>
  <si>
    <t>Nicasio Gómez de Cuéliar, Manuel</t>
  </si>
  <si>
    <t>Manuel Nicasio Gómez de Cuéliar</t>
  </si>
  <si>
    <t>conjueces sobre la información secreta que se tomará de probidad y conducta de los opositores. Por D. Manuel Nicasio Gómez de Cuéliar, Cura propio de la parroquial de Santiago el Real de esta villa, D. Manuel de Santa Clara, caballero de la órden de Cirios m , y capitular de su Ayuntamiento, y D. Rafael Martinez</t>
  </si>
  <si>
    <t>Nícelas</t>
  </si>
  <si>
    <t>rir la Sargentía mayor deí batallón de milicias disciplinadas de Blancos de Cavácas, etv America, á D. Nícelas de.Casr tro, Capitán del batallón veterano fixo de-dicha capital; y esta resulta al Teniente de granaderos del propio batallón D. Bernardo de Muro. Asimismo S. M. se ha dignado conce</t>
  </si>
  <si>
    <t>Nichols</t>
  </si>
  <si>
    <t>de este mes, y en la de los Comunes el dia 3. En una de las últimas sesiones de la Cámara baxa dixo Mr. Nichols que en toda la semana próxima hará la proposición de que se den gracias á S. M. por haber separado de su Consejo á Mr. Pitt. Ai dia siguiente avisó el Lord Belgrave que el mismo d</t>
  </si>
  <si>
    <t>pro y en contra algunos vocalesj y al fin se desechó la proposición del Lord Temple. El dia 7 hizo Mr. Nichols la que tenia ofrecida contra los antiguos Ministros, y en particular contra Mr. Pitt. Su censura recayó, especialmente sobre la declaración de guerra hecha á la Francia; y se esmeró</t>
  </si>
  <si>
    <t>Nichuzewiz, Mariscal</t>
  </si>
  <si>
    <t>Mariscal Nichuzewiz</t>
  </si>
  <si>
    <t>unido al intento en la sala del tribunal , pronunció el discurso de instalación, al que contestó el Mariscal Nichuzewiz. Luego pasó la asamblea á la iglesia griega, y de allí á la católica, en la qual predicó el Obispo de Wilna. Restituyéndose después al palacio del gobierno prestaron su -juramento</t>
  </si>
  <si>
    <t>NicolásCorominolas</t>
  </si>
  <si>
    <t>un Beneficio Diaconii, llamado Mongía, de la parroquia de S. Pribat de Bas, obispado de Gerona , á D. NicolásCorominolas; y para otro, llamado Clavería, de la parroquia de Santa María de la villa de Blanes , en la propia diócesis de Gerona , ¿ D. Joseph Pasapera. AI Teniente General Conde de Santa C</t>
  </si>
  <si>
    <t>Nicolau, Antonio</t>
  </si>
  <si>
    <t>Antonio Nicolau</t>
  </si>
  <si>
    <t>de Sta. Tecla, unido con otros dos de Sta. Tecla y S. Pedro, vacante por muerte de D. Ramón Pía, á D. Antonio Nicolau; y para otro de la de S. Miguel-de los Narros, de la ciudad de Zaragoza, vacante por fallecimiento de D. Joaquín Chueca, á D. Dionisio de la Ballina. La Real academia de la Histor</t>
  </si>
  <si>
    <t>Nicolay, General</t>
  </si>
  <si>
    <t>General Nicolay</t>
  </si>
  <si>
    <t>caen Buchárcst y■.en todo el pais hasta Kuim: qué Baswan-QgUm ha sido rechazado con pdrdida: que el General Nicolay, comandante dé las tropas turcas despachadas contra aquel caudillo, ha sentado sin oposición su quartel general; y que a no qdedan en Buchárest mas que 300 genízaros. mandados por</t>
  </si>
  <si>
    <t>Nicolaysen</t>
  </si>
  <si>
    <t>atria. Ha salido para Guinea el Capitán Meinertz* y para la Guadalupe el Capitán Dorberg. Asimismo, Mr. Nicolaysen se ha hecho á la vela con tropas para la isla de Sta. Cruz. Hamburgo 12 de Diciembre. D e todo el Norte se reciben de continuo noticias de desastres causados por los temporales. L</t>
  </si>
  <si>
    <t>Nieblas Mu</t>
  </si>
  <si>
    <t>tan la competente justificación á Medina del Campo, dirigiéndola á D. Gerónimo Macedo cié Estrada y D. Nieblas Mu— fioz, testamentarios y jueces árbitros, partidores y contadores nombrados para hacerles Sus hijuelas .con exclusión de justicias. Epístolas de S. Pablo Apóstol, é ilustradas con</t>
  </si>
  <si>
    <t>Nieto, Domingo</t>
  </si>
  <si>
    <t>Domingo Nieto</t>
  </si>
  <si>
    <t>seph Pió Domínguez : para el. empleo de Ministro de Real Hacienda de las caxas de Rio de la Hacha á D. Domingo Nieto, Oficial mayor de las caxas matrices .de Stá. Fe : para esta plaza , a D. Manuel Guzman, Oficial segundo de ellas: para esta resulta, al .Ohcial tercero</t>
  </si>
  <si>
    <t>Nieto, Tomás</t>
  </si>
  <si>
    <t>Tomás Nieto</t>
  </si>
  <si>
    <t>usileros Don Francisco del Pozo : en el. de Guadalaxara á . primer Teniente al segundode granaderos D. Tomas Nieto: en el de Murcia á Subteniente de granaderos al primer Siíbtenienté D. Mariano Hernández: eft ;ei dé Voluntarios dev Ca* tilla á Capitán af Ayudante D. Juan Ximenez; y en el de ca</t>
  </si>
  <si>
    <t>Nif</t>
  </si>
  <si>
    <t>pasta. En la RiisHpa se "Hallarán las Obras Siguientes: Bibliotheca Hispana vet’us et nova: auctore D. Nif* coláo Antonio Híspalensi J. C.: 4 tomos en folio. ==z Bibliotheca Arábico-Hispana "Escurialensis, opera et studio Michaélis Casiri: a tomos en folio.=Regiae Bibliothecze matriten</t>
  </si>
  <si>
    <t>Noailies, Luis</t>
  </si>
  <si>
    <t>Luis Noailies</t>
  </si>
  <si>
    <t>l Capitán de Navio graduado D. Manuel de Ampudia : la Dirección de la Lotería de México al Coronel. D. Luis Noailies ; y el empleo de Ministro Contador de las Reales Caxas de San Luis Potosí, en el propio Reyno, á D. Joseph Caballero Basave. También se ha servido S. M. conferir la lntendencia.de</t>
  </si>
  <si>
    <t>Noddings, Capitán</t>
  </si>
  <si>
    <t>Capitán Noddings</t>
  </si>
  <si>
    <t>i á cejo* y en algunos parages cayó nieve. H? ^ - Londres 21 de Agosto. 1- navio inglés Magestuóso,,Capitán Noddings^ á cuyo bordo iba un des■facaiúehto de 350 soldados, fuá arrojado el 21 dé Julio jior una tormenta -álaoosta, franeesá de Port- Bail, departamento de la A ancha. La obscuridad de</t>
  </si>
  <si>
    <t>Nogales, Francisco</t>
  </si>
  <si>
    <t>Francisco Nogales</t>
  </si>
  <si>
    <t>y escuelas de las comunidades religiosas y los vecinos mas visibles. Dio principio con un discurso D. Francisco Nogales, Cura Rector de la parroquial de S. Andrés, censor de la sociedad , manifestando en él la necesidad de la buena educación , su influxo en las buenas costumbres y en la felicidad d</t>
  </si>
  <si>
    <t>Noguera, Fernando</t>
  </si>
  <si>
    <t>Fernando Noguera</t>
  </si>
  <si>
    <t>§, Í&gt;; Antonio Van-halen y Morfi, Don Joseph Bernia , &lt;D.j6sephBrandaTÍs ,D. igna.cio Meftdizafcaí, D. Fernando Noguera, D. Pedro Agar y Bustiilos, D. Joseph Salazar y Rodríguez, D. Joseph Laguna Calderón,: D. Diego Ochando, D. Ramón De. loves, D. Joseph Sartorio, D. Juan Desloves, D.: Bernardo Gon</t>
  </si>
  <si>
    <t>Nogueyra, Francisco</t>
  </si>
  <si>
    <t>Francisco Nogueyra</t>
  </si>
  <si>
    <t>.. 140. 24. Muerto. Francisco Nogueyra............ Miguel, Rosa González.... Tabueyja........ Salvatierra... 190. 23. Id. Agustín Pintado.................. Miguel, María Vicente.... Peñaflor......... Valladolid</t>
  </si>
  <si>
    <t>Nogueyra, Juan</t>
  </si>
  <si>
    <t>Juan Nogueyra</t>
  </si>
  <si>
    <t>Juan Nogueyra......... Domingo, Gertrúdís de Pra- Ester—Quiro- aoo. 26. Licenciado.</t>
  </si>
  <si>
    <t>Nolasco de Toro y Albarado, Pedro</t>
  </si>
  <si>
    <t>Pedro Nolasco de Toro y Albarado</t>
  </si>
  <si>
    <t>de Albarado: para la Canongía al Racionero D. Matías Querejazu; y para la Ración al Medio-Racionero D. Pedro Nolasco de Toro y Albarado. El dia 20 de Febrero falleció en esta corte, á los años de edad , el Exc. Sr. D. Francisco Gragera, Teniente General de los Reales exércitos, honorario del Consejo de Estado, y P</t>
  </si>
  <si>
    <t>Nolasco, Pedro</t>
  </si>
  <si>
    <t>Pedro Nolasco</t>
  </si>
  <si>
    <t>D. Roque Abarca, D. Joan Leonart,D. Manuel González, D. Ignacio de la Quintana, D. Agustín Lasala, D. Pedro Nolasco dei Rio, Don Joseph Sabido de Vargas, D. Joseph Salvador, D. Francisco Muñoz y San Clemente , D. Juan Antonio de laMata,D. Alexo García Condes Don Antonio Alvarez Ximenez, y D. Manue</t>
  </si>
  <si>
    <t>Ñoñez Gaona, Manuel</t>
  </si>
  <si>
    <t>Manuel Ñoñez Gaona</t>
  </si>
  <si>
    <t>&gt;óUs&amp;Di-rLuiCIfyta'ñoáide .Guzman, D. Pedro Autran, D. Pedro, de Cárdenas£&gt;. Frandscó Xavier Muñoz, D. Manuel Ñoñez Gaona,, D. A¿ntoni© de Córdpbay Raso * Dóá DOmángo de^ Nava , D. Ignacio Maná de. Alaya ,.D. Tomas iMuñók * Do* JJmtió: Ezéta,ib, Juan María VillayiCeupiei, Ijo-jJMiñ Mimos ¡dk:d%e* lam</t>
  </si>
  <si>
    <t>Norberto de Mella-y Barbeyto</t>
  </si>
  <si>
    <t>Campo, D. Francisco Leceta y la Iglesia, D. Manuel Ocarol y Fuertes, D. Antonio Magadan y Entrenos, D. Norberto de Mella-y Barbeyto, I&gt;. Juan de Bustamante y Bustamante, D. Joaquín del Pollo Sagasú, D. Pedro Negrete y Talla , Don Antonio Veguér' y Martiller, D. Joseph Salazar: jr. Ayendelagua, D. Ma-, nuel Abr</t>
  </si>
  <si>
    <t>Nordberg, Capitán</t>
  </si>
  <si>
    <t>Capitán Nordberg</t>
  </si>
  <si>
    <t>s pasó el Rey dando el brazo á la Reyna hasta dexarla á bordo del yacte Ésplandian , mandado por el Capitán Nordberg; y luego se transfirió el Rey al yacte Ainadis, Capitán Hammarfelt, en el qual se tremoló al instante la bandera real: el castillo la saludó con 128 cañonazos; y á las 11 zarparon</t>
  </si>
  <si>
    <t>Nordenstierna, Almirante</t>
  </si>
  <si>
    <t>Almirante Nordenstierna</t>
  </si>
  <si>
    <t>en corso contra los barcos suecos y angio-americanos. Se ha sentido aquí mucho la muerte del Contra-Almirante Nordenstierna, uno de los mejores oficiales de la marina sueca: era muy cono-* cido con su nombre de familia ó apellido, que es Fust. Copenhague 21 de Febrero. H abia este gobierno concedido fr</t>
  </si>
  <si>
    <t>Notario, Ignacio Antonio</t>
  </si>
  <si>
    <t>Ignacio Antonio Notario</t>
  </si>
  <si>
    <t>I2°3 Arzobispado de Burgos, á D. Ignacio Antonio Notario : para el Préstamo de Tormactor,en la diócesis de Burgos, Tacante por muerte de D. Francisco Antonio Serrano, á: D. Mariano Joseph de Cortines:-para la Cspellanía que se baila vac</t>
  </si>
  <si>
    <t>Novoa, Vicente</t>
  </si>
  <si>
    <t>Vicente Novoa</t>
  </si>
  <si>
    <t>arabineros, graduado de Teniente Coronel, D. Joseph Gregorio de Toro; á segundo Teniente al Alférez D. Vicente Novoa, y á Portaestandarte al Sargento D. Gabriel Rodríguez: en el de la Reyna á Alférez al Portaestandarte D. Ramón Calderón: en el del Infante á Ayudante al primer Teniente D. Joseph</t>
  </si>
  <si>
    <t>Ntra, Princesa</t>
  </si>
  <si>
    <t>Princesa Ntra</t>
  </si>
  <si>
    <t>f de la tarde desembarcaron en Barcelona los Serenísimos Stes. fviage ríncipe heredero de Nápoles y Princesa Ntra. Sra., habiendo iiecho sü muy felizmente con'toda la* esquadra. EIRéy y: la. Reyna sNtipoí. Sres. fuéron al muelle á recibir á SS: AA., siendo grande el gusto ycomplacencia, así d</t>
  </si>
  <si>
    <t>Nugent</t>
  </si>
  <si>
    <t>o un tratado con Santos Louverture; y el mismo dia recibió el aviso del ajuste de los preliminares. Mr. Nugent lo comunicó á los agentes que Louverture .tenia en Jamayca, diciéndolés que se retirasen de aquella colonia, pues él por su parte también llamaba al agente ingles que estaba en el</t>
  </si>
  <si>
    <t>Nugent, General</t>
  </si>
  <si>
    <t>General Nugent</t>
  </si>
  <si>
    <t>nte los meses de Abril y Mayo. De Jamayca escriben que al cabo de dos meses de negociación había eí General Nugent, Gobernador de la isla, concluido un tratado con Santos Louverture; y el mismo dia recibió el aviso del ajuste de los preliminares. Mr. Nugent lo comunicó á los agentes que Louver</t>
  </si>
  <si>
    <t>Nuncio, Cardenal</t>
  </si>
  <si>
    <t>Cardenal Nuncio</t>
  </si>
  <si>
    <t>; y los Capitanes Generales Conde de Glimes , y D. Joseph de Urrutia. . Concurrieron también el Sr. Cardenal Nuncio , y todo el cuerpo diplomático, convidado por oficio del primer Secretario de Estado; y también se permitió la entrada á muchas personas de distinción y carácter dependientes de P</t>
  </si>
  <si>
    <t>Núñez Fálcon, Antonio</t>
  </si>
  <si>
    <t>Antonio Núñez Fálcon</t>
  </si>
  <si>
    <t>ássa y Figueroa, D. Francisco Xavier Saravia, D. Ramón Torre y Pellicer, D. Manuel Bernal y Petriz, D. Antonio Nuñez Fálcon, D. Joaquín Elgueta y Hernández , D.Francisco Sarrachaga y Zavala, Don Joseph García Joye, D. Miguel Vaidásano y Ros, D. Joseph de Leyva y. Lerin , D. Rafael Rodríguez Guerra, D.</t>
  </si>
  <si>
    <t>Núñez Falcon, Joaquín</t>
  </si>
  <si>
    <t>Joaquín Núñez Falcon</t>
  </si>
  <si>
    <t>lexo Gutiérrez de Rubalcava, D. Martin Olavidey Andrade,D. Fernando Zambrano,D. Joseph Vertizveria, Don Joaquín Nuñez Falcon, D. Manuel Borroeta y Ozaeta, D. Antonio Piédrola y Verdugo,©. Pedro Mosti y Arrambide,D. Juan de Muía y Guevara, D. Joseph Achaval y Orueta, D. Pedro Ballesteros y Patino, Don Pe</t>
  </si>
  <si>
    <t>Núñez Portocarrero, Manuel</t>
  </si>
  <si>
    <t>Manuel Núñez Portocarrero</t>
  </si>
  <si>
    <t>seph Ruiz'Huidobrq, Di Francisco Sotómaycr, D. Matías- Bayoti; y Rayón, D. Juáp de $als¿ Bcxadórs J D. Manuel Nuñez Portocarrero, D; Ramón Losada y QuíVos, D. Joaquín Goñi y&gt; San Juan ¿D. Mahuel Agüero y Ruiz, D.'Joaquín de Salas y Falces, D. Marcos Gtirnceta, D. Rafael Sequeira, 0. Migsel Moreno y $abét¡a</t>
  </si>
  <si>
    <t>Núñez Robles, Francisco</t>
  </si>
  <si>
    <t>Francisco Núñez Robles</t>
  </si>
  <si>
    <t>/Manuel Laguna y Moscoso, él Marques del Risco, D. Eugenio Duvermeill, D. Francisco Ignacio Rafols, D. Francisco Nuñez Robles, D. Francisco Nuñez * Don Gaspar Pascual de Bonanza, D. Juan la Carte, P. Rodrigo Moscoso, Pon Benito San Juan, y D. Juan Alvarez.</t>
  </si>
  <si>
    <t>Núñez, Alonso</t>
  </si>
  <si>
    <t>Alonso Núñez</t>
  </si>
  <si>
    <t>n América. El Rey se ha servido nombrar para el Arzobispado de México, vacante por fallecimiento de D. Alonso Nuñez de fíaro y Peralta, al Dr. D. Francisco Xavier de Lizana y Beaumont, Obispo de Teruel. Asimismo se ha servido nombrar para el Obispado del Paraguay, vacante por muerte de D. Joseph F</t>
  </si>
  <si>
    <t>Núñez, Francisco</t>
  </si>
  <si>
    <t>Francisco Núñez</t>
  </si>
  <si>
    <t>la Prestamera de la parroquia de Tresjuncos, en la diócesis de Cuenca, vacante por fallecimiento de D. Francisco Nuñez, á D. Juan Antonio Valdivia, Capellán del regimiento de infantería de Extremadura; y para la Prestamera de Enguídanos y la Pesquera, en la misma diócesis de Cuenca, vacante por mu</t>
  </si>
  <si>
    <t>l Marques del Risco, D. Eugenio Duvermeill, D. Francisco Ignacio Rafols, D. Francisco Nuñez Robles, D. Francisco Nuñez * Don Gaspar Pascual de Bonanza, D. Juan la Carte, P. Rodrigo Moscoso, Pon Benito San Juan, y D. Juan Alvarez.</t>
  </si>
  <si>
    <t>O-Dogherti, Henrique</t>
  </si>
  <si>
    <t>Henrique O-Dogherti</t>
  </si>
  <si>
    <t>añas Truxillo, D. Joseph del Castillo y Armenia, D. Antonio Palomar y Arias, D. Manuel de Palacios, D. Henrique O-Dogherti, D. Jacinto Romarota y Salamanca^D. Joseph Corones y Alberola, D. Nicolás dé la Vega y San Julián, D. Manuel Lasqueti y Lasqueti , D. Miguel Pascual y Menocal, Don Ramón Rato y Ra</t>
  </si>
  <si>
    <t>O-Donojú y O-Rian, Juan</t>
  </si>
  <si>
    <t>Juan O-Donojú y O-Rian</t>
  </si>
  <si>
    <t>tabarria, D. Antonio Maestre, D. Fernando Manuel de Villena, el Vizconde de Zolina, D. Juan Maduit, D. Juan O-Donojú y O-Rian, D. Joseph Valmaseda, D. Manuel Rizo, D. Francisco Pastor, D. Manuel Ignacio San Juan, D. Juan Senen de Contreras , D. Pedro Lobo y Arjona, D. Diego Orbaneja, D. Joseph Medrano, D</t>
  </si>
  <si>
    <t>O-Donovan, Juan</t>
  </si>
  <si>
    <t>Juan O-Donovan</t>
  </si>
  <si>
    <t>io Husey, D. Ignacio Maraver, D. Manuel Eligió, D. Antonio Mayone, D. Ramón Gómez, D. Diego Cortés, D. Juan O-Donovan, D. Joaquín 0-ReiUy\D. Joseph de la Piedra, D. Santiago Moreda , Don Gregorio Donayrej Dé Pablo Carbonell, D. Juan Antonio Martínez, Don Joaquín Goyeneche j D. Vicente de Campos,</t>
  </si>
  <si>
    <t>O-Farril, General</t>
  </si>
  <si>
    <t>General O-Farril</t>
  </si>
  <si>
    <t>tria. Ha llegado á esta eiudad el Sr. Ríos , empleado en la Secretaría de la embaxaaa de España. El General O-Farril, Ministro de S. M. Católica, saldrá de aquí después de la revista; y. según dicen se restituye á España. Es grandísima la cantidad de granos que se extraen de Dantzick desde que s</t>
  </si>
  <si>
    <t>O-Farrill, Gonzalo</t>
  </si>
  <si>
    <t>Gonzalo O-Farrill</t>
  </si>
  <si>
    <t>emnizaciones que le ha ofrecido de acuerdo con el Rey de Prusia. Dícese que este Ministro de España D. Gonzalo O-Farrill desempeñará en esta corte el encargo de Ministro del Rey de Etruria. Francfort /y de Febrero. E n el ministerio austríaco se formó una secretaría para el despacho de los negocios de</t>
  </si>
  <si>
    <t>O-Hara, General</t>
  </si>
  <si>
    <t>General O-Hara</t>
  </si>
  <si>
    <t>Créese que la primera va al Mediterráneo, y ia segunda á las Indias occidentales-. Un Ayudante del General O-Hara llegó antes de ayer de Gibraítar con aviso de la muerte de aquel General, que era Gobernador de dicha plaza. Ha resuelto la sociedad: de agricultura de esta capital acuñar medalla</t>
  </si>
  <si>
    <t>e concluya la Dieta de Hungría irá el Archiduque Carlos á París y Londres. Londres 28 de Marzo, E i General O-Hara, Gobernador de Gibraltar que acaba de morir, dexa una herencia quantiosa: á uno. de sus exiados, que es negro, le ha legado sus muebles,plata labrada, ropa blanca, porcelana, y un</t>
  </si>
  <si>
    <t>O-Neilie, Juan</t>
  </si>
  <si>
    <t>Juan O-Neilie</t>
  </si>
  <si>
    <t>, D."AntonioCorrea, D. Joseph Joaquín Martí, D. Mateo Arrióla, D. Gerónimo Verde, D. Juan Kindelan, D. Juan O-Neilie, el Conde de Castrillo y Orgaz, D. Joseph Casamayor , D. Joseph GenaroSa-? lazar, D. Gerónimo la Grúa* D. Joaquín Manuel de ViHena, D. Luis Idia-’ quez, D.' Manuel Továrv -D.!‘Pas</t>
  </si>
  <si>
    <t>O-Snlivan, Juan</t>
  </si>
  <si>
    <t>Juan O-Snlivan</t>
  </si>
  <si>
    <t>eph Sastre, D; Francisco Nuñez, D. Maximiliano Saut Maxent, D. Tadeo Muniesa, D. Fernando Bienpica, D. Juan O-Snlivan, í). joseph de la Valle , Don Joseph Alvarez, D. Cárlos Meyner, D. Francisco Rodríguez , D. Tolhas Rocamora, D. Agustín Pinedo, D. Antonio Cordero,. D. Pedro Villaescusa, D. Migue</t>
  </si>
  <si>
    <t>Oakes</t>
  </si>
  <si>
    <t>desarmado por granaderos suizos del regimiento de Roll, que para ello tenían órdenes de su General. Mr. Oakes hizo las reconvenciones mas fuertes al Capitán Baxá, quien se disculpó declarando que el Gran Señor le había enviado orden de quitar la vida á todos los Beyes y mamelucos, y que r</t>
  </si>
  <si>
    <t>Oakes, General</t>
  </si>
  <si>
    <t>General Oakes</t>
  </si>
  <si>
    <t>las diez de la noche: de suerte que en un solo dia hizo quatro viages. En este correo ha venido el General Oakes, que estuvo en Egipto. Según cartas de Gibraltar la fragata anglo-americana nombrada Essex, está bloqueando el puerto de Trípoli, en el qual se hallan 6 corsarios berberiscos. Otr</t>
  </si>
  <si>
    <t>Oalles, General</t>
  </si>
  <si>
    <t>General Oalles</t>
  </si>
  <si>
    <t>los esfuerzos que hizo en el Parlamento para que no se suprimiese el tráfico de esclavos negros. El General Oalles está nombrado comandante de Alexandría, en donde sentarán su qúartel general el Lord Cavan, Comandante en xefe, y el General Hope; en la misma plaza se aquartelarán todos los regimi</t>
  </si>
  <si>
    <t>Oárlos, Archiduque</t>
  </si>
  <si>
    <t>Archiduque Oárlos</t>
  </si>
  <si>
    <t>antes á sus hogares, sopeña de perder todos sus bienes. I r; ■ Vtena 14 dé Agesto. r " D eseando el Archiduque Oárlos exáminar el estado de algunos establecimientos de está capital antes de emprender:1a visita que ha de hacer erí^varias provincias, pasó et xi de este mes á la academia de cirogíay m</t>
  </si>
  <si>
    <t>Oarrichena, Martín</t>
  </si>
  <si>
    <t>Martín Oarrichena</t>
  </si>
  <si>
    <t>spinóla yLiaño, D. Ignacio de RoóySmidts, D. Claudio Zulmezu y Palacioi D. Juan Ülloa y Be.betoros, D. Martin Oarrichena , D. Manuel Vacaro X Valcarcel, D. Antonio Bobadi!la|y Ángulo, D. Miguel Martínez y Montes, D. Luis Lasqueti y Gal vez, D. Joaquín Ramírez de Arellano* Don Ignacio Munive, D. Juan</t>
  </si>
  <si>
    <t>Obando y Adorno, Joseph</t>
  </si>
  <si>
    <t>Joseph Obando y Adorno</t>
  </si>
  <si>
    <t>sen , D. Manuel de Luengas y Orive, :D. Domingo Sarachaga y Z aval a, D. Gavino de Arana y Arrióla, D. Joseph Obando y Adorno , D. Joseph Romero y Uriraiz , D. Alvaro de la Sema, D. Garlos Rato y Ramírez, D. Ramón Enlate y Tovias, D. Martin Manuel Mathéo, D. Femando Dominicis , y D. Juan de Cárdenas y Cá</t>
  </si>
  <si>
    <t>Obispo de Basilea, Príncipe</t>
  </si>
  <si>
    <t>Príncipe Obispo de Basilea</t>
  </si>
  <si>
    <t>2(f de Febrero. E n una de las últimas sesiones de la Dieta Mr. de Kellenberg, Ministro de S. A. el Príncipe Obispo de Basilea, notifico que conforme al breve del Papa , y á exemplo de otros Príncipes Obispos de Alemania, renunció aquel Príncipe su jurisdicción eclesiástica en la parte de su diócesis que</t>
  </si>
  <si>
    <t>cto de Venecia, fue consagrado el día *4 en la capilla de palacio por el Emo. Herzan de Harras , el Príncipe Obispo de Basilea, y el Conde de Trautmansdom, Obispo de Konigsgratz. El Emperador, la Emperatriz, y los Príncipes y Princesas de la-tamilia</t>
  </si>
  <si>
    <t>én de todas las personas que dependen de eiios. ^ \ Igualmente el Barón de Zillemberg, diputado del Príncipe Obispo de Basilea , ha remitido al Ministrq directorial el, estaco denlas deudas de aquel XXb^sjpo, las quaies asciendená ,44-3,60$ florines. Acompaña una lista de los 'individuos, y rentas del cab</t>
  </si>
  <si>
    <t>Obispo de Constanza, Príncipe</t>
  </si>
  <si>
    <t>Príncipe Obispo de Constanza</t>
  </si>
  <si>
    <t>o de Egmont, Pignatelii, Príncipe de Grave y del S. R. L, Duque de Lusache, Grande de España &amp;c. El Príncipe Obispo de Constanza, Coadjutor de Maguncia, salió de Achaffenburgo el 29 de Enero para Wurtzburgo. Espérase aquí de Baviera al ciud. Laforet, Ministro de Francia; y haáta su llegada no saldrán para M</t>
  </si>
  <si>
    <t>fuego. .Francfort S de Abril. E 1 Conde de Bissingen-Nippenburgo, nombrado sufragáneo por S. A. el Príncipe Obispo de Constanza, fué consagrado el 28 del mes último en Meersburgo. Restituyóse el dia siguiente á Constanza, en donde le recibieron con salva de artillería y puesta la tropa sobre las armas. El</t>
  </si>
  <si>
    <t>Obispo de Imola, Cardenal</t>
  </si>
  <si>
    <t>Cardenal Obispo de Imola</t>
  </si>
  <si>
    <t>abreda. &gt;53. Homilía de N. ;,SS.. P|. ;P;io yiivQregoriqt ^e/n^bc .ChMraípqutL t dirigida, £ÍcÚd¡e&gt; Cardenal Obispo de Imola al pueblo de sqdiócesi^; traducida ,&lt;¡leir italiano...Se. hallarán en la librería de Claros, calle del Arenal. - .....' &gt;• Errores y perjuicios del sistema espftsmódicq:4el- I?íj*</t>
  </si>
  <si>
    <t>Obispo de Munster, Príncipe</t>
  </si>
  <si>
    <t>Príncipe Obispo de Munster</t>
  </si>
  <si>
    <t>en una carta que ha escrito al Cabildo de Arensberg toma el título de Arzobispo electo de Colonia y Príncipe Obispo de Munster. En el Brisgaw ha mandado el comandante publicar á son do caxa que aquel país pertenece al Duque de Modena. Parece que en fuerza de las estipulaciones secretas del tratado de paz</t>
  </si>
  <si>
    <t>Obispo de Osnabruck, Príncipe</t>
  </si>
  <si>
    <t>Príncipe Obispo de Osnabruck</t>
  </si>
  <si>
    <t>eta en está parte. Brusélas 28 de Junio, ¡ \ E spérase de Londres en esta ciudad al Duque de Yorck, Príncipe Obispo de Osnabruck, hijo 2.0 del Rey de Inglaterra, que viene con muchos caballeros ingleses: ya se está disponiendo su alojamiento. Se detendrá algunos dias, y seguirá su viage á las aguas de Spa.</t>
  </si>
  <si>
    <t>Obispo de Paderbo, Príncipe</t>
  </si>
  <si>
    <t>Príncipe Obispo de Paderbo</t>
  </si>
  <si>
    <t>í de Viena el Barón Guillermo de Kettler, Canónigo de esta catedral, y Mr. de Gruban, Consejero del Príncipe Obispo de Paderbo rn. Queda en aquella capital el Conde Christóbal de Kesselstadt, que en compañía de estos dos súgetos fué á tratar con el Emperador sobre el asunto de las secularizaciones. Aun no</t>
  </si>
  <si>
    <t>Obispo de Passau, Príncipe</t>
  </si>
  <si>
    <t>Príncipe Obispo de Passau</t>
  </si>
  <si>
    <t>resentarse nuevos tecur-* sos contra el nuevo plan. Ha . llegado aquí Mr. Rademacher, Canciller del Príncipe Obispo de Passau; y parece, que ha entregado una representación pidiendo que no se separe Ul suerte de la ciudad de Passau de: la que tuviere la mayor parte de su territorio. Se asegura que el Prí</t>
  </si>
  <si>
    <t>Obispo de Ratisbona, Príncipe</t>
  </si>
  <si>
    <t>Príncipe Obispo de Ratisbona</t>
  </si>
  <si>
    <t>-- • 4 ¿ a ---r • Mr. Grundy Consejero de. Corte del,Obispos ^e Strasbujgo yAbogado de Regencia del Príncipe Obispo de Ratisbona, presento á la diputación del Iniperio ,* eñ nombre de los judíos de Alemania, una memoria concebida en estos términos. „E1 infrascripto Pleñípótenciano de los judíos de Alemania,</t>
  </si>
  <si>
    <t>Obispo de Spira, Príncipe</t>
  </si>
  <si>
    <t>Príncipe Obispo de Spira</t>
  </si>
  <si>
    <t>intiese en ello mediante un conclusum, y que este se sancionase y ratificase por S. M. Imperial. El Príncipe Obispo de Spira ha comunicado á su Ministro en Ratisbona el breve pontificio, avisándole que informaba á S. M. Imperial de haberlo recibido ; y añadiendo que le parecía regular que aquel Soberano</t>
  </si>
  <si>
    <t>Obispo y Príncipe Abad, Príncipe</t>
  </si>
  <si>
    <t>Príncipe Obispo y Príncipe Abad</t>
  </si>
  <si>
    <t>una ca a en que residitcon mueblen y servicio demes a; y aimhmo una habitación dé verano para'cada Príncipe Obispo y Príncipe Abad de primer.* clase, dexándoles enteramente ios muebles que les pertenecen en propiedad, y aun durante su vida los que Son del estado. Mr. Bildt, Ministro plenipotenciario de S. M. Sue</t>
  </si>
  <si>
    <t>Ocampo, Domingo</t>
  </si>
  <si>
    <t>Domingo Ocampo</t>
  </si>
  <si>
    <t>Teniente de granaderos al de fusileros D. Juan Estor; á esta Tenencia al Subteniente de granaderos D. Domingo Ocampo; á este empleo al Subteniente D. Cárlos Lesaea,y a-la Subtenencia de bandera,que resulta , al Cadete D. Luís Crespo: y en el de infantería de Puebla áTeniente al Subteniente de gr</t>
  </si>
  <si>
    <t>Ocarol y Fuertes, Manuel</t>
  </si>
  <si>
    <t>Manuel Ocarol y Fuertes</t>
  </si>
  <si>
    <t>tiérrez, D. Joaquín Sanchiz Verenguer, D. Rafael de Lobo y Campo, D. Francisco Leceta y la Iglesia, D. Manuel Ocarol y Fuertes, D. Antonio Magadan y Entrenos, D. Norberto de Mella-y Barbeyto, I&gt;. Juan de Bustamante y Bustamante, D. Joaquín del Pollo Sagasú, D. Pedro Negrete y Talla , Don Antonio Veguér' y</t>
  </si>
  <si>
    <t>Ochando, Diego</t>
  </si>
  <si>
    <t>Diego Ochando</t>
  </si>
  <si>
    <t>ando Noguera, D. Pedro Agar y Bustiilos, D. Joseph Salazar y Rodríguez, D. Joseph Laguna Calderón,: D. Diego Ochando, D. Ramón De. loves, D. Joseph Sartorio, D. Juan Desloves, D.: Bernardo González, D. Joaquín Guzman, D. AntOnio Guzmaa^y Cárrion j D. Alonso Maiin Navarro, 0. .Diego dé'AléssonyBu</t>
  </si>
  <si>
    <t>Ochoategui, Joseph</t>
  </si>
  <si>
    <t>Joseph Ochoategui</t>
  </si>
  <si>
    <t>antería provincial de Puebla se ha servido el Rey promover á Tenientes al Subteniente de granaderos D. Joseph Ochoategui y al de fusileros D. Joseph Posadas; á Subteniente de granaderos al de fusileros D. Mariano González Maldonado, y á Subtenientes á D. Juan Ce</t>
  </si>
  <si>
    <t>Oíondriz, Francisco</t>
  </si>
  <si>
    <t>Francisco Oíondriz</t>
  </si>
  <si>
    <t>Capitán D. Francisco Connvay, Ayudante del mismo cuerpo; y ha promovido á Teniente de él al Alférez Don Francisco Oíondriz. ' V En América. Eñ el regimiento de .dragones provinciales de Puebla se ha servido S. M. promover á Capitán al Teniente D¿ joseph González Priorioj á Tenientes á los Alféreces D.</t>
  </si>
  <si>
    <t>Ojéá, Alexandro Antonio</t>
  </si>
  <si>
    <t>Alexandro Antonio Ojéá</t>
  </si>
  <si>
    <t>n Joaquín Goyeneche j D. Vicente de Campos, D. Vicente Pallas, D. Manuel Herrero, D. Jóaquin Egaña, D. Alexandro Antonio Ojéá, D. Gaspar Barón de Rocreusse, D. Joseph María Lambí, D. Joseph Villaiba, Don Julián de Sequera, D. Joseph Graulle, D. Gerónimo Valladares, D. Rafael Cravallo, D. Guillermo Chiche</t>
  </si>
  <si>
    <t>Olaegui y Aguilar, Juan</t>
  </si>
  <si>
    <t>Juan Olaegui y Aguilar</t>
  </si>
  <si>
    <t>uel Daza y García, D. Diego Padura y Vargas, D. Juan Pinedo y Anuncibay, D. Ramón Truliól y Andreu, D. Juan Olaegui y Aguilar, D. Agustín Manglano y Ruiz, D. Víctor Vinader y Paz, D. Vicente de Lago y León, D. Per dro de Landazuri, D. Joaquín Soroa y Soroa , D. Fernando Bustamante y Bustamante, D. Adrián</t>
  </si>
  <si>
    <t>Olaeta, Ignacio</t>
  </si>
  <si>
    <t>Ignacio Olaeta</t>
  </si>
  <si>
    <t>rrera y Cruzat, D. Juan Ignacio Bustillos, D. Felipe Tcurneil, D. Pedro Esquível, D. Pedro de Mesa, D. Ignacio Olaeta, D. Joaquín Gómez Barreda, D. Benito Santacilia, D. Cosme- Carranza, D. Joseph Melendez, D. Antonio Pareja, D. Francisco Piedrola, D. Fernando Bustillo Cuéva,' D. Francisco Vízcar</t>
  </si>
  <si>
    <t>Olárra, Cayetano</t>
  </si>
  <si>
    <t>Cayetano Olárra</t>
  </si>
  <si>
    <t>ortes y Borda; y en el batallón de cazadores Voluntarios de Barbastro á primer Teniente, al segundo D, Cayetano Olárra, y á SegundóSubteniente al Cadete del primer batallón de Voluntarios de Aragón Don Ignacio Ballesteros. Asimismo ha promovido el Rey en el regimiento de caballería de España á Cap</t>
  </si>
  <si>
    <t>Olavidey Andrade, Martín</t>
  </si>
  <si>
    <t>Martín Olavidey Andrade</t>
  </si>
  <si>
    <t>ras Barnóla, D. Bartolomé Pose Valledor, D. Juan Orozco y Herrera, D. Alexo Gutiérrez de Rubalcava, D. Martin Olavidey Andrade,D. Fernando Zambrano,D. Joseph Vertizveria, Don Joaquín Nuñez Falcon, D. Manuel Borroeta y Ozaeta, D. Antonio Piédrola y Verdugo,©. Pedro Mosti y Arrambide,D. Juan de Muía y Gueva</t>
  </si>
  <si>
    <t>Olbers</t>
  </si>
  <si>
    <t>hace un año por el Sr. Piazzi, y que otros astrónomos buscaban en vano, ha vuelto ahora á verse por Mr. Olbers en Bremen. El 22 de este mes debió hallarse á 187 gr. &gt;n min. de ascensión recta, y 12 grf 17 min. de declinación boreal, encima de la estrella Ro.”;Xa Duquesa de Curlandia asistió</t>
  </si>
  <si>
    <t>que siempre irá en aumento. Escrira en Túnez &amp;c.” El ciud* Lalande ha publicado el siguiente aviso: Mr. Olbers, célebre astrónomo de Bremen , escribe al ciud. Burckhardt que el 28 de Marzo descubrió un nuevo cometa ó planeta, que aparece como una estrella de 7.a magnitud: tenia 184 gr. jó</t>
  </si>
  <si>
    <t>vaciones que ha hecho el Dr. Gauss, de Brunswick, sobre el astro recien descubierto en Brema por el Dr. Olbers, es un planeta cuya órbita se halla entre Marte y Júpiter: ya le han dado el nombre de Pilas. Ha§ta que* se hagan qtras muchas observaciones'no hay que esperar, una grande.exactit</t>
  </si>
  <si>
    <t>l ciud. JLalande ha publicado el aviso siguiente: „Desde el descubrimiento de un décimo planeta por Mr. Olbers, de Brema, se disputaba sobre si era un cometa; pero el ciud. Burckhardt acaba de quitar las dudas. Ee ha observado con el sobrino del ciüd. Lalande; y ha hallado qué su revolució</t>
  </si>
  <si>
    <t>men del 7 de este mes contiene lo que sigue: ,» El 2 del corriente á las 9 de la noche descubrió el Dr. Olbers un cometa pequeño,, que. no se alcanza á ver sino con buenos telescopios. A las 11 y un'minuto estaba en la altura dé 251 gr. 28 m.-. inclinación hacia el norte 4 gr. yi m. El 4 á</t>
  </si>
  <si>
    <t>Olguerras, Francisco</t>
  </si>
  <si>
    <t>Francisco Olguerras</t>
  </si>
  <si>
    <t>42. a. Id. Francisco Olguerras............. Félix , María de Pedro....... S. Pedro......... Sepúlveda .... 74 Id. Juan Sánchez........................ Ignacio, Ana Antó</t>
  </si>
  <si>
    <t>Oliva, Pablo</t>
  </si>
  <si>
    <t>Pablo Oliva</t>
  </si>
  <si>
    <t>900. 14. Inválidos. Pablo Oliva....................... Manuel, María de los Santos...................................... TaSoria......... Jaén............... 90. 2?. Id. Miguel López............</t>
  </si>
  <si>
    <t>Olivan, Miguel</t>
  </si>
  <si>
    <t>Miguel Olivan</t>
  </si>
  <si>
    <t>Cura de Palacio y Receptor de la Real Capilla, tienen que asistir,,y en el que también se sentáron D. Miguel Olivan y D. Andrés de Aransais, que como Capellanes de Honor asistiéron. * Miéntras se estaba en el acto del otorgamiento de lá escritura de capitulaciones matrimoniales se vistió de medio p</t>
  </si>
  <si>
    <t>Ollés de Regales, Joaquín</t>
  </si>
  <si>
    <t>Joaquín Ollés de Regales</t>
  </si>
  <si>
    <t>gustín Alcayde, D. Vicente Royó , D; Jacinto Munárriz ^ D. Juan Antonio Coijiat, D. Joseph Fortuno, D. Joaquín Ollés de Regales; y en la clase de buenos, D. Fabian Lorenté', D. Joseph Ramón dé Andraca, D. Benito Sánchez, D. Manuel Ased, D. Manuel Garcés y D¿ Liborio Mirálles. ’_-Se distribuyéron premios á</t>
  </si>
  <si>
    <t>Olmedilla, Manuel</t>
  </si>
  <si>
    <t>Manuel Olmedilla</t>
  </si>
  <si>
    <t>y Rezaval, D. Francisco Pardo de Andrade , D. Juan Bermudez de Castro, D. Gregorio de la Sota Ruiz, D. Manuel Olmedilla, D. Francisco Zalváburu , D. Joseph de Lama y Montes , D. Joseph Fernandez de las Peñas 9 D. Joseph García de Quesada, D. Vicente Rodrigo y Ros, D. Luis de la Gándara, D. Juan de</t>
  </si>
  <si>
    <t>Oñate, Manuel</t>
  </si>
  <si>
    <t>Manuel Oñate</t>
  </si>
  <si>
    <t>Laborda, y á Subtenientes de bandera á los Cadetes D. Manuel Oñate v D. Joseph González Elias; y en el de dragones de México á Capitán al Teniente D. Juan Rendon; á Teniente al Alférez D. Francisco Hernández, y á Alférez ai Portaguión D. Joseph M</t>
  </si>
  <si>
    <t>Onrubia, Agustín</t>
  </si>
  <si>
    <t>Agustín Onrubia</t>
  </si>
  <si>
    <t>uso. 32. Licenciado Agustín Onrubia.................. Sebastian, Tomasa Alonso. Carabia......... Segovia......... 4. 12. Muerto. Cosme Gómez..................... Matías, Eugenia Salcedo... Muergas..</t>
  </si>
  <si>
    <t>Oovcrstraaren</t>
  </si>
  <si>
    <t>s de la primavera inmediata. Se han recibido noticias favorables de Batavia. El ciud. Oovcrstraaren, Gobernador de la colonia, y recien promovido á Teniente General de los exéreitos bátavos , se ocupa con el mayor esmero en muchas obras dirigidas á purificar</t>
  </si>
  <si>
    <t>Oquendo, Joaquín</t>
  </si>
  <si>
    <t>Joaquín Oquendo</t>
  </si>
  <si>
    <t>cO dé Borja , D. Diego; Encina , D. Manuel de la Cruz., D¿ Diego de Mesa , fc)oñ Pedro déPCastillo, D. Joaquín Oquendo, D. Vieente Rosique, D. Cle^* mente Falcon 9 D. Francisco Reyna ¿ D; AntonioBracho, D.Juan Munar-i Hié, D. Vicente Reyna ,'D. Fernando AgniWe, D^Fernando Gabriel, Don Ramón Lope,</t>
  </si>
  <si>
    <t>Oran, Archiduque</t>
  </si>
  <si>
    <t>Archiduque Oran</t>
  </si>
  <si>
    <t>asen ladiputacion deT'Imperio y la dieta, y que ce luciesen modificaciones importantes -¿ favor del Archiduque Oran -Duque. De resultas de esta declaración hubo; algún disgusto entre los ministerios de Vieraajy Peterébuírgoy hastaque erí fuerzade das representaciones de la córte d&amp; Berlín , del</t>
  </si>
  <si>
    <t>Orbaneja, Diego</t>
  </si>
  <si>
    <t>Diego Orbaneja</t>
  </si>
  <si>
    <t>Francisco Pastor, D. Manuel Ignacio San Juan, D. Juan Senen de Contreras , D. Pedro Lobo y Arjona, D. Diego Orbaneja, D. Joseph Medrano, D. Joaquín de la Chica, D. Agustín Cabrera, D. Antonio Franchi,D. Rafael de Zuniga, D. Gerónimo Martin Cortés, D. Ramón Bétes, D. Francisco Portillo, D. Tomas</t>
  </si>
  <si>
    <t>Orberto Michelena</t>
  </si>
  <si>
    <t>rancisco deja Torre, D. Joseph deí Camino,D. Francisco González Calderón, D. Luis Cavaleri y Ponce, Don Orberto Michelena, D. Alipio de Roda y Duran, Di Aiexandro Marín Na.4 yarro, D. Vicente Camino, D. Joseph deQcio, y SalJzar , D. Miguel Triarte, í). Francisca G;rageray Gotdon&gt; D¿ Autopio Angosto y</t>
  </si>
  <si>
    <t>Ordofiez de Villáquirán, Diego</t>
  </si>
  <si>
    <t>Diego Ordofiez de Villáquirán</t>
  </si>
  <si>
    <t>a á los parientes y demas personas que puedan tener derecho á los bienes que quedáron por muerte de D. Diego Ordofiez de Villáquirán , vecino que fué de esta corte, acaecida el 16 de Setiembre de 1799, para que en el preciso y perentorio término de j¿ dias comparez-f can por sí ó por apoderados ante S. S. y por</t>
  </si>
  <si>
    <t>Ordoñez de la Reguera, Joseph</t>
  </si>
  <si>
    <t>Joseph Ordoñez de la Reguera</t>
  </si>
  <si>
    <t>e la de Málaga, vacante por la promoción de D. Domingo de la Casa á Canongia de la misma iglesia, á D. Joseph Ordoñez de la Reguera: para el Beneficio de Jumilla, en la diócesis de Cartagena, vacante por muerte del Sr. Cardenal Zelada, á D. Joseph Hidalgo Barquero de Godoy: para el Préstamo de Carrascal del Ri</t>
  </si>
  <si>
    <t>Ordoñez, Fernando</t>
  </si>
  <si>
    <t>Fernando Ordoñez</t>
  </si>
  <si>
    <t>Jente, Dón Francisco Toubes y Ordoñez, D. Antonio de Aiscar y Piedrola , D. Anicetó Quixano y Arce, D. Fernando Ordoñez, D. Joseph de Salas Boxadors, Don Alonso Yusti y Herrera, D- Torquato Piedrola y Verdugo, D. Luis Cris y Sansón, D. Francisco Mendinueta, D. Joseph Orozco, y Herrera , D. Manuel B</t>
  </si>
  <si>
    <t>Ordoñez, Juan</t>
  </si>
  <si>
    <t>Juan Ordoñez</t>
  </si>
  <si>
    <t>ncisco Ta— raneo, el Marques de Alcocebar, D. Francisco Fguia, Duque de Frías, Duque del Infantado, D. Juan Ordoñez, D. Francisco Vallejo, D. Antonio López Sopeña, D. Antonio Hurtado, Condé de Olocau, D. Cárloii v</t>
  </si>
  <si>
    <t>Orellana y Josepha Martínez, Ignacio</t>
  </si>
  <si>
    <t>Ignacio Orellana y Josepha Martínez</t>
  </si>
  <si>
    <t>iendo ce-‘ dido para los fondos de la sociedad los jóvenes í). Ignacio Peyrolon, D011 Tomas Morera, D. Ignacio Orellana y Doña Josepha Martínez los que se les* asignaron. Se entregaron ademas 3 premios extraordinarios costeados por la sociedad y-algunos socios á dos niños y uná niña, recibiendo está una lapicera desplata por</t>
  </si>
  <si>
    <t>Oreus</t>
  </si>
  <si>
    <t>brimientos premiados por el Emperador de Rusia merece particular mención un método inventado por el Dr. Oreus para hacer con la planta llamada lichen islandicum una especie de pan, que en tiempos de escasez será un gran recurso para los habitantes déf Norte. El célebre chimico Achard, bie</t>
  </si>
  <si>
    <t>Orive y Quiutano, Andrés</t>
  </si>
  <si>
    <t>Andrés Orive y Quiutano</t>
  </si>
  <si>
    <t>, D. Bernardo Bonávia, D. Manuel de Novales é Iruegas, D. Joaquín Asnn«ulo,D. Pedro de Mesa Baulen, D. Andrés Orive y Quiutano, D. Jo•seph Pascual de Vivero ,- D..t Francisco Mlllau y Merlo, D« Manuel Díaz Herrera, D. Joseph Salomón, D. Joseph de Llano Garay, D. J« st*ph Ig¿. nado del Camino', D. Vicente</t>
  </si>
  <si>
    <t>Orive, Fernando</t>
  </si>
  <si>
    <t>Fernando Orive</t>
  </si>
  <si>
    <t>no, D. Juan Aldrete, D. Joseph Dupré, D. Simón Fuentes, D. Manuel de Madrigal, D. Narciso Bernales; D. Fernando Orive, D. Francisco de Castro,.D. Francisco Mexia, D. Juan Joseph Indafmtu, D. .Juan Fatqués, ,t I&gt;. Manuel Dambrihe, D. Francisco Perez Brito , D. Juan Joseph Cana*,D'&lt;Pedro García, D.</t>
  </si>
  <si>
    <t>Orozco y Herrera, Juan</t>
  </si>
  <si>
    <t>Juan Orozco y Herrera</t>
  </si>
  <si>
    <t>el Texeyro y Zafra, D. Joseph María Autran, D. Joseph de Varas Barnóla, D. Bartolomé Pose Valledor, D. Juan Orozco y Herrera, D. Alexo Gutiérrez de Rubalcava, D. Martin Olavidey Andrade,D. Fernando Zambrano,D. Joseph Vertizveria, Don Joaquín Nuñez Falcon, D. Manuel Borroeta y Ozaeta, D. Antonio Piédrola</t>
  </si>
  <si>
    <t>Orozco, Andrés</t>
  </si>
  <si>
    <t>Andrés Orozco</t>
  </si>
  <si>
    <t>on Jdseph Díaz, D. Ignacio Luzon¿ D. Mariano Merchante, D. Christóbal Manzano, D. FranciscoFaxardo, D. Andrés Orozco, D. Miguel Duran, D. Cárlos Chinchilla, D&gt;. Antonio Texád a, D. Juan Ximenez, D. Ma^ nuél Díaz, D. Martilel Fprcarda, I&gt;. Manuel Teran, D. Joaquín Ribera^ D;; Pedro Muñoz, D, Juán</t>
  </si>
  <si>
    <t>Orozco, Joseph</t>
  </si>
  <si>
    <t>Joseph Orozco</t>
  </si>
  <si>
    <t>so Yusti y Herrera, D- Torquato Piedrola y Verdugo, D. Luis Cris y Sansón, D. Francisco Mendinueta, D. Joseph Orozco, y Herrera , D. Manuel Barruchi, D.Francisco Lafita, D.:Francisco Benitez y Antunez, Don Joaquín Gómez García, D.Pablo de la Puerta, D. Joseph Ruiz'Huidobrq, Di Francisco Sotómayc</t>
  </si>
  <si>
    <t>Ortega Tamayo de Tamayo, Joseph</t>
  </si>
  <si>
    <t>Joseph Ortega Tamayo de Tamayo</t>
  </si>
  <si>
    <t>e la humanidad sobre serias demostrativas meditaciones adquiridas á costa de ímprobos trabajos, por D. Joseph Ortega Tamayo de Tamayo, individuo del Real colegio de medicina de esta corte: segunda impresión. Se hallará en la librería de los herederos de García, calle de la Gorguera. Crítica de las píldoras Julia</t>
  </si>
  <si>
    <t>Ortega, Alexandro</t>
  </si>
  <si>
    <t>Alexandro Ortega</t>
  </si>
  <si>
    <t>20. 7. Id. Alexandro Ortega......... .. .. Ramón, Ana Vallejo........... Hormazas.... Búrgos........ . 514. 8. Id. Dionisio Guerra............... .. Vicente, Teresa Sánchez... Almagro...... Almagr</t>
  </si>
  <si>
    <t>Ortega, Antonio</t>
  </si>
  <si>
    <t>Antonio Ortega</t>
  </si>
  <si>
    <t>el Real cuerpo de Guardias de Corps se ha servido el Rey nombrar Cadete de número al supernumerario D. Antonio Ortega , y Cadete supernumerario al Guardia D, Eugenio Ximeno. El Rey se ha servido promover en el regimiento de Reales Guardias Españolas á Teniente de cazadores al segundo Teniente de</t>
  </si>
  <si>
    <t>Ortega, Manuel</t>
  </si>
  <si>
    <t>Manuel Ortega</t>
  </si>
  <si>
    <t>80. 16. Licenciado» Manuel Ortega.................... Miguel, María Rotueta... Navarridas... Vitoria......... So. 16. Id. Narciso Barga ñon............... Benito, María Lomba..... S Torquato... Sto.</t>
  </si>
  <si>
    <t>Ortega, Sebastián</t>
  </si>
  <si>
    <t>Sebastián Ortega</t>
  </si>
  <si>
    <t>13. 1. Id. Sebastian Ortega....... , Torres.......... Guadalaxara. 90. 13. Id. Manuel Marques..,.,</t>
  </si>
  <si>
    <t>Ortell, Manuel</t>
  </si>
  <si>
    <t>Manuel Ortell</t>
  </si>
  <si>
    <t>á D.Pascual Lozano López: para la Canongía Magistral de nueva erección de la catedral de Tortosa á D. Manuel Ortell: para la Canongía de la catedral de Córdoba, vacante por fallecimiento del Sr. Cardenal Zelada , á D. Luis Albarracin y Quero: para el Arciprestazgo de Cuellar , en la diócesis de</t>
  </si>
  <si>
    <t>Ortells y Gombau, Francisco</t>
  </si>
  <si>
    <t>Francisco Ortells y Gombau</t>
  </si>
  <si>
    <t>isertación sobre la ventaja de este método respecto del antiguo , por el Dr. D. Francisco Ortells y Gombau , presbítero : publicado para que se propague la perfección de la hilaza de la seda en beneficio de las fabricas nacionales conforme á las Reales intenciones. El referido Lapayese estableció e</t>
  </si>
  <si>
    <t>Ortesa, Antonio</t>
  </si>
  <si>
    <t>Antonio Ortesa</t>
  </si>
  <si>
    <t>á Cadete de número al supernumerario D. Francisco Manrique, y á Cadete supernumera-r rio al Guardia D. Antonio Ortesa. __ _ En el regimiento de Reales Guardias Españolas se ha servido el Rey promover á Comandante del quarto batallón al Brigadier D. Alonso Villafane, Capitán del propio Cuerpo. Y e</t>
  </si>
  <si>
    <t>Ortis de Muga, Manuel</t>
  </si>
  <si>
    <t>Manuel Ortis de Muga</t>
  </si>
  <si>
    <t>io. Quien supiere de su paradero le remitiré ó avisará á dicho D. Doniingo Calaon , en Andúxar, ó á D. Manuel Ortis de Muga, én Madrid, calle de Leganitos, núm. xa. Don Manuel Codina y compañía, de Barcelona, remitiéron el it de Agosto é D. Manuel Buch y Buch ,de Cádiz, tres vales de 130 pesos, de i.°"</t>
  </si>
  <si>
    <t>Ortiz Canela y Esteller, Ramón</t>
  </si>
  <si>
    <t>Ramón Ortiz Canela y Esteller</t>
  </si>
  <si>
    <t>h García Joye, D. Miguel Vaidásano y Ros, D. Joseph de Leyva y. Lerin , D. Rafael Rodríguez Guerra, D. Ramón Ortiz Canela y Esteller, D. Manuel Valcarcel, y Oconri, t). Joachin de Mora; y Duarte ,, D. Diego de Arteaga, D. Alonso Solis y Zurita, D. Joseph Bernaci y Retamar, Don Ignacio Éscovar y Ríquelme, D. Jua</t>
  </si>
  <si>
    <t>Ortiz Canela, Lorenzo</t>
  </si>
  <si>
    <t>Lorenzo Ortiz Canela</t>
  </si>
  <si>
    <t>a, DI Nicolás de Meñaca, D. Vicente CaamañoyPardo , D. Pddro Cbntreras, D. Pedro Costales y Pareja, D. Lorenzo Ortiz Canela, D. Marcelino Dueñas y Vega, D. Joseph Tobías y Rodríguez, D. Rafael Domínguez Aguayo, D.. Jacinto Valdasano y Ros, D. Joseph Doininicis#y Montan!, D. Francisco del Ñero , D;. Mig</t>
  </si>
  <si>
    <t>Ortiz de Guinea y Teran, Vicente</t>
  </si>
  <si>
    <t>Vicente Ortiz de Guinea y Teran</t>
  </si>
  <si>
    <t>Pedro Domingo de Reynoso. • *■; • Afapórdantos de Semana. 7; r \ D. Juan de la Cruz Ver^és^umve, y D. Vicente Ortiz de Guinea y Teran; y plaza supernameraria de Géntiínombre de la Real Casa á . Don Manuel de Santa Clara. ■ 7 7: Igualmente se ha servido 5: M. hacer merced de Título de Castilla, parasí» sus hijos</t>
  </si>
  <si>
    <t>Ortiz Llagu-r, Benito</t>
  </si>
  <si>
    <t>Benito Ortiz Llagu-r</t>
  </si>
  <si>
    <t>Andrés Otero , D.Franci co Dáviji y :Guzma[n.&gt; Don Lorenzo JJrtu^austegui, n. Juan Joseph Velasco, D. Benito Ortiz Llagu-r ¿o, D, Antonio Caípptiz3no , D. Joaquín,íalite Diáz,;X). Miguel Dominfi¿ii4ez y Vargas, D. Sántps Bembiela y Ricpjp. Manuel Solís y.Sovia, Don Braulio Otálora , D. Francisco-Alvar</t>
  </si>
  <si>
    <t>Ortiz, Cayetano</t>
  </si>
  <si>
    <t>Cayetano Ortiz</t>
  </si>
  <si>
    <t>... 49. 25. Id. Cayetano Ortiz................ Miguel, Ursula Liorza,.... Rjoteguíi....; Vitoria. ..... 37. 3. Id. Sotero Maeso....................... Lúeas, María Santos. .... Belorado..... Bú</t>
  </si>
  <si>
    <t>Ortiz, Joseph</t>
  </si>
  <si>
    <t>Joseph Ortiz</t>
  </si>
  <si>
    <t>Marques de CaSteldosrius, D. Juan Manuel de Villeoa, el Marques de Monsalud, D. Francisco Palafox, D. Joseph Ortiz, D. Carlos Aguado, D. Andrés López, D. Pedro Roca, D. Tomas de Jáuregui, D. Marcelo Hstranio, D. Salvador del Toro, D. Joseph Ampudía, D. Francisco Gelabert, el Marques’de Viliadá</t>
  </si>
  <si>
    <t>Ortiz, Joseph Alonso</t>
  </si>
  <si>
    <t>Joseph Alonso Ortiz</t>
  </si>
  <si>
    <t>el Dr. Adam Smith, traducida y aumentada considerablemente con ilustraciones relativas á España por D. Joseph Alonso Ortiz. Esta obra se halla suficientemente recomendada por la notoriedad de su mérito en las naciones cultas, que la consideran como obra maestra en punto de economía política , y en ell</t>
  </si>
  <si>
    <t>. en pergamino y 138 en pasta. Ensayo económico de la moneda-papel, y sobre el crédito público: por D. Joseph Alonso Ortiz : obra que debe acompañar á la que traduxo de Smith sobre la naturaleza y causas de la riqueza de las naciones, como tan análoga su materia y fundada sobre los principios universa</t>
  </si>
  <si>
    <t>Ortizf, Joseph</t>
  </si>
  <si>
    <t>Joseph Ortizf</t>
  </si>
  <si>
    <t>Carróz, Barón de Casa-Ddvalillo, D. Joseph Company, D. Joseph Antonio Cavanilles, D. Joseph Chaix, D. Joseph Ortizf y D. Joaquín de la Croix, secretario, se verifico la primera junta de dicha diputación en casa del Exc. Sr. Presidente el dia 20 de Mayo. El Consejo, á consulta de la Comisión guberna</t>
  </si>
  <si>
    <t>Ortizi, Joseph</t>
  </si>
  <si>
    <t>Joseph Ortizi</t>
  </si>
  <si>
    <t>de la ciudad de S. Felipe* diócesis de Valencia, vacante por fallecimiento de Don Félix Molla ,, á D. Joseph Ortizi para una Canongía de la catedral de Car-7 tagena, vacante por muerte de D. Benito de las Héras, áD.Manuel Gis— pert; y para la Ración que se halla vacante en lá catedral dé’StSá D</t>
  </si>
  <si>
    <t>Ortuño-y Castañon, Salvador</t>
  </si>
  <si>
    <t>Salvador Ortuño-y Castañon</t>
  </si>
  <si>
    <t>Castañeda, Don Antonio Saavedra y Jofre, D. Vicente Valcarcel y Qconri, D. Joseph Primo de Rivera, D. Salvador Ortuño-y Castañon , D. Antonio Villaviqencio, D. Joseph Delgado y Guerra, D. Joaquín Mioño y Quevedo, Don Diego Ponce dé León, D. Rufino Torrcntcgui, D. Nicolás Rubín de Barrio, D. Isidro Gago y Ab</t>
  </si>
  <si>
    <t>Osaba, Pablo</t>
  </si>
  <si>
    <t>Pablo Osaba</t>
  </si>
  <si>
    <t>asa. a. Licenciado. Pablo Osaba................ Pedro. Maria Ochoa........... Ochandiano.. Vitoria.......... 390. 13. Id. Manuel Mateos........... Joseph, Gertrúdis</t>
  </si>
  <si>
    <t>Osmond</t>
  </si>
  <si>
    <t>artida de la guardia nacional. * Los judíos de esta ciudad nombraron diputados que cumplimentasen á Mr. Osmond, nuevo Obispo de Nancí. El ciud. Beer-Isaac-Beer, individuo de este consejo municipal, fue el que hizo la arenga en nombre de sus compañeros. El Prelado respondió con el decoro y</t>
  </si>
  <si>
    <t>Osorio y Vargas, Francisco</t>
  </si>
  <si>
    <t>Francisco Osorio y Vargas</t>
  </si>
  <si>
    <t>e, D. Nicolás de Cea , D.DiegoButron y Cortés, D: Joseph Rodríguez de Arias, D. Anselmo G -m^ndio , D. Francisco Osorio y Vargas, D. Joseph Mergelina y Silva, D. Martin Iriarte, D. Vicente de Flores VülamiJ,^. Francisco .Füente^Bircancgra, D. Juan Coronado, D. Joseph Doronzoro, D« Joseph R.eynoso Roldan , 0</t>
  </si>
  <si>
    <t>Ossió, Nicolás Antonio</t>
  </si>
  <si>
    <t>Nicolás Antonio Ossió</t>
  </si>
  <si>
    <t>para una Media Ración de la catedral de Caricas, vacante por renuncia de D. Christóbal de Fierro, á D. Nicolás Antonio Ossió , Cura Rector del Sagrario de la misiiia catedral. ■&gt;v «;4 * '‘;' ’T"’gelian mandado publicar por 9 dias mas varias fincas, que por el juzgado del Sr D. Ignacio -Martínez de ViHel</t>
  </si>
  <si>
    <t>Osuliivan, Juan Joseph</t>
  </si>
  <si>
    <t>Juan Joseph Osuliivan</t>
  </si>
  <si>
    <t>erano de Castilla, y a p. Jaseplí María Ibarra, D. Joseph Ignacio Zarripolea, D.Jpseph lgpmo López, D. Juan Joseph Osuliivan , D. Joseph Timoteo Ortega y D.Francis^ |p Genaro de Cicero, que lo eran delpnismo batallón de milicias de Cam-r El dia 7 de Setiembre. úhin\o falleció yn la ciudad de Patencia á</t>
  </si>
  <si>
    <t>Oter, Andrés</t>
  </si>
  <si>
    <t>Andrés Oter</t>
  </si>
  <si>
    <t>mingo. 112. 17! Id. Andrés Oter......................... Tomas ,Isabel Oter........ Villaverde... Soria..............¿ 17. 29* Muerto. Eugenio Sancha.................. Tomas, Margarita Liras... Tqrrequ</t>
  </si>
  <si>
    <t>Otero y Figueroa, Nicolás</t>
  </si>
  <si>
    <t>Nicolás Otero y Figueroa</t>
  </si>
  <si>
    <t>ibañezj D. Joseph Riiiz de Corrazar, -D. Guillermo Bosichi y Moyano, D. Ildefonso de Roxas y Róx2s, D. Nicolás Otero y Figueroa, D. Joseph Seydel y Sada, D. Francisco Cortés y Posada, ©. Francisco. Antolinez y Salazar , D. Joseph de la Cresta, D. Miguel Cavaleri, Don1 Ñuño de Ja Cueva y Alcedo, D. Santiago</t>
  </si>
  <si>
    <t>Otero, Andrés</t>
  </si>
  <si>
    <t>Andrés Otero</t>
  </si>
  <si>
    <t>Bausá,:0on Favio Aliponzoni, .D. Jacobo Morfi, D. Madano Isazbinbil, D. Joseph Dionisio: de Rivera, D. Andrés Otero , D.Franci co Dáviji y :Guzma[n.&gt; Don Lorenzo JJrtu^austegui, n. Juan Joseph Velasco, D. Benito Ortiz Llagu-r ¿o, D, Antonio Caípptiz3no , D. Joaquín,íalite Diáz,;X). Miguel Domin</t>
  </si>
  <si>
    <t>Otro</t>
  </si>
  <si>
    <t>e comunica lo que se resoit íó en el Consejo de gabinete celebrado el dia 5. El ciud. Otro recibió también el 8 cartas de su gobierno; al dia siguiente tuvo una coníerencia con el Lord 1 lawkesbury, y aquella misma noche se expidió, otro correo para</t>
  </si>
  <si>
    <t>Otto</t>
  </si>
  <si>
    <t>ques de Cornwallis envió desde Francia. Luego se despachó un correo á París. El ciud. Otto, después de recibir igualmente cartas de su gobierno , tuvo una conferencia con el mencionado Lord Hawkesbury. El Almirante Totty, que salió para la Martinica</t>
  </si>
  <si>
    <t>se irá acercando á las fronteras de la Cisalpina. Londres s&gt; de Diciembre. E 1 ciud. Otto está nombrado Ministro plenipotenciario de la República francesa en esta corte : recibió sus nuevas credenciales el dia 5 , y su gobierno le ha señalado', según</t>
  </si>
  <si>
    <t>lenipotenciarios para formar el congreso, siguen aquí las conferencias entre ei ciud. Otto, el Lord Líawkesb'ury y los Ministros extrangeros,'en las quales, según parece, se arreglan los puntos de mayor importancia que han de incluirse en ios artícul</t>
  </si>
  <si>
    <t>rtas del Lord Comwallis, é inmediatamente se celebró un consejo de gabinete. El ciud. Otto fue presentado el día 16 ai Rey en calidad de Ministro de Francia. A causa de los vientos contrarios ha vuelto á Portsmouth el convoy que había salido para Amé</t>
  </si>
  <si>
    <t>Douvres con dos correos ingleses y dos franceses. Estos traian pliegos para el ciud. Otto. Está pronto á dar la vela para Egipto el navio Narciso con órdenes del gobierno; pero no emprenderá su viage hasta que se sepa algo de cierto sobre el tratado</t>
  </si>
  <si>
    <t>, el qual fue muy brillante. Se notó que el Rey conversó algunos minutos con el ciud. Otto. Hubo salva de la torre y del parque, y se tiráron 58 cañonazos: número igual á los años que cumplió S. M. Mr. Hervey, secretario del Lord Hawkesbury, salió de</t>
  </si>
  <si>
    <t>se despacharon de aquí dos correos para Amiens y Paris. r Antes de ayer tuvo el ciud. Otto una larga conferencia con S. M. en el palacio de S. James. De la ciudad de Washington avisan que Mr. Alberto Gallatin Secretario de la tesorería de los Estados</t>
  </si>
  <si>
    <t>raordinario de Amiens con pliegos del Plenipotenciario Joseph Bonaparte para el ciud. Otto. Al instante se divulgó la voz de que se había firmado el tratado definitivo; pero hasta ahora no ha llegado - la confirmación de esta noticia. El ciud. Otto l</t>
  </si>
  <si>
    <t>meran en turbar la buena armonía entre las dos naciones ; pero es dudoso que el ciud. Otto tome parte en un asunto que la po-. tencia á quien representa desprecia, Se ha sabido por el paquebot nombrado Príncipe Adolfo, reden llegado de Lisboa, que la</t>
  </si>
  <si>
    <t>e había dado para los armamentos navales. Dícese qué ios últimos pliegos que el ciud. Otto recibió de París y de Amiens, traen la respuesta del gobierno francés á las representaciones hechas por los Ministros ingleses para que quanto antes se ajuste</t>
  </si>
  <si>
    <t>libras para pagar las deudas y atrasos de la lista civil, ó sea los gastos del Rey y familia Real. Mr. Otto comió ayer con el Duque de Queenbury, y fue muy numerosa la concurrencia. , Se están preparando caxas guarnecidas de diamantes para regalarlas al referido Plenipotenciario y al ci</t>
  </si>
  <si>
    <t>no militar de Gibraltar, para el qual se pondrá en camino dentro de 10 dias. El ciud. Otto ha pedido á este gobierno la restitución de las sumas pertenecientes al de Francia , que se seqiiestráron durante la guerra, y están depositadas en manos de Mr</t>
  </si>
  <si>
    <t>lor excede en mucho al importe de su crédito. .Londres 7 de Abril. H abiendo el ciud. Otto, Ministro de Francia en esta corte, manifestado el deseo de su gobierno sobre que los prisioneros que hay en Inglaterra se enviasen desde luego á su patria sin</t>
  </si>
  <si>
    <t>as de San-Maló, de Dinan y de San-Servan¿ En un banquete á que fúé convidado el ciud. Otto, y al que asistía el heredero de4a monarquía inglesa, estaba el hijo del Príncipe Egalité (Orlenos), qué tenia las insignias y las cruces del antiguo gobierno.</t>
  </si>
  <si>
    <t>Andreosi para Embaxador de -la República francesa cerca de S. M. Británica:, al ciud. Otto, Ministro plenipotenciario de Francia en Inglaterra,, para Ministro plenipotenciario íjae la República cerca del Presidente dé los Estados-rUnidós de. América:</t>
  </si>
  <si>
    <t>llevar pasaportes firmados por el Ministro de Estado Lord Hawkesbury, y por el ciud. Otto, Ministro francés en Londres. Una carta de Gibraltar de 31 de Mayo recibida aquí el 23 del corriente refiere que la fragata portuguesa nombrada el Cisne» de 40</t>
  </si>
  <si>
    <t>„ Ensayo sobre la longevidad, ó larga vida” que le remitió, desde Inglaterra el ciud. Otto de parte del cabalIéro Juan SincIair, vocal delParf lamento: británico. Recórre el autor todas las' circunstancias queptfédeiíícojfó</t>
  </si>
  <si>
    <t>Ottó</t>
  </si>
  <si>
    <t>ancia.’* Hemos recibido de Inglaterra la noticia oticial de que á instancia dél ciud. Ottó, Ministro francés, por falta de correspondencia directa entre" nosotros y el gabinete de S.-James, ha reconocido el gobierno británico la, bandera; de lar Repú</t>
  </si>
  <si>
    <t>dor. Se apeó en la casa;que le tenían dispuesta, y i las 10 pasó á visitarle el ciud. Otto. Un poco después comunicó de oficio el General Andreosi su llegada al Lord Hawkesbury, Secretario de Estado , á cuya'secretaría pasó luego el Embaxador con el</t>
  </si>
  <si>
    <t>añana una comida de ceremonia á dicho Embalador francés , á la que asistirán el ciud. Otto y muchos individuos del cuerpo diplomático. Esperase en Douvres al Enviado extraordinario de laRepúbhca bátava; y ha despachado el ministerio órdenes á aquella c</t>
  </si>
  <si>
    <t>el convite el Lord Pelham.-^-rParéce qiie dé aqúíá ddiatse retira íc Francia el ciud Otto, •Ministra que hasido cér^^^stegobfetntv1 ^ ^ ? í Las tropas inglesas que formaban, las guarniciones de Surínam, DemerányBerbUay Esequívo», han dcsembarcadoin</t>
  </si>
  <si>
    <t>Oviedo, Diego</t>
  </si>
  <si>
    <t>Diego Oviedo</t>
  </si>
  <si>
    <t>Española del Real cuerpo de Guardias de Corps se ha servido promover el Rey á Subrigadier al Cadete D. Diego Oviedo; á Cadete de número al supernumerario D. Pedro Guerra; y á Cadete supernumerario al Guardia de la propia compañía D. Antonio Pascual Barradas. * También ha promovido S. M. en el r</t>
  </si>
  <si>
    <t>Oviedo, Francisco</t>
  </si>
  <si>
    <t>Francisco Oviedo</t>
  </si>
  <si>
    <t>onel tos Sargentos mayores y Capitanes: **-■ ' en España.. ■ ;. D. Roque Parrada, D. Joseph Lasala, D. Francisco Oviedo,D. Joseph Jubert, D. Ramón Figueroa, D. Francisco Uztariz, D. Juan de Dios Cabrera, D. Joseph Arredondo, D. Luis María Bonsteten, D. Luis Aygremont, D. Cárlos VauverdenyD. Aüigei</t>
  </si>
  <si>
    <t>Pa, Francisco</t>
  </si>
  <si>
    <t>Francisco Pa</t>
  </si>
  <si>
    <t>D. Carlos Porta y D. Juan Ugartemendia; á primeros Subtenientes á los. segundos D. Eugenio Delgado, D. Francisco Pa-' mies y D. Juan Manuel de Blas, y á segundos Subtenientes al Cadete Don Dionisio de Piedra y al Sargento primero de granaderos D. Francisco González, como también á D. Ignacio de G</t>
  </si>
  <si>
    <t>Pablo Alonso</t>
  </si>
  <si>
    <t>sas del bien de su puebloi que asistiéron á dichos certámenes. En la primera clase fuéron premiados D. Pablo Alonso, D. Agapito Martínez, D. Pedro del Caño y D. Joseph Gallarte. En la segunda D. Romualdo Merino» D. Nicolás Casaba!, Dpn Nicolás Ramírez, D. Lucas de Soto, D. Fructuoso Cariñena, D</t>
  </si>
  <si>
    <t>Padilla, Ignacio</t>
  </si>
  <si>
    <t>Ignacio Padilla</t>
  </si>
  <si>
    <t>ante mayor, graduado de Teniente Coronel, D. Simón de Valencia; á Capitanes á D. Francisco Ximenez, D. Ignacio Padilla y D. Joseph del Toro, Tenientes de granaderos; á esta clase á los de fusileros Don Vicente Andino, D. Santiago de Córdoba y D. Juan Escudero; á Tenientes los Subtenientes de granadero</t>
  </si>
  <si>
    <t>Padilla, Joseph Antonio</t>
  </si>
  <si>
    <t>Joseph Antonio Padilla</t>
  </si>
  <si>
    <t>María de la Rocha : para la de Oficial ayudante de tallador de la Real casa de moneda de Sta. Fe á D. Joseph Antonio Padilla: para la de Guarda mayor de rentas de Riobamba á D. Joseph de la Cadena : para la de Guarda almacén de la administración de tabacos de Cuenca á O. Manuel Tellez: para la de Guarda</t>
  </si>
  <si>
    <t>Padura y Vargas, Diego</t>
  </si>
  <si>
    <t>Diego Padura y Vargas</t>
  </si>
  <si>
    <t>. Miguel Pascual y Menocal, Don Ramón Rato y Ramírez, fk Roque Díaz Pardo, D. Miguel Daza y García, D. Diego Padura y Vargas, D. Juan Pinedo y Anuncibay, D. Ramón Truliól y Andreu, D. Juan Olaegui y Aguilar, D. Agustín Manglano y Ruiz, D. Víctor Vinader y Paz, D. Vicente de Lago y León, D. Per dro de La</t>
  </si>
  <si>
    <t>Paez, Joseph Antonio</t>
  </si>
  <si>
    <t>Joseph Antonio Paez</t>
  </si>
  <si>
    <t>s y de bandera á los Cadetes D. Rafael Paez., P. Joseph María,Monagas, D, Francisco, Leandro Paez , D. Joseph Antonio Paez, D^Domipgo Xaboada y D. Joseph de Sosa Miranda. El 27 de Octubre del año próximo pasado falleció en la ciudad de Valladolid, pueblo de su naturaleza , D. Juan de Sahagun de la Mat</t>
  </si>
  <si>
    <t>Paez, Rafael</t>
  </si>
  <si>
    <t>Rafael Paez</t>
  </si>
  <si>
    <t>deros ai de fusileros D. Francisco Cazoria ; á Subtenientes de fusileros y de bandera á los Cadetes D. Rafael Paez., P. Joseph María,Monagas, D, Francisco, Leandro Paez , D. Joseph Antonio Paez, D^Domipgo Xaboada y D. Joseph de Sosa Miranda. El 27 de Octubre del año próximo pasado falleció en</t>
  </si>
  <si>
    <t>Pafeja, Ignacio</t>
  </si>
  <si>
    <t>Ignacio Pafeja</t>
  </si>
  <si>
    <t>e. También se ha servido S. M. promover en el regimiento de dragones del ley á Ayudante al Teniente D. Ignacio Pafeja; y en el de Villaviciosa 3&gt;axa el mismo empleo al Teniente D. Juan Ccmvay. JZn América. S. M. se ha servido conferir el Gobierno militar del Real Fuerte de San Cárlos del Perote,</t>
  </si>
  <si>
    <t>Pagés, Miguel</t>
  </si>
  <si>
    <t>Miguel Pagés</t>
  </si>
  <si>
    <t>le Barcelona , vacante por promoción de D. Antonio Simón Amat al curato de Bimbodi en, Tarragona, á D. Miguel Pagés. ~ En América. El Rey se ha servido nombrar para la Dignidad de Arcediano de la catedral de la Paz , vacante por fallecimiento de D. FeKpé Antonio de Ajtieda , á D. Guillermo de Z</t>
  </si>
  <si>
    <t>PaI</t>
  </si>
  <si>
    <t>ftás -há nombrado &amp; Mr, C irlos Fox por indíVidub1 hónbrário3ebéiériqías morales yípo* líricas; y á Mr. PaI^Jtámbieií'pór hdnórarío?en:lác!á$e de ciencias físicas y mateiníticas. •; - • -’ ‘ • ' ‘- ; ; q r Refiere una carta de Nancí que en un pueblo inmediato llamado S..■■■■Ni* colas dé</t>
  </si>
  <si>
    <t>Paiitaleón At MoredletáyD</t>
  </si>
  <si>
    <t>^ D« Jacobo Greyro ‘y .Basad rey Dí Joseph Gáztelú y Echeniqtíe, D. Joan Crespo de Léon y Lílfiné , D. Paiitaleón At MoredletáyD.' Manuel Nuñez de Prados- JDÚ Joseplií V’illena y Porlier fDc&gt;Pedro AfecaTale y Sano , Don Bartolomé Rosso y González, D. BartolomóíMo^qinecholy Martinez^ Don Hilarlo Artacho y To</t>
  </si>
  <si>
    <t>Pajáres, Joseph</t>
  </si>
  <si>
    <t>Joseph Pajáres</t>
  </si>
  <si>
    <t>ro y áfltinao plazo se cita y llama ante el juzgado del Alcalde mayor de Cartagena, y escribanía de D. Joseph Pajáres, a Juan Lorenzo Márquez, ó a sus hijos y herederos legítima*, para que en el preciso y perentorio término de un mes acudan á posesionarse por si ó por medio de apoderado de los bi</t>
  </si>
  <si>
    <t>Palacios, Antonio</t>
  </si>
  <si>
    <t>Antonio Palacios</t>
  </si>
  <si>
    <t>ombrado para el empleo de Ayudante de Guarda Almacén ordinario de Artillería de la plaza de Ceuta á D. Antonio Palacios, Sobrestante de la Maestranza de Artillería de la misma plaza. . En América. El Rey se ha servido nombrar para la Canongía Penitenciaria de la catedral de Sta. Cruz de la Sierra ,</t>
  </si>
  <si>
    <t>stino ó.paradero de D. Manuel de Bustamante, que hace un año existia en esta corte, la comunicará á D. Antonio Palacios, del comercio de esta villa , calle de Postas , ó á D. Francisco de Bustamante, vecino de Corvera, valle de Toranzo , montañas de Santander. Núm. a.° Carta esférica que comprehend</t>
  </si>
  <si>
    <t>O. Antonio Palacios............. Felipe, Casilda Roxo............ Cuevas.......... Búrgos..'.....</t>
  </si>
  <si>
    <t>Palacios, Pedro</t>
  </si>
  <si>
    <t>Pedro Palacios</t>
  </si>
  <si>
    <t>igoyen, y 6 de D. Francisco Triarte, vecinos del mismo pueblo. Visto por el cirujano de dicho lugar D. Pedro Palacios como executó Iribarren Aycin la operación, y estimulado por el médico del valle el Dr. D. Joseph Mayora , la ha propagado en todos los del pueblo y de los inmediatos que no habían</t>
  </si>
  <si>
    <t>Palafox, Francisco</t>
  </si>
  <si>
    <t>Francisco Palafox</t>
  </si>
  <si>
    <t>llerizo mayor de la Reyna Ntra. Sra.: Duque de S. Cárlos , Mayordomo mayor supernumerario de S. M.: D. Francisco Palafox, primer Caballerizo; y el Mayordomo mayor de Semana de servidumbre en dicho dia. X. La estufa de respeto con 8 caballos , 2 cocheros, 10 mancebos y 4 lacayos. Es de via , toda ell</t>
  </si>
  <si>
    <t>a, D. Rodulfo Gautier, Marques de CaSteldosrius, D. Juan Manuel de Villeoa, el Marques de Monsalud, D. Francisco Palafox, D. Joseph Ortiz, D. Carlos Aguado, D. Andrés López, D. Pedro Roca, D. Tomas de Jáuregui, D. Marcelo Hstranio, D. Salvador del Toro, D. Joseph Ampudía, D. Francisco Gelabert, el M</t>
  </si>
  <si>
    <t>Palatino de Hungría, Archiduque</t>
  </si>
  <si>
    <t>Archiduque Palatino de Hungría</t>
  </si>
  <si>
    <t>e asista! á sus .'juntas*; parece que para la Dieta de este año'se hará esta diputación,, y que el ¡Archiduque Palatino de Hungría será el primero de los diputados, , ( JSt’rtin Marzo* . t. . . . . Con el mayor aparato se celebró el 10 de este mesnel cumpleaños, de la Reyna, y hubo en palaciográn cenanr rebel</t>
  </si>
  <si>
    <t>de justicia mas pronta y perfecta: pues que de ello depende la felicidad interior de un estado.” El Archiduque Palatino de Hungría espera aquí Varios’ diputados de aquel Reyno para cumplir con la ceremonia de convidar- á S. M. Imperta# para que asista á la dieta de Presburgo. Ha conferido el Emperador á su prim</t>
  </si>
  <si>
    <t>efectos. Pres burgo 28 de Setiembre. ■■ • E 1 viérnes último se restituya de Viena á esta ciudad el Archiduque Palatino de Hungría. Se ha desvanecido la esperanza que teníamos de que volviese aquí nuestro Soberano durante la Dieta ; y ademas escriben de Viena que Si M. ha resuelto dar quanto ántes fin á las s</t>
  </si>
  <si>
    <t>Palatino de Hungría, Carlos (archiduque)</t>
  </si>
  <si>
    <t>Archiduque Carlos Palatino de Hungría</t>
  </si>
  <si>
    <t>auxilios que cada una necesita, á fin de suministrárselos según se pueda. Ha ido de aquí á Ofen el Archiduque Cárlos Palatino de Hungría. S. M. Imperial ha enviado el Conde Bathasaroni á Treviso , con encargo , según dicen, de persuadir en su nombre ai Duque de Alódena á que tome posesión del Brtsgaw. La Reyna de Ñ</t>
  </si>
  <si>
    <t>Palavecino, Joseph</t>
  </si>
  <si>
    <t>Joseph Palavecino</t>
  </si>
  <si>
    <t>úi. T También se ha servido el Rey conferir Compañía en el regimiento de dragones de Buenos-Ayres á D. Joseph Palavecino, Ayudante del de milicias disciplinadas de voluntarios de caballería de S. Miguel del Tucuman; El Rey por Real orden de 18 de Mayo último se ha servido conceder lal comercio de la</t>
  </si>
  <si>
    <t>Palisot</t>
  </si>
  <si>
    <t>os observadores del hombre celebró el ip de Abril una junta muy interesante. El ciud. Palisot, de Beauvais, que viajó por la América septentrional y por la costa de Africa, presentó á la sociedad mucho* instrumentos de los negros de Oware y de ioí Chero</t>
  </si>
  <si>
    <t>Pallares, Alexandro</t>
  </si>
  <si>
    <t>Alexandro Pallares</t>
  </si>
  <si>
    <t>antería del Príncipe se ha servido promover el Rey á segundo Teniente de granaderos al de fusileros D. Alexandro Pallares: en el de Saboya á segundo Subteniente al Cadete D. Juan de León: en el de Guadalaxara á Capitán al primer Teniente de granaderos, graduado, de Teniente Coronel, D. Joseph Chacón:</t>
  </si>
  <si>
    <t>Pallás, Salvador</t>
  </si>
  <si>
    <t>Salvador Pallás</t>
  </si>
  <si>
    <t>eis actos lati,qos, presentó en los dias 12, 13 y 14 del corriente los colegiales Don Valero Azara, D. Salvador Pallás, D. Joseph Aguado, Bachilleres en fi</t>
  </si>
  <si>
    <t>Pallas, Vicente</t>
  </si>
  <si>
    <t>Vicente Pallas</t>
  </si>
  <si>
    <t>onayrej Dé Pablo Carbonell, D. Juan Antonio Martínez, Don Joaquín Goyeneche j D. Vicente de Campos, D. Vicente Pallas, D. Manuel Herrero, D. Jóaquin Egaña, D. Alexandro Antonio Ojéá, D. Gaspar Barón de Rocreusse, D. Joseph María Lambí, D. Joseph Villaiba, Don Julián de Sequera, D. Joseph Graulle,</t>
  </si>
  <si>
    <t>Palmer</t>
  </si>
  <si>
    <t>que era últimamente Ministro plenipotenciario de Inglaterra cerca de la Puerta, el Coronel Dillon, Mr. Palmer, y otros; y por el Marques de Luche sini, Ministro de Prusia, el Príncipe de Licknowsky,, que ha pasado á ser vasallo de Prusia con la. nueva repartición de Polonia, En la misma a</t>
  </si>
  <si>
    <t>Palomar y Arias, Antonio</t>
  </si>
  <si>
    <t>Antonio Palomar y Arias</t>
  </si>
  <si>
    <t>guerido , ; D¿ Joseph Diaz Melendez, D. Manuel de Cañas Truxillo, D. Joseph del Castillo y Armenia, D. Antonio Palomar y Arias, D. Manuel de Palacios, D. Henrique O-Dogherti, D. Jacinto Romarota y Salamanca^D. Joseph Corones y Alberola, D. Nicolás dé la Vega y San Julián, D. Manuel Lasqueti y Lasqueti , D</t>
  </si>
  <si>
    <t>Palomares, Manuel Joseph</t>
  </si>
  <si>
    <t>Manuel Joseph Palomares</t>
  </si>
  <si>
    <t>oco d,e predicar á sus feligreses la palabra de Dios , y modo dé conducirse en este ministerio, por D. Manuel Joseph Palomares , Prior, Dignidad de la colegial de Baeza, en forma de carta apologética , instructiva y edificante de un párroco antiguo á otro moderno; primer ensayo de su correspondencia liter</t>
  </si>
  <si>
    <t>Palomino, Juan</t>
  </si>
  <si>
    <t>Juan Palomino</t>
  </si>
  <si>
    <t>tes al autor en su nuevo despacho, plazuela del Angel , núm. 16 , quarto i.° : Verdadero retrato de D. Juan Palomino, primer grabador español: grabado en quartílla de papel de marca mayor por D. Tomas López Enguídanos , académico de mérito. Se hallará á % rs. en la calcografía de la imprenta Rea</t>
  </si>
  <si>
    <t>Panes, Miguel Antonio</t>
  </si>
  <si>
    <t>Miguel Antonio Panes</t>
  </si>
  <si>
    <t>éonio Záfate^ D. Joséplt de Luna, D. Christóbahde Rey na, D. Joaquin de‘Miguel, Ooñf Joaquin Crame, D. Miguel Antonio Panes ^D.5Ramón Tovar y¡ IX RamOii Cucalón. . . ’ -- * - . ..j-. - * j^ ¿^ »i -4. *. *. ¡ x l* , S. M.seha servido nombrar para la Vara dé Alcalde ínayoti dé. laVii&amp;s dejSegura de la Si</t>
  </si>
  <si>
    <t>Panin</t>
  </si>
  <si>
    <t>recursos. Concluyó aconsejándole se embarcase, é hiciese por mar su viage á Stockolmo. Respondióle Mr. Panin que hubiera tomado desde luego este partido fletando una embarcación en Petersburgo, si no le repugnase el navegar í, sobre todo llevando consigo toda su familia; y que así seguir</t>
  </si>
  <si>
    <t>Pantoja, Manuel</t>
  </si>
  <si>
    <t>Manuel Pantoja</t>
  </si>
  <si>
    <t>eros al Teniente de granaderos D. Esteban Ximenez; ai empleo que este dexa al Teniente de fusileros D. Manuel Pantoja ; á este empleo al Subteniente D Manuel Cortee y Obel; á Subteniente de granaderos al de fusileros D. Joseph María del Toro; á Subteniente de fusileros á D. Francisco de Lora, y á</t>
  </si>
  <si>
    <t>Panyó, Ramón</t>
  </si>
  <si>
    <t>Ramón Panyó</t>
  </si>
  <si>
    <t>icos: el ‘2.° á D. Jayme Gou, por un pian arquitectónico adornado con variedad de ñores; y el 3.0 á D. Ramón Panyó, hijo del director, que presentó una pintura alegórica de las virtudes que caracterizan á uh buen Prelado* Estas obras mereciéron muchos elogios; y distribuidos los premios, se di</t>
  </si>
  <si>
    <t>Pappenheim</t>
  </si>
  <si>
    <t>que s tro , alegando Mr. Cetto el tratado de Luneville y el que se concluyo últimamente en París, y Mr. Pappenheim el de neutralidad firmado también en París á principios del año de 99 ; pero el gobierno francés desea que aquellos Príncipes cedan sus propiedades á la República, la qual se encarg</t>
  </si>
  <si>
    <t>Pappenheim, Conde</t>
  </si>
  <si>
    <t>Conde Pappenheim</t>
  </si>
  <si>
    <t>enda comprar dichos edificios , y no lo consiguieron. Según cartas particulares Mr. oc Cetto , y el Conde Pappenheim, Ministros de Baviera y de Hesse-Darmstadt en París, que-estan en negociación con el gobierno sobre el destino de los bienes de aquellos Príncipes en Alsacia , han pedido se levan</t>
  </si>
  <si>
    <t>Paradela, Manuel</t>
  </si>
  <si>
    <t>Manuel Paradela</t>
  </si>
  <si>
    <t>2. 10. Licenciado. Manuel Paradela... Juan, María García........... Bañeza .;,,.. León............... 300. 17. Id. Felipe Rodríguez . Bernardo, Jose</t>
  </si>
  <si>
    <t>Parandier</t>
  </si>
  <si>
    <t>. Cayaignac para Residente y Comisario de Relaciones mercantiles en Máscate: al ciud. Parandier para primer Secretario de la embaxada francesa en Constantinopla, al ciud. Lamarre para segundo Secretario, al ciud. Record» para tercero, y al ciud. Kieffer p</t>
  </si>
  <si>
    <t>ParboyD, Joseph</t>
  </si>
  <si>
    <t>Joseph ParboyD</t>
  </si>
  <si>
    <t>drés Ximenez, Doti Tomas de Figueroa, D. Juan Francisco Sánchez, D. Juan Sayers, D. Ignacio Guarda, D. Joseph ParboyD. Pedro Joseph de Benavente, D. Antonio Salcedo-, D. Gregorio Escamilla, D. Joaquín Velazqyez, D. Manuel</t>
  </si>
  <si>
    <t>Pardo de Andrade, Francisco</t>
  </si>
  <si>
    <t>Francisco Pardo de Andrade</t>
  </si>
  <si>
    <t>1044 s varrete y Rezaval, D. Francisco Pardo de Andrade , D. Juan Bermudez de Castro, D. Gregorio de la Sota Ruiz, D. Manuel Olmedilla, D. Francisco Zalváburu , D. Joseph de Lama y Montes , D. Joseph Fernandez de las Peñas 9 D. Joseph</t>
  </si>
  <si>
    <t>Pardo y Lama, Joseph</t>
  </si>
  <si>
    <t>Joseph Pardo y Lama</t>
  </si>
  <si>
    <t>odríguez de Arias,D. Antonio Miranda y Cosmea, D. Francisco Párraga, D. Vicente de la Torre Puebla ,D. Joseph Pardo y Lama, D. Lorenzo de Toro y Toledo, D. Leandro de Cáceres, D. Juan Izquierdo, D. Manuel de Lobo y Campo, D. Carlos Sellery, D. Lorenzo de la Puente, D, Ruperto Calderón,D. Pedro de Toro</t>
  </si>
  <si>
    <t>Pardo, Benito</t>
  </si>
  <si>
    <t>Benito Pardo</t>
  </si>
  <si>
    <t>ul-varios sugetos de sus respectivas naciones; y el Caballero D. Joseph Nicolás de Azara presentó á D. Benito Pardo , General de los exércitos de S. M. Católica. • En la parada del mismo dia 5 repartió armas de honor á 4 militares en premio de sus hazañas, y el mismo dia los sentó á su mesa. El</t>
  </si>
  <si>
    <t>Pardo, Bernardo</t>
  </si>
  <si>
    <t>Bernardo Pardo</t>
  </si>
  <si>
    <t>...... 422. 24. Id. Bernardo Pardo............... Juan ..Manuela Sta. María..El Ciego....... Vitoria........... no. 6. Id. Pedro González................ Juap , Angela Pedrosa...... Hormazas....</t>
  </si>
  <si>
    <t>Paredes, Felipe</t>
  </si>
  <si>
    <t>Felipe Paredes</t>
  </si>
  <si>
    <t>de la Luna, Jonja de Echinique: oficina del Real Contraste de oro y plata, calle dé la AImude4 na: D. Felipe Paredes, Tasador de joyas, en las Platerías: D. Antoniq Goycochea, calle de Fuencarral, esquina á la de las Infantas: viuda de Gilí, hijos y sobrino, calle Imperial: D. Rafael Robina, pla</t>
  </si>
  <si>
    <t>Paredes, Matías</t>
  </si>
  <si>
    <t>Matías Paredes</t>
  </si>
  <si>
    <t>prestazgo de Tovalina, en la diócesis de Burgos, vacante por muerte de D. JosepnConde de Vallejo, á Don Matías Paredes : para una Canongía de la catedral de Pal encía, vacante por promoción de D. Amonio Moreno Ximenez de Roxas á una de Cuenca, áD. Felipe de Villalobos ‘/para otra de la catedral de</t>
  </si>
  <si>
    <t>Pareja y Mesía, Félix</t>
  </si>
  <si>
    <t>Félix Pareja y Mesía</t>
  </si>
  <si>
    <t>de Salas Boxádors. / . t . A Tenientes de IFragata los Alféreces de Navio , * D. Joseph Arguelles, D. Félix Pareja y Mesía, D. Francisco Espinóla yLiaño, D. Ignacio de RoóySmidts, D. Claudio Zulmezu y Palacioi D. Juan Ülloa y Be.betoros, D. Martin Oarrichena , D. Manuel Vacaro X Valcarcel, D. Antonio</t>
  </si>
  <si>
    <t>Pareja, Antonio</t>
  </si>
  <si>
    <t>Antonio Pareja</t>
  </si>
  <si>
    <t>cio Olaeta, D. Joaquín Gómez Barreda, D. Benito Santacilia, D. Cosme- Carranza, D. Joseph Melendez, D. Antonio Pareja, D. Francisco Piedrola, D. Fernando Bustillo Cuéva,' D. Francisco Vízcarrondo, D. Santiago Irrisarri y Sarti, D. Joaquín: dé Castañeda , D. Francisco Riquelme , D. Joseph de la En</t>
  </si>
  <si>
    <t>Parejo, Ángel</t>
  </si>
  <si>
    <t>Ángel Parejo</t>
  </si>
  <si>
    <t>Lara , á I). Miguel Alonso Alcalá: para una Ración de la de Plasencia, vacante por fallecimiento de D. Angel Parejo, á D. Joseph María de Castilla: para otra de la de Málaga, vacante por la promoción de D. Domingo de la Casa á Canongia de la misma iglesia, á D. Joseph Ordoñez de la Reguera: par</t>
  </si>
  <si>
    <t>Parét, Luis</t>
  </si>
  <si>
    <t>Luis Parét</t>
  </si>
  <si>
    <t>ron 7.7Ó0&amp; pesos fuertes enoro y plata , y mas 14© quintales de cobre en barras: obré delineada por D. Luis Parét, y grabada por Ximenó. Se hallará á ao rs. en el.despacho.de la calcografía establecida en la imprenta Real. • ' En la librería de Campo, calle deAlcaIá,se halla la .música siguie</t>
  </si>
  <si>
    <t>Pareto</t>
  </si>
  <si>
    <t>e Viterbo; y está muy enfermo el Cardenal Zelada. Florencia u de Diciembre. E 1 ciud. Pareto, Enviado de la República Iiguriana en esta corte, ha sido presentado ai Rey, quien le encargó asegurase á su gobierno el deseo de S. Ai. de mantener entre las</t>
  </si>
  <si>
    <t>Pareto, Benito</t>
  </si>
  <si>
    <t>Benito Pareto</t>
  </si>
  <si>
    <t>go del primer Cónsul, y quizá irá también á Lúea. Lía nombrado este gobierno al ciud. Benito Pareto para Ministro extra-* ordinario de la República liguriana cerca del Rey de Etruria. Hablase públicamente de la reunión de esta República con la Cisalpina. Milá</t>
  </si>
  <si>
    <t>París, Joseph</t>
  </si>
  <si>
    <t>Joseph París</t>
  </si>
  <si>
    <t>a otro Beneficio de ia parroquia de Castellón de Ampurias,diócesis de Gerona, vacante por muerte de D. Joseph París, á D. Narciso Gingi; para otro fundado baxo la invocación de Sta. Anastasia, en la catedral de Gerona, vacante por fallecimiento de D. Juan Bastero, á D. Joseph Canet y Sostros: p</t>
  </si>
  <si>
    <t>Parra, Martín</t>
  </si>
  <si>
    <t>Martín Parra</t>
  </si>
  <si>
    <t>30. 31. Id. Martin Parra....................... Juan , li aría González....... Solana de los Infantes......... 144* 8. Id. Alonso González.................. Sebastiip , Ana Sánchez... Carr</t>
  </si>
  <si>
    <t>Párraga, Francisco</t>
  </si>
  <si>
    <t>Francisco Párraga</t>
  </si>
  <si>
    <t>González, D„ Francisco Xaviejr Pineda, D. Bartolomé Rodríguez de Arias,D. Antonio Miranda y Cosmea, D. Francisco Párraga, D. Vicente de la Torre Puebla ,D. Joseph Pardo y Lama, D. Lorenzo de Toro y Toledo, D. Leandro de Cáceres, D. Juan Izquierdo, D. Manuel de Lobo y Campo, D. Carlos Sellery, D. Lor</t>
  </si>
  <si>
    <t>Párraga, Manuel</t>
  </si>
  <si>
    <t>Manuel Párraga</t>
  </si>
  <si>
    <t>. Pedro Garrido ; á Tenientes de fusileros á los Subtenientes D. Joseph Landaeta, D. Joseph Muxica, D. Manuel Párraga, D. Ramón Marvés y D. Francisco Antonio Malpica; á Subteniente de granaderos ai de fusileros D. Francisco Cazoria ; á Subtenientes de fusileros y de bandera á los Cadetes D. Rafae</t>
  </si>
  <si>
    <t>Partearroyo, Pablo</t>
  </si>
  <si>
    <t>Pablo Partearroyo</t>
  </si>
  <si>
    <t>ión de Setiembre, mím. 151,834, endosado por los Directores de la Real Caxa de Descuento á favor de D. Pablo Partearroyo. Quien supiere de él avisará á D. Bernardo Torreño , calle del Desengaño , casa de los Basilios , núm. i.° , quarto 2.0 , en Madrid. Por providencia del Sr. D. Manuel Perez de Roz</t>
  </si>
  <si>
    <t>Parxearroyo, Antonio</t>
  </si>
  <si>
    <t>Antonio Parxearroyo</t>
  </si>
  <si>
    <t>h y O-Donell, D. Diego Artacho, D. Joseph Navarro Sangran, ,Don Mateo Perez, D. Francisco Réqu'ená, D. Antonio Parxearroyo, 0; Joseph Molina* 0. Joseph Urbtua, D. Antonio Samper, D, Joaquín dé Mendoza* D. Fernando • Gaver, D. Mannel Andrade, D. Antonio;Diez dé4,Riv¿rí¿ P; Antonio Galiano, el Matques d</t>
  </si>
  <si>
    <t>Pasamente, Juan</t>
  </si>
  <si>
    <t>Juan Pasamente</t>
  </si>
  <si>
    <t>...... 431. 30. Id. Juan Pasamente... Segovia........... Segovia..... . 330- 3* Id.</t>
  </si>
  <si>
    <t>Pasapera, Joseph</t>
  </si>
  <si>
    <t>Joseph Pasapera</t>
  </si>
  <si>
    <t>lavería, de la parroquia de Santa María de la villa de Blanes , en la propia diócesis de Gerona , ¿ D. Joseph Pasapera. AI Teniente General Conde de Santa Clara, segundo Comandante general del exército de Cataluña, se ha servido el Rey conceder el grado de Capitán general de Provincia. .En el regi</t>
  </si>
  <si>
    <t>Pascual</t>
  </si>
  <si>
    <t>,D. Isidoro García del -Postigñ, D, Antonio García .-deh$oatig^ir{D;¿jQ$e|!bri’áe. Rqxas &gt; y Ariés^ D. Pascual i Ruiz „de Huidob.ro» Aotpnio Boneo ,D.' Nicolás Ma.yér,gst% D. Manuel Sánchez Arjona, D. Joaquut de ;MoUu^^D.v^rahdscoíVaz^</t>
  </si>
  <si>
    <t>Pascual Barradas, Antonio</t>
  </si>
  <si>
    <t>Antonio Pascual Barradas</t>
  </si>
  <si>
    <t>úmero al supernumerario D. Pedro Guerra; y á Cadete supernumerario al Guardia de la propia compañía D. Antonio Pascual Barradas. * También ha promovido S. M. en el regimiento de infantería de Saboya á segundo Subteniente al Cadete que ha sido del de Irlanda D. Henrique Macernik : en el de Africa á segundo</t>
  </si>
  <si>
    <t>uérpó de Gúardiasde Corps se ha servido el Rey promover á Cadete de número al Cadete supernumerario D. Antonio Pascual Barradas'; y á Cadete supernumerario al Guardia de ella D. Francisco Perés. S. M. se ha dignado promover en el regimiento de Reales Guardias Españolas á primer Teniente al segundo Teniente</t>
  </si>
  <si>
    <t>Pascual de Bonanza, Gaspar</t>
  </si>
  <si>
    <t>Gaspar Pascual de Bonanza</t>
  </si>
  <si>
    <t>D. Eugenio Duvermeill, D. Francisco Ignacio Rafols, D. Francisco Nuñez Robles, D. Francisco Nuñez * Don Gaspar Pascual de Bonanza, D. Juan la Carte, P. Rodrigo Moscoso, Pon Benito San Juan, y D. Juan Alvarez.</t>
  </si>
  <si>
    <t>Pascual Gonzalo López</t>
  </si>
  <si>
    <t>ianato de Ayllon, Dignidad de la catedral de Sigiienza , á D. Pascual Lozano López; y debe decir, á D. Pascual Gonzalo López. Colección de los trages del Ticiano de todas las naciones conocidas hasta el siglo xvi: quaderno 28, y último del primer tomo. Se hallará con los anteriores en el despacho de la</t>
  </si>
  <si>
    <t>Pascual López Villapol</t>
  </si>
  <si>
    <t>n, en aritmética y geometría D. Agustín Mellon, Cadete de carabineros de María Luisa, en geometría: D. Pascual López Villapol y D. Joseph Antelo , en geometrías,, trigonometrías y cosmografía ; y D. Joseph López Villapol, en álgebra, trigonometrías, cosmografía y navegación. Todas las proposiciones fuéroa es</t>
  </si>
  <si>
    <t>Pascual Lozano López</t>
  </si>
  <si>
    <t>so en el capítulo de Madrid para el Arcedianato de Ayllon, Dignidad de la catedral de Sigiienza , á D. Pascual Lozano López; y debe decir, á D. Pascual Gonzalo López. Colección de los trages del Ticiano de todas las naciones conocidas hasta el siglo xvi: quaderno 28, y último del primer tomo. Se hallar</t>
  </si>
  <si>
    <t>Pascual Mo</t>
  </si>
  <si>
    <t>al de fusileros D. Diego Pascual: en el de f 'oledo á segundo Teniente al Subteniente de granaderos D. Pascual Mo-. reno Cantos: ‘en el de León á Ayudante aí primer Teniente D. Francisco, Pastor: en el de la Princesa á Subteniente de granaderos ai primer Subte-, ñiente D. Guillermo de Luna ; y</t>
  </si>
  <si>
    <t>Pascual Moles, Pedro</t>
  </si>
  <si>
    <t>Pedro Pascual Moles</t>
  </si>
  <si>
    <t>as hasta el siglo xvi, quaderno 26. = Plegaria al amor, en medio pliego de marca mayor, grabada por D. Pedro Pascual Moles, en 16 rs.=Verdadera copia de Ntra. Sra. con su hijo en los brazos, pintada por el famoso MuriUoy cuyo, original se halla en la iglesia de Padres capuchinos de Sevilla, y grabada</t>
  </si>
  <si>
    <t>Pascual Oteyro</t>
  </si>
  <si>
    <t>74. 18. Id. Pascual Oteyro.................... Francisco, TeresaOuteriflo. Varedo Pasadan............. Galicia.......... 133. 28. Id. Matías Eguillo................. . Celestino, Concepción Ortega.../.....</t>
  </si>
  <si>
    <t>Pascual Piñeyro</t>
  </si>
  <si>
    <t>...... 119. 26. Id. Pascual Piñeyro.................. Alonso, Juana Nuñez....;. Sta. María... Santiago........ 156. 14. Id.</t>
  </si>
  <si>
    <t>Pascual Qu</t>
  </si>
  <si>
    <t>a podido penetrar sn -secreto. tj San Clemente, provincia de Cuenca, 18 de Agosto, XÍien convencido D. Pascual Qu artero , Cirujano titular de esta villa y sus hospitales , de la eficacia y ventajas que produce á la humanidad la inoculación con virus de vaca: deseoso de acreditar su zelo por</t>
  </si>
  <si>
    <t>Pascual Quartero</t>
  </si>
  <si>
    <t>ue también concurriéron el Teniente Cura^D. Pedro Mancheño, el Médico D. Pedro Girón, y el Cirujano D. Pascual Quartero, conocido por sus delicadas y hábiles operaciones; y apresurando los./instantes para la que convenía nacer en este caso, se executó diestramente la extracción de una niña, que no</t>
  </si>
  <si>
    <t>Pascual Qúartero'-comunicar</t>
  </si>
  <si>
    <t>, formándose entonces una perfecta viruela en la parte en que se hizo la leve incisión. Se propone Don Pascual Qúartero'-comunicar al público sus observaciones sobre las causas de estas diferencias; y entre tanto continúa persuadiendo á que se extienda la práctica de éste féliz invento. "'",; Madrid 14 de Set</t>
  </si>
  <si>
    <t>Pascual Quiiez y Talón</t>
  </si>
  <si>
    <t>to Hermosilla; y para la de la Audiencia de Oviedo, por igual promoción del Sr. D. Andrés Lasauca á D Pascual Quiiez y Talón: para la plaza de Oidor que este obtiene errla Chancille:ía de Granada, al Alcalde del Crimen de la misináT). Blas García de Quesadá; y para ésta resulta á D. Anastasio Garfcia de</t>
  </si>
  <si>
    <t>Pascual Real</t>
  </si>
  <si>
    <t>promover en el regimiento de infantería del Prín-?. c)pe á Capitán al primer Teniente de granaderos D. Pascual Real; ¿ primer Teniente de granaderos ai de fusileros D. Vicente Ruiz, y á primer Teniente al segando de granaderos D. Francisco Priego: en el de Granada á segundos Subtenientes á ios</t>
  </si>
  <si>
    <t>Pascual Rodríguez de Areilano</t>
  </si>
  <si>
    <t>ue reSultá vacante por «censo del citado D. Alfonso Duran y Barazabal, al Alcalde del mismo Consejo D. Pascual Rodríguez de Areilano; y para la de Chd^r de la Audiencia de Seviíu, que resulta vacante por acenso del referido D. Juan Benito Hermos¡lÍa ,; al supernumerario de la misma D. Aptonio Vicente Yañez ■1'</t>
  </si>
  <si>
    <t>Pascual Rodríguez de Arellano</t>
  </si>
  <si>
    <t>vacante por promoción de D. Alfonso Duran y Barazabal á plaza de Alcalde de su Real casa y-corte, á D. Pascual Rodríguez de Arellano/Oidor del Consejo de Navarra. - En ePReal estudio de medicina práctica de esta corte se hará, con arreglo á sus ordenanzas, |a abertura de cursó el 'd$a;i.° Jde Octubre á'las 1 di</t>
  </si>
  <si>
    <t>Pascual Valle</t>
  </si>
  <si>
    <t>Intendencia de Extremadura que está sirviendo interinamente. v Honores de Intendente de exército A D. Pascual Valle jo, Intendente de la provincia de Valladolid; á Don Clemente Campos, que lo es de la Mancha; á D. Domingo de Arberas y Larragpri, Intendente honorario de provincia; á D. Juan de P</t>
  </si>
  <si>
    <t>Pascual Vallejo</t>
  </si>
  <si>
    <t>regimiento de la provincia de \ralladolid, vacante por muerte de D. Joseph Ventura Perez de Lema, á D. Pascual Vallejo, que servia la de la Mancha: para el Corregimiento de letras de la villa de Illéscas á D. Juan Antonio Martínez Azpeytia: para el de Sahagun á D. Antonio Lorente Ximenez de Castro</t>
  </si>
  <si>
    <t>Pascual y AyeL, Juan</t>
  </si>
  <si>
    <t>Juan Pascual y AyeL</t>
  </si>
  <si>
    <t>orbera, L&gt;: Pedro de Lamas y la Torre, D. ifulio Róco y Massopagano, D. Miguel Roco y Massopagano , D. Juan Pascual y AyeL, D. Joseph de Posada* y Castilla^ D. MigüeldeVá-^ randicaylX Marcos Betancourt, D. Gerardo Morphry Connan, D. Pedro Fühés V Morillo, D: LoptfFtíúes ^í^íorifjló * D. ¡Andrbs Allend</t>
  </si>
  <si>
    <t>Pascual y Menocal, Miguel</t>
  </si>
  <si>
    <t>Miguel Pascual y Menocal</t>
  </si>
  <si>
    <t>a^D. Joseph Corones y Alberola, D. Nicolás dé la Vega y San Julián, D. Manuel Lasqueti y Lasqueti , D. Miguel Pascual y Menocal, Don Ramón Rato y Ramírez, fk Roque Díaz Pardo, D. Miguel Daza y García, D. Diego Padura y Vargas, D. Juan Pinedo y Anuncibay, D. Ramón Truliól y Andreu, D. Juan Olaegui y Aguilar</t>
  </si>
  <si>
    <t>Pascual, Diego</t>
  </si>
  <si>
    <t>Diego Pascual</t>
  </si>
  <si>
    <t>rite al segundo de granaderos D. Antonio Ximenez, y á seundo Teniente de granaderos al de fusileros D. Diego Pascual: en el de f 'oledo á segundo Teniente al Subteniente de granaderos D. Pascual Mo-. reno Cantos: ‘en el de León á Ayudante aí primer Teniente D. Francisco, Pastor: en el de la Prin</t>
  </si>
  <si>
    <t>Pascual, Pedro</t>
  </si>
  <si>
    <t>Pedro Pascual</t>
  </si>
  <si>
    <t>entes á los Alféreces D. Rafael Ruiz de Adorno y D. Mariano Bustos ; á Alféreces á los Portaguiones D. Pedro Pascual de la, Rosa y D. Juan Urrutia, y i Portaguiones al Sargento distinguido D. Joseph Soane y á D. Mariano Yurre&gt; Por Real provisión de 7 de Octubre pasado , á consulta del Supremo Consejo,</t>
  </si>
  <si>
    <t>Pasley, Tomás</t>
  </si>
  <si>
    <t>Tomás Pasley</t>
  </si>
  <si>
    <t>es tal la celeridad con que se equipan , que podrán hacerse á la vela antes de 8 dias. Igualmente, Mr. Tomas Pasley, en fuerza de órdenes que ha tenido, está armando con la posible prontitud dos navios de guerra de 74 cañones de los que el Almirantazgo habia señalado para desarmar. En Portsmout</t>
  </si>
  <si>
    <t>Pastor, Alonso</t>
  </si>
  <si>
    <t>Alonso Pastor</t>
  </si>
  <si>
    <t>553* 6. Id. Alonso Pastor.......... Juan, Josefa Navarro ..... Cozar........ Infantes....... 106. 24. Id. Pedro López............. Clemen|tSlSegun</t>
  </si>
  <si>
    <t>Pastor, Antonio</t>
  </si>
  <si>
    <t>Antonio Pastor</t>
  </si>
  <si>
    <t>ara emprender la operación, no podía dedicarse á ella; pero animado por ej Cura párroco.de la villa D. Antonio Pastor y lirado y con el auxilio de Joséph Antoríio Serrano del Rey, Presbítero, que toda costa pudo lograrla, na envacunado hasta el número de 200 niños</t>
  </si>
  <si>
    <t>Pastor, Francisco</t>
  </si>
  <si>
    <t>Francisco Pastor</t>
  </si>
  <si>
    <t>dante de esquadron al Sargento mayor del de dragones de Villavicíosa, graduado de Teniente Coronel, D. Francisco Pastor, y á Ayudante al Teniente D. Guillermo Alcover; y en el de dragones de Pavía á Ayudante al Teniente, graduado de Capitán, D. Joseph Azlor. El Rey se ha servido conferir el gobiern</t>
  </si>
  <si>
    <t>Vizconde de Zolina, D. Juan Maduit, D. Juan O-Donojú y O-Rian, D. Joseph Valmaseda, D. Manuel Rizo, D. Francisco Pastor, D. Manuel Ignacio San Juan, D. Juan Senen de Contreras , D. Pedro Lobo y Arjona, D. Diego Orbaneja, D. Joseph Medrano, D. Joaquín de la Chica, D. Agustín Cabrera, D. Antonio Fran</t>
  </si>
  <si>
    <t>Pastor, Joseph Ventura</t>
  </si>
  <si>
    <t>Joseph Ventura Pastor</t>
  </si>
  <si>
    <t>rnado con 24 estampas; escrito particularmente para la instrucción de los cirujanos partidarios por D. Joseph Ventura Pastor: ^ tomos en 4.0 Véndense en las librerías de Escribano y Quiroga, ~ EN LA IMPRENTA REAL,</t>
  </si>
  <si>
    <t>Pastor, Manuel</t>
  </si>
  <si>
    <t>Manuel Pastor</t>
  </si>
  <si>
    <t>o Fabregues, D. Agustín Ramírez, D. Joseph María Abate , D. Diego García Conde, D* Francisco Frías,-D. Manuel Pastor, D. Pedro Quevedo, Don Juan de Villanueva, D. Domingo.de Aragón , D. Andrés Ximenez, Doti Tomas de Figueroa, D. Juan Francisco Sánchez, D. Juan Sayers, D. Ignacio Guarda, D. Josep</t>
  </si>
  <si>
    <t>Patriarca de las Indias, Cardenal</t>
  </si>
  <si>
    <t>Cardenal Patriarca de las Indias</t>
  </si>
  <si>
    <t>ballero de la del Toyson, Gran Cruz de la de Cárlos iii, Capitán de Reales Guardias Alabarderos: el Cardenal Patriarca de las Indias, Pro*Capellán mayor de S. M., Gran Chanciller de la orden dé Carlos iii , Consejero de Estado : Duque, de Osuhá, caballero del Toyson j Gran Cruz de la de Cárlos iii, Coronel de R</t>
  </si>
  <si>
    <t>e el desposorio. Se habia remitido con anticipación al Emmo. y Excmo. Sr. D. Antonino de Sentmanat, Cardenal Patriarca de las Indias, Pro-Capellan mayor del Rey , Prelado del Real Palacio, Gran Canciller de la orden de Cárlos iii , el breve en que N. M. S. P. el Papa dispensa los parentescos que median entre la</t>
  </si>
  <si>
    <t>. la Sra. Infanta Reyna de Etruria. La celebró en uno de los quartos de S. M. el Emmo. y Excmo. Sr. Cardenal Patriarca de las Indias con las ceremonias que el Ritual prescribei para estos .casos, asistiéndole varios Capellanes de Honor. Por la tarde salió S. &lt;M. al paseo cón los Reyes Ntros. Sres.: lo qual caus</t>
  </si>
  <si>
    <t>Patriarca, Cardenal</t>
  </si>
  <si>
    <t>Cardenal Patriarca</t>
  </si>
  <si>
    <t>a sido bautizada á bordo del npvío la Reyna María Luisa; y celebró está solemne función el Euimo.Sr.Cardenal Patriarca revestido de medio pontifical, asistido de Capellanes deííonor de S.M. con capas pluviales; y se halláron pre* sentes los* Príncipes de Asturias Ntros. Síes. , los Sres. Infantes</t>
  </si>
  <si>
    <t>Patricio Bustamante</t>
  </si>
  <si>
    <t>de Irlanda D. Henrique Macernik : en el de Africa á segundo cTeniente al Subteniente de granaderos D. Patricio Bustamante : en el de Zamora á primer Subteniente al, segundo D. Gregorio Reynoso: en el de Guadalaxara á segundo Teniente al Subteniente de granaderos D. Juan de España: en el de Sevilla á</t>
  </si>
  <si>
    <t>Patricio de la Fuente</t>
  </si>
  <si>
    <t>.. $3’ 13. Id. Patricio de la Fuente..... i. Bernardo, María Martínez. Viforcos......... León................. 13. Id. Alonso de Abaxo.................. Alexandro,Ce</t>
  </si>
  <si>
    <t>Patricio Gabriel Menendez</t>
  </si>
  <si>
    <t>Tesorero D. Francisco Xmer de Tesorería ál Cánonjgp D/ Josepli Fernando Baeza: para esta Canongía á D. Patricio Gabriel Menendez, Cura Rector de la iglesia matriz de la villa de Oruro; y para una Media Ración de la catedral de Caricas, vacante por renuncia de D. Christóbal de Fierro, á D. Nicolás Antonio Os</t>
  </si>
  <si>
    <t>Patricio Kindélan</t>
  </si>
  <si>
    <t>mez deLatorre, D. Antonio Sarmiento, D. Antonio Hermosiíla, D. Joseph Bonicelii, D. Joseph de León, D. Patricio Kindélan, D. Ignacio Husey, D. Ignacio Maraver, D. Manuel Eligió, D. Antonio Mayone, D. Ramón Gómez, D. Diego Cortés, D. Juan O-Donovan, D. Joaquín 0-ReiUy\D. Joseph de la Piedra, D. Santi</t>
  </si>
  <si>
    <t>Patricio Merino</t>
  </si>
  <si>
    <t>4t. a6. Id. Patricio Merino............... Lúeas, Bernarda Perez.... Quintanilla... Búrgos........... 10. i$. Id. Josef Gómez.........................</t>
  </si>
  <si>
    <t>Patricio Moreno y Alonso, Ramón</t>
  </si>
  <si>
    <t>Ramón Patricio Moreno y Alonso</t>
  </si>
  <si>
    <t>icho Sr. Alcalde por la escribanía de provincia de D. Juan Antonio Díaz Noriega. Por providencia de D. Ramón Patricio Moreno y Alonso, como Alcalde mayor y Teniente de Corregidor por S. M. de la ciudad de Valencia , y escribanía de número de Salvador Labayla,de 21 de Abril último, se cita, llama y emplaza al par</t>
  </si>
  <si>
    <t>Patricio Moreno, Ramón</t>
  </si>
  <si>
    <t>Ramón Patricio Moreno</t>
  </si>
  <si>
    <t>á D. Juan Antonio Morales y Somolinos, Alcalde\mayor primero dje Zaragoza; del Crimen de Valencia á D. Ramón Patricio Moreno, Alcalde mayor primero de aquella ciudad: y del Crimen de Cataluña á D. Joseph Cayetano Garcini, Alcalde mayor primero de Barcelona. Al: mismo tiempo se ha servido el Rey conceder</t>
  </si>
  <si>
    <t>Patricio Picón</t>
  </si>
  <si>
    <t>13* Id. Patricio Picón............... Antonio, Manuela Fuente. San Juan del Segovia..</t>
  </si>
  <si>
    <t>Patricio Rodríguez, Juan</t>
  </si>
  <si>
    <t>Juan Patricio Rodríguez</t>
  </si>
  <si>
    <t>y Cornide, D. Gonzalo4H¿1 Lema, D. Xavier García Flores, D. Rosendo Abal, D. Juan Joseph. Navajas, D. Juan Patricio Rodríguez, D. Joseph Benito Romero, D. Joaquín de Ponte, D. Joseph Molina, D. Lázaro de Avila, D. Baltasar Calvache, Don Francisco Ruiz, D. Alfonso Ramiro, D. Antonio de la Rocha , D. Juan</t>
  </si>
  <si>
    <t>Paul</t>
  </si>
  <si>
    <t>el ministerio otomano ha dado libertad á solicitud suya. Uno de estos dias, llamó el Reis-Eífendi á Mr. Paul, primer intérprete de la legación dinamarquesa, y le dixo que tenia orden del Gran Señor para regalar al Barón de Hubsch, Enviado de Dinamarca, y encargado de administrar los soco</t>
  </si>
  <si>
    <t>Paulino, Luis</t>
  </si>
  <si>
    <t>Luis Paulino</t>
  </si>
  <si>
    <t>ri-' mer Teniente al segundo Teniente y segundo Ayudaiíte .tnayoj*,] gr,adiado de Teniente Coronel} D, Luis Paulino &lt;i’ Aigremorit; y á segur.dos?Temen:4: tes-á los Alféreces de granaderos D. Román Matías; de rLandaburii* y Doá Luis Marques de Foucaiild. v k «;• '-.«i ov-* 'i ; di 'vr ;v; - sS.</t>
  </si>
  <si>
    <t>Paulo Hesse</t>
  </si>
  <si>
    <t>a de otro queda el Secretario de embaxada Bignon encargado dei despacho de los negocios de Francia. Mr. Paulo Hesse ha sido nombrado Consejero íntimo de comercio, en recompensa de haber establecido en Potsdam una excelente fábrica de paños. Dícese que el Conde de Tanenzien volverá á Petersburgo</t>
  </si>
  <si>
    <t>Paulucho, Alexandro</t>
  </si>
  <si>
    <t>Alexandro Paulucho</t>
  </si>
  <si>
    <t>a_____ 213. 11. Id. Alexandro Paulucho......... Domingo, María Milié.... Rivello en... la Calabria.. 108. 3. Id. Matías Montero................. Eugenio, María Soria..... Iriepal........... Guadalaxara. 94*</t>
  </si>
  <si>
    <t>Pavía, Rafael</t>
  </si>
  <si>
    <t>Rafael Pavía</t>
  </si>
  <si>
    <t>olina, D. Pedro Rosselly y D. Pedro Beltran*; á segundos Tenientes á los Subtenientes de granaderos D. Rafael Pavía, D. Antonio Fortun y Don Francisco Plasencia; á Subtenientes de granaderos á los primeros Subtenientes D. Carlos Quiroga, D. Carlos Porta y D. Juan Ugartemendia; á primeros Subten</t>
  </si>
  <si>
    <t>Pawlowitz, Miguel (duque)</t>
  </si>
  <si>
    <t>Duque Miguel Pawlowitz</t>
  </si>
  <si>
    <t>uy sen-, cilios , en lugar de, las carrozas, de palacio. ■ ? . r i El 20 de este mes, días del Gran Duque Miguel Pawlowitz, y en el que se celebra también la liesta de lis órdenes militares deRiisia, se presentirán los Embaxadorés y Ministros de potencias extrangeras por primera vez en palacio. Antigu</t>
  </si>
  <si>
    <t>Pawlowna, María (princesa)</t>
  </si>
  <si>
    <t>Princesa María Pawlowna</t>
  </si>
  <si>
    <t>aliado de la familia Imperial de Rusia, en atención á que dicho Príncipe casara quanto antes con la Princesa María Pawlowna, hermana segunda de Alexandro 1. El ciud. Luciano Bonaparte ha sido elegido Tribuno por el Senado con-Aervador, el qual ha hecho ya la elección de los sugetós que han de reem-plaz</t>
  </si>
  <si>
    <t>Paysa, Felipe</t>
  </si>
  <si>
    <t>Felipe Paysa</t>
  </si>
  <si>
    <t>isma: para la Dignidad de Arcediano mayor de la catedral de Barcelona, vacante por fallecimiento de D. Felipe Paysa, á D. Pedro María de Marimon y Bail: para una Canongía de la catedral de Cuenca , vacante por muerte de D. Francisco Antonio Fuero, á D. Joseph Gil Santibañez, Canónigo de la cole</t>
  </si>
  <si>
    <t>Pazos, Joseph María</t>
  </si>
  <si>
    <t>Joseph María Pazos</t>
  </si>
  <si>
    <t>ido deTlapa á Don Joseph Antonio Gortázar: para la de Cabo del Resguardo de la Factoría de Puebla á D. Joseph María Pazos: para la' plaza de Teniente de Visitador del de la de Veracruz á D. Juan Joseph Valderrama: para la de Guarda de la de Guadalaxara á D. Manuel Gutiérrez: para iguales'destinos en</t>
  </si>
  <si>
    <t>Pcdto Breicio</t>
  </si>
  <si>
    <t>gnado nombrar para la Canongía de merced de la santa iglesia de Nicaragua, vacante por promoción de D. Pcdto Breicio, á D. Manuel Cortés y Olarte, Cura en dicho obispado. D. Ignacio Lacaba, Cirujano de Cámara de S. M., que por los ventajosos efectos de la inoculación de las viruelas naturales ha</t>
  </si>
  <si>
    <t>Pddro Cbntreras</t>
  </si>
  <si>
    <t>de Medina y Miranda,* Don; Joseph Doronzoro Parra, DI Nicolás de Meñaca, D. Vicente CaamañoyPardo , D. Pddro Cbntreras, D. Pedro Costales y Pareja, D. Lorenzo Ortiz Canela, D. Marcelino Dueñas y Vega, D. Joseph Tobías y Rodríguez, D. Rafael Domínguez Aguayo, D.. Jacinto Valdasano y Ros, D. Joseph</t>
  </si>
  <si>
    <t>Peale</t>
  </si>
  <si>
    <t>oro que les regaló el Gran Señor. En breve llegará á Londres el esqueleto entero de un mammoth, que Mr. Peale, de Filadelíia , descubrió cerca de Nueva-Yorck. Este anima!, que es una de las curiosidades mas notables que pueden verse , y cuya especie se ha perdido hace 10® lunas, según la</t>
  </si>
  <si>
    <t>Pecfró de Zarza</t>
  </si>
  <si>
    <t>s de lá'Merced Vn 4 incisiones y piiés una de ellas tenia dos granos bieií $eparádós&gt; A una niña de D. Pecfró dé Zarza le saliéron ademas de;los de lá operación algunos otros en ló restante del cuerpo; y una hija de Antonio Ramón, labrador en esta ciudad, en cuya casa las viruelas naturales ,fupco</t>
  </si>
  <si>
    <t>Peclerc, General</t>
  </si>
  <si>
    <t>General Peclerc</t>
  </si>
  <si>
    <t>sesiones desde 5 de Abril hasta 21 de Mayo, para tratar de los asuntos que les comunique. Carta del General Peclerc al Ministro de Marina y las Colonias, fecha en el Cabo-Francés d ij de Febrero. ,, Tengo que daros cuenta de que nuestras armas han ocupado la ciudad de Sto. Domingo y las de Puer</t>
  </si>
  <si>
    <t>Peclro Celés'tino Calvo</t>
  </si>
  <si>
    <t>Sandoval, D. Francisco dé Yeste , D. Lorenzo Villavicencio, D. Agustín Rodríguez, D. Juan Bascon , D. Peclro Celés'tino Calvo, D. Henrique Texerizo, D. Benito Tolra Lafita , D. Serafín Alonso, D. Rafael Nestares, D. Joaquín Ruiz, D. Miguel Aguirre, Don JuanNuñez , D. Juan Navarro , D. Anselmo Plaza , D.</t>
  </si>
  <si>
    <t>Pedio Barriere</t>
  </si>
  <si>
    <t>el gobierno de S. Salvador , en el Reyno de Goatemalá, vacante por renuncia de D. Manuel Clavijo*'i D. Pedio Barriere , Catedrático que fué de Cánones en la universidad de la ciudad de Sto^ Domingo. Desde i.° del próximo; Diciembre se recibirán en la Tesorería mayor y en las de Exército las accio</t>
  </si>
  <si>
    <t>Pedraza, Pedro</t>
  </si>
  <si>
    <t>Pedro Pedraza</t>
  </si>
  <si>
    <t>do esta villa aprovecharse del beneficio de la vacuna , empezó á practicarla D* Pedro Pedraza, Cirujano titular de ella, á principios de Julio último éú un niño y tres niñas del Teniente Coronel de infantería D. Luis Diez Nieto; y viendo su feliz éxito, siguióla operación ~no solo e</t>
  </si>
  <si>
    <t>Pedregal, Manuel</t>
  </si>
  <si>
    <t>Manuel Pedregal</t>
  </si>
  <si>
    <t>327. 21. Id. Manuel Pedregal.......... . Juan, Josefa Rodríguez.... S. Pedro Gran- Ovie</t>
  </si>
  <si>
    <t>Pedro Agustín</t>
  </si>
  <si>
    <t>470. 24. y. Pedro Agustín......... Alba Tormes. Salamanca... 33. 6. Id. Tirso Miguelez......... .</t>
  </si>
  <si>
    <t>Pedro Alonso</t>
  </si>
  <si>
    <t>. Zamora......... . Pedro Alonso......... ............. Manuel, Ana García......... Sosa del Con- ConcejoOmadal......... . ña............... 19. 22. Id. Angel González................... Angel, I</t>
  </si>
  <si>
    <t>Pedro Antonio</t>
  </si>
  <si>
    <t>aldía mayor de la provincia de Totonieapán-, vacante por renuncia de; D. jóseph Ruiz de: Agüirre, á D. Pedro Antonio1Alvaréz.¿ ■ f' V ,j ■“/J/r; •, 1' - El Cétásejo', á consulta de lá Comisión gubernativa de consolidación de. Vales, y con aprobación de S» M., ha resuelto la quadragesimaprima amo</t>
  </si>
  <si>
    <t>para el Obispado de Albarracin,que este.obtiene, á D..Antonio \^iIá y Camps; y para esta resufta á D. Pedro Antonio juano. f S. M. ^e^ha servido promover én el regimiento de infantería Suizo vacante de •Scbwaller á Teniente &gt;al Subteniente de granaderos, D. Juan Bautista Hirth: á Subteniente de</t>
  </si>
  <si>
    <t>Pedro Manuel</t>
  </si>
  <si>
    <t>oponerse dirigirán sus pretensiones, que se admitirán basta el ia de Marzo próximo, á Jos Regidores Don Pedro Manuel deSalazary Nieta y D. Ramón Martínez Flore* y «omisionados para el asunto por aquel Ayuntamiento. Eos herederos de D. Nicolás de Ñipóles y Arévalo, natural de la ciudad da Cuba en lu</t>
  </si>
  <si>
    <t>Pedro María Martín</t>
  </si>
  <si>
    <t>l segando de granaderos D. Francisco Priego: en el de Granada á segundos Subtenientes á ios Cadetes D. Pedro María Martin y D. Joseph. de- ia Pena; y en el de Aragón, á primer Teniente al segundo de granadero® I). Antonio Zazurca. , ^ , . . " £u atención á ios buenos servicios de D. Pablo Huertos, Admini</t>
  </si>
  <si>
    <t>Pedro'de la Cueva</t>
  </si>
  <si>
    <t>ph del Hoyo González, D.Manuel Reviray Almunia, D. Manuel Reyna y Alor, D. Joseph Serondo y¡ IMlde, D. Pedro'de la Cueva, D..Antonio de Medina y Miranda,* Don; Joseph Doronzoro Parra, DI Nicolás de Meñaca, D. Vicente CaamañoyPardo , D. Pddro Cbntreras, D. Pedro Costales y Pareja, D. Lorenzo Ortiz Ca</t>
  </si>
  <si>
    <t>Pedrode Valladares</t>
  </si>
  <si>
    <t>11 mrs. Quien quisiere hacer postura acuda á dicho Sr. Alcalde, y por la escribanía de provincia de D. Pedrode Valladares, en el término de 30 dias^ contados desde est^e rayiso, que se admitirán las que se hagan si fueren arregladás, y no siendo mano§ muertas: en inteligencia de que de la cantidad de</t>
  </si>
  <si>
    <t>PedroEscolano de Arrieta</t>
  </si>
  <si>
    <t>e á las salas segunda de gobierno, tenutas, mil y quinientas, justicia y provincia: obra postuma de D. PedroEscolano de Arrieta , del Consejo de S. M;, su Secretario, Escribano de Cámara y de Gobierno del mismo Consejo; sumamente recomendable é importante para todos los tribunales, letrados y personas que</t>
  </si>
  <si>
    <t>Pedros Salcedo</t>
  </si>
  <si>
    <t>cisco Arnedo, D. Joseph de Zúñiga, D. Alberto Maynes, D. Joseph. de Tona, D. Juan Joseph de Fierro, D. Pedros Salcedo, D. Ignacio Muñoz de Cedenilla, D. Pedro de Tagle y D. Atanasio Sotelo. , Agrado de Capitán los Tenientes: en España, D. Manuel Chaperon y D. Leoncio Carrasco. Agrado de Teniente</t>
  </si>
  <si>
    <t>Pedrosa, Manuel</t>
  </si>
  <si>
    <t>Manuel Pedrosa</t>
  </si>
  <si>
    <t>176. 5* Id. Manuel Pedrosa.................. Toribio, María Dorotea.... S. Andrés de Gebe...... . Galicia.......... 17</t>
  </si>
  <si>
    <t>PedróTaviira</t>
  </si>
  <si>
    <t>Cadetes P, Manuel cleJa I^iya-:Agüero y D. Ante nio Gilman, D. permin Cia, D. Antonio, D¿;Kpdngo y D. PedróTaviira, D. Manuel_Ciaeesspns: ,Áqj^||ip|ü¿áRte$Jp^eph Mir P. Leopoldo Menendez. En Ja Ltstqrta, af cargo peí imwmp^qs^o dethqmanidades, P*Idanuel Lardizabal, íl^ ^ntónlo Pga|rt¿^ 0.^qigó</t>
  </si>
  <si>
    <t>Pedro’CUzqueta</t>
  </si>
  <si>
    <t>de Mfesiez}, D.; Jóseph* Solis -Brazuelo , D. Manuél Lizarray Tarriba, D* Joslj^h' ^fiaty ííavárroj Don Pedro’CUzqueta^y Soroa vD; -bk^o Martínez Margula y D-Miínuel González Veggv D. EdiKftdo l^sqiWfay Ariasv^I^ BewtQ Éíii!deláT !E¿calerá¿ D. FerminiRuiz Usd&amp;lerap^D. Airiénto Gale¿i yrTAótagilai,</t>
  </si>
  <si>
    <t>Peel</t>
  </si>
  <si>
    <t>tivo la trigésima parte de las cédulas y billetes que tiene en circulación, los quales en sentir de Mr. Peel ascienden á 3® millones de libras. Entre las contribuciones propuestas por Mr. Addington, y adoptadas por la Cámara , hay algunas sobre los criados, los coches y carruages, los ca</t>
  </si>
  <si>
    <t>Peiham, Lord</t>
  </si>
  <si>
    <t>Lord Peiham</t>
  </si>
  <si>
    <t>ino no solo de la,esquadra francesa, sino también de los navios españoles que saliéron con ella. El Lord Peiham al contestarle declaró que ía salida de la esquadra de Brest se habia concertado entre dos dos gobiernos: que lleva destino particular y objeto determinado; y que sus resultas no</t>
  </si>
  <si>
    <t>dencias: necesarias para precaver los inconvenientes que habían de resultar de ellos. ¡Respondió el Lord Peiham proponiendo otra r¿presentación en que se manifestase al Rey la firme resolución de éxecutar el tratado, entregándose en un todo á los cuidados paternales de S. M. por la conserva</t>
  </si>
  <si>
    <t>Peinado, Gerónimo</t>
  </si>
  <si>
    <t>Gerónimo Peinado</t>
  </si>
  <si>
    <t>ét, P. Ramón Fernández Idarga , D. JuaW Bássecourt, D. Jaán Joseph de San Juan; I). ToriSid Montes, D. Gerónimo Peinado, el Conde de la Torre del Freino, *DY Casimiro BofaruÜ, D."AntonioCorrea, D. Joseph Joaquín Martí, D. Mateo Arrióla, D. Gerónimo Verde, D. Juan Kindelan, D. Juan O-Neilie, el Cond</t>
  </si>
  <si>
    <t>Pelayo Sánchez, Juan</t>
  </si>
  <si>
    <t>Juan Pelayo Sánchez</t>
  </si>
  <si>
    <t>a, D. Juan Albérni, D. Joaquín Puertolas, D, Vicente Pinzón, D. Félix Muñoz, D. Gines Albadalejos . D. Juan Pelayo Sánchez', D. Joseph María Crespo , D. Bartolomé Reselló, D. Miguel Valcarcel, D. Martin de la Carrera^ D. Jayme Garrofa, y D. Joseph Rich. En América. D. Joseph Arcega, D. Filomeno Cendrer</t>
  </si>
  <si>
    <t>Pélham, Lord</t>
  </si>
  <si>
    <t>Lord Pélham</t>
  </si>
  <si>
    <t>na medida qué por no ser común dá fundamento á varias conjeturas- . Hastá ahora no ha fifiriádo él: Lord Pélham riiásque'40 pasaportes para Francia: pues no los da sino á los sugetos_ que manifiestan la necesidad de hacer su viage por asuntos importantes de Comercio, y á los enfermos que co</t>
  </si>
  <si>
    <t>Pelham, Lord</t>
  </si>
  <si>
    <t>Lord Pelham</t>
  </si>
  <si>
    <t>isterio otomano. Londres 10 de Abril. E n la sesión de la Cámara alta del dia 8 ofreció el Ministro Lord Pelham presentar copia del tratado definitivo de paz el 26 de este mes. Con las sumas que el gobierno ha pedido para los gastos de este año, con el empréstito de 27 millones de libras es</t>
  </si>
  <si>
    <t>n ai arreglo de la República italiana , y~á la cesión de la isla de Elba á la Francia. Respondió el Lord Pelham que el gobierno no había recibido de oficio documentos sobré los dos puntos mencionados por el Lord Minto: añadió qué aprobaba varias partes de su discúrsoy y que pensaba del mism</t>
  </si>
  <si>
    <t>sbnry y Pelbanj ry &amp; gran número, de personas de la mayor distiocion. Mañana le paga 'el convite el Lord Pelham.-^-rParéce qiie dé aqúíá ddiatse retira íc Francia el ciud Otto, •Ministra que hasido cér^^^stegobfetntv1 ^ ^ ? í Las tropas inglesas que formaban, las guarniciones de Surínam, De</t>
  </si>
  <si>
    <t>Pelliam, Lord</t>
  </si>
  <si>
    <t>Lord Pelliam</t>
  </si>
  <si>
    <t>cuyo tenor anúta en su sentirlas estipulaciones» hechas á favor de la casa de Grange. Cbntestóie el Lord Pelliam que no te« nia el gobierno noticia de oficio de semejante convenio; y elLord GornwaUis añadió' que* tal convenio firmado entre dos t partes. contratantes no. pu ede perjudicar ni</t>
  </si>
  <si>
    <t>Pelzer</t>
  </si>
  <si>
    <t>restablecer las anteriores relaciones entre la casa de Austria y los Cantones suizos, ha nombrado á Mr. Pelzer para su Ministro en aquella República ; pero es dudoso que vaya á su destino hasta que se firme el tratado definitivo de paz. .Berlín 28 de Diciembre. S e ha levantado un nuevo re</t>
  </si>
  <si>
    <t>Peña, Antonio</t>
  </si>
  <si>
    <t>Antonio Peña</t>
  </si>
  <si>
    <t>ente de granaderos D. Carlos Quiroga: en el de Guadalaxara á segundo Teniente al primer Subteniente D. Antonio Peña : en el de Burgos á primer Teniente al segundo de granaderos D. Ramón León de Albéar-en el de Asturias á segundo Teniente al Subteniente de granaderos D. Nicolás Caunedo: en el ba</t>
  </si>
  <si>
    <t>Peñuelas de Zamora, Juan Joseph</t>
  </si>
  <si>
    <t>Juan Joseph Peñuelas de Zamora</t>
  </si>
  <si>
    <t>de; Estado de Gobierno y .del Consejo de Estado, que se hallaba vacante por .fallecimiento del Sr&gt; D. Juan Joseph Peñuelas de Zamora , al Sr. D * Joseph García de León y Pizarro , Oficial mayor mas antiguó de la; primera .Secretaria.de Estado y del Despacho. -- .-h . c. i :'■&gt; En lá Coniña sé ha, extraviado .un</t>
  </si>
  <si>
    <t>Peñuelas, Juan Joseph</t>
  </si>
  <si>
    <t>Juan Joseph Peñuelas</t>
  </si>
  <si>
    <t>e esta invención. Ei dia 29 de Noviembre último falleció en esta corte á los 63 años de edad el Sr. D. Juan Joseph Peñuelas de rZamora , caballero y Secretar rio de la Real y distinguida orden española de Carlos ni y de.la de DaV mas Nobles de la Reyna María Luisa; Secretario de Estado y de Gobier**' no d</t>
  </si>
  <si>
    <t>Per</t>
  </si>
  <si>
    <t>dél Angel Custodio, de las Escuelas Pías, y se concluyóla judta con una anacreóntica! trabajada por D. Per</t>
  </si>
  <si>
    <t>Olaegui y Aguilar, D. Agustín Manglano y Ruiz, D. Víctor Vinader y Paz, D. Vicente de Lago y León, D. Per dro de Landazuri, D. Joaquín Soroa y Soroa , D. Fernando Bustamante y Bustamante, D. Adrián Morqúecho, D. Mateo Vicente y Crespo, Don Joseph Bazan y Villaroel, D. Juan Septien y S</t>
  </si>
  <si>
    <t>Peralta, Francisco</t>
  </si>
  <si>
    <t>Francisco Peralta</t>
  </si>
  <si>
    <t>Peralta y D. Ramón Despujol, graduado de Teniente Coronel, y a Alférez de cazadores al de fusileros D. Francisco Peralta. En el de Reales Guardias Waíonas á Capitanes á los primeros Tenientes de fusileros y granaderos D. Francisco Conde de Bryas y D. Mariano Ruiz de Cárdenas. jBVz América. El Rey se</t>
  </si>
  <si>
    <t>Percebal, Vicente</t>
  </si>
  <si>
    <t>Vicente Percebal</t>
  </si>
  <si>
    <t>ropietario , al Ayudante de la misma Compañía D. Celedonio Eguizabal ; para el de Alférez al Exento Don Vicente Percebal ; para el bastón de Exento de número, que este dexa, al supernumerario D. Félix Calvillo, y ha nombrado también Exento supernumerario de la mencionada Compañía al Brigadier de ell</t>
  </si>
  <si>
    <t>Perchet, Cayetano</t>
  </si>
  <si>
    <t>Cayetano Perchet</t>
  </si>
  <si>
    <t>Teniente al Subteniente de granaderos D. Calixto Sancho , y á primeros Subtenientes á los segundos D. Cayetano Perchet y D. Juan Rodríguez Cuervo: en el de Soria á segundo Subteniente ai Sargento primero D_ Clemente Robles: en el de Córdoba á primer Teniente al segundo de granaderos D. Felipe Perez: e</t>
  </si>
  <si>
    <t>Percy</t>
  </si>
  <si>
    <t>os nuevos. Esta academia imperial ha concedido el título de socio extrangero al ciud. Percy, cirujano mayor de los exércitos de Francia, á quien el Elector de Baviera ha regalado también una preciosa caxa de oro guarnecida de diamantes. Por orden de S</t>
  </si>
  <si>
    <t>icas del instituto en el 2.0 trimestre de este año, se habla de una memoria del ciud. Percy en que describe los efectos de una voracidad monstruosa, á que da el nombre de polifagia. Cuenta con este motivo el siguiente caso. Un mozo de los alrededores de</t>
  </si>
  <si>
    <t>Perdomo, Domingo</t>
  </si>
  <si>
    <t>Domingo Perdomo</t>
  </si>
  <si>
    <t>de Puerto-Rico. $. M, ha nombrado Guarda Almacén provincial de artillería de las islas de Canaria á D. Domingo Perdomo, Teniente de las milicias de artillería de Tenerife. En el Real cuerpo de Ingenieros del exército ha promovido S. M. á en xefes á los en segundos D. Tomas Sedeño y D. Ramón de Vil</t>
  </si>
  <si>
    <t>Perea, Francisco</t>
  </si>
  <si>
    <t>Francisco Perea</t>
  </si>
  <si>
    <t>Joaquín Luyando, D. Juan Bosa, D. Bas^ cual Martinez, D. Juan Menendez,' D. Baltasar García Galio, D. Francisco Perea, D. Francisco Malpica y D. Alexandro Rivacoba. JSn América. El Rey se ha servido nombrar para el Deanato de la santa iglesia de la Concepción de Chile, vacante por fallecimiento d</t>
  </si>
  <si>
    <t>Peregrino</t>
  </si>
  <si>
    <t>nto de infantería de la Reyna al Comandante del tercer batallón del de Málaga, graduado de Coronel, D. Peregrino jácome; y el de Comandante del tercer batallón del de Asturias á D. Manuel María Trevijano , Comándame agregado al de Granada. ' S, M. se ha servido nombrar para una de las plazas</t>
  </si>
  <si>
    <t>Peres, Antonio</t>
  </si>
  <si>
    <t>Antonio Peres</t>
  </si>
  <si>
    <t>de Escribano, en rústica á 6 rs. Aforismos de las cartas españolas y latinas.de Antonio Peres, Secretario dé Estado que fuá dei Sr. Rey D. Felipe íi5 y algunas cartas á sus amigos é Hijas: un tomo. Véndese en pasta á 15 rs. en las librerías dé la viuda de Cerro , red de S. Luis, y de</t>
  </si>
  <si>
    <t>Perés, Francisco</t>
  </si>
  <si>
    <t>Francisco Perés</t>
  </si>
  <si>
    <t>al Cadete supernumerario D. Antonio Pascual Barradas'; y á Cadete supernumerario al Guardia de ella D. Francisco Perés. S. M. se ha dignado promover en el regimiento de Reales Guardias Españolas á primer Teniente al segundo Teniente de granaderos D. Cayetano Frías Altamirano. En atención á los mér</t>
  </si>
  <si>
    <t>Peres, Nicolás</t>
  </si>
  <si>
    <t>Nicolás Peres</t>
  </si>
  <si>
    <t>Répide^ Se abre subscripción á los sermones.de Sto. Tomas de Vilíanueva, Arzobispo dé Valencia, por D. Nicolás Peres el Setabiense, socio de varias academias , el qual aunque tiene ya traducidas todas las obras de este santo prelado , solo abre subscripción ahora á los sermones de dominicas y feri</t>
  </si>
  <si>
    <t>Pereyra, Juan</t>
  </si>
  <si>
    <t>Juan Pereyra</t>
  </si>
  <si>
    <t>773. 9. Inválidos. Juan Pereyra....................... Pedro, Bárbara Lago...... S. Martin.... Tuy.............. xro. ir. Muerto. Gregorio Suarez................... Gabriel, Ana Camp</t>
  </si>
  <si>
    <t>Pereyra, Juan de Dios</t>
  </si>
  <si>
    <t>Juan de Dios Pereyra</t>
  </si>
  <si>
    <t>a Dignidad de frescuela de la catedral ael Cuzco, vacante por fallecimiento de D. Pedro Gallegos, á D. Juan de Dios Pereyra, Dignidad de Tesorero dé la misma; y para esta á D. Francisco Xavier de Aldazabal, Canónigo Magistral de la propia iglesia. El Rey se ha servido conceder Tenencia en el regimiento</t>
  </si>
  <si>
    <t>Pereyra, Manuel</t>
  </si>
  <si>
    <t>Manuel Pereyra</t>
  </si>
  <si>
    <t>..... 180.. 33. Id. Manuel Pereyra................ 14a. ro. Id. Benito Freyre.............. . Manuel, LuciaG</t>
  </si>
  <si>
    <t>Pérez Arroyo, Félix</t>
  </si>
  <si>
    <t>Félix Pérez Arroyo</t>
  </si>
  <si>
    <t>rta._ Tratado de las operaciones de'la dentadura ,y método para conservarla en el mejor estado: por D. Félix Perez Arroyo, cirujano bernista de los Reales hospitales de Madrid. Se incluyen en esta obra los medios para precaver de la caries los dientes, colmillos y muelas, como *e del^en xonservar , ¿</t>
  </si>
  <si>
    <t>Pérez Brito, Francisco</t>
  </si>
  <si>
    <t>Francisco Pérez Brito</t>
  </si>
  <si>
    <t>o de Castro,.D. Francisco Mexia, D. Juan Joseph Indafmtu, D. .Juan Fatqués, ,t I&gt;. Manuel Dambrihe, D. Francisco Perez Brito , D. Juan Joseph Cana*,D'&lt;Pedro García, D. Juan Méndez, D. Rafael Morales,. Agustín Arenas, D. Juan Amaro Pestaña, D. Manuel Fernandez, D. Miguel Texedor, D. Joseph de los Ríos, D</t>
  </si>
  <si>
    <t>Pérez Casabal, Miguel</t>
  </si>
  <si>
    <t>Miguel Pérez Casabal</t>
  </si>
  <si>
    <t>e D. Joséph pómez Sordo, y el Beneficio préstamo de Robredo, en la de Burgos, vacante por muerte de Don Miguel Perez Casabal, á D. Manuel Laborda. En el regimiento de Reales Guardias Walonas se ha servido promover S. M. á Capitán de granaderos al de fusileros, graduado de Brigadier, Don Manuel de Craiwi</t>
  </si>
  <si>
    <t>Pérez Cílvo, Francisco</t>
  </si>
  <si>
    <t>Francisco Pérez Cílvo</t>
  </si>
  <si>
    <t>Francisco Perez Cílvo..... Raymundo, Francisca Gutiérrez............................... Santander.... Santander.... 31. i*. Muerto. Manuel Mena...................... J</t>
  </si>
  <si>
    <t>Pérez de Lema, Joseph Ventura</t>
  </si>
  <si>
    <t>Joseph Ventura Pérez de Lema</t>
  </si>
  <si>
    <t>o nombrar para la Intendencia y Corregimiento de la provincia de \ralladolid, vacante por muerte de D. Joseph Ventura Perez de Lema, á D. Pascual Vallejo, que servia la de la Mancha: para el Corregimiento de letras de la villa de Illéscas á D. Juan Antonio Martínez Azpeytia: para el de Sahagun á D. Antonio Lor</t>
  </si>
  <si>
    <t>Pérez de Rozas, Manuel</t>
  </si>
  <si>
    <t>Manuel Pérez de Rozas</t>
  </si>
  <si>
    <t>culares gracias y distinciones en premio de sus servicios. Por providencia de p de este mes del Sr. D. Manuel Perez de Rozas, Caballero de la Real y distinguida órden española de Carlos ni , del Consejo de S. M., su Alcalde de casa y corte, se ha mandado sacar á publica subasta una casa, sita en el luga</t>
  </si>
  <si>
    <t>dicho D. Juan Francisco de. Lezera, de aquel comercio. Por providencia de. 1.1 de este mes del Sr. D. Manuel Perez de Rozas, caballero de la Real distinguida orden española de Cárlos m , del Consejo de S. M.,su Alcalde ds casa y corte , se ha. mandado, sacar á pública subasta un oficio de Receptor de l</t>
  </si>
  <si>
    <t>e del Desengaño , casa de los Basilios , núm. i.° , quarto 2.0 , en Madrid. Por providencia del Sr. D. Manuel Perez de Rozas , del Consejo de S. M. , su Alcalde de casa y corte , se han mandado sacar á pública subasta varias fincas sitas en la villa del Viso y su término, pertenecientes al patronato de</t>
  </si>
  <si>
    <t>rriente, se ha hecho postura en la cantidad de su tasación $ y por providencia de dicho Sr. Alcalde D. Manuel Pérez de Rozas se ha admitido y mandado publicar. Quien quisiese hacer mejora acuda ante S. S. por la citada escribanía. Por decreto del Sr. Intendente de 8 de este mes se aprobó el remate de la</t>
  </si>
  <si>
    <t>, 10 celemines y .8 estada les, se ha seña.iado por providencia del 13 del presente del Sr. Alcalde D. Manuel Perez de Rozas para su remate el lúnes ~2. del mismo á las J'2 de su mañana en la escribanía de provincia de D. Antonio Diaz Noriega. La casa si ta en dicho lugar de Fllentan-aI perteneciente á</t>
  </si>
  <si>
    <t>eferidos D. Angel y D. Manuel, ó á Dendoat hermanos, de Madrid. Por providencia del dia 22, del Sr. D. Manuel Perez de Rozas, caballero de la Real distinguida orden española de Cárlos m, del Consejo de S. M. , Alcalde de la Real casa y corte, está señalado el 29 de este mes, á hora de Ja salida de los S</t>
  </si>
  <si>
    <t>ría de D. Manuel de la Fuente, calle de la Almudena. Por providencia de 29 de Marzo del Sr. Alcalde D. Manuel Perez de Rozas, caballero de la Real distinguida orden española deCárlosm, se ha vuelto á señalar para el remate de un oficio de Receptor de los Reales Consejos, tasado en 1 &lt;5© rs. pertenecient</t>
  </si>
  <si>
    <t>e Marzo del Sr. Intendente de esta provincia se ha aprobado el remate executado ante el Sr. Alcalde D. Manuel Perez de Rozas, y escribanía de provincia de D. Juan Antonio Diaz Noriega, de una casa que comprebende 3354 pies de sitio, y está tasada en 13,$96 rs., sita en el lugar deFuenc.arral y calle que</t>
  </si>
  <si>
    <t>in del de Mayo, para proceder á la rifa sin otra dilación. . Por providencia de *8 de Abril del Sr. D. Manuel Perez de Rozas, caballero de la Real y distinguida órden española de Carlos 111, del Consejo de S. M. , su Alcalde de casa y corte, está mandada sacar á pública subasta por término de 30' dias u</t>
  </si>
  <si>
    <t>ó en Barcelona á los Sres. D. Narciso Plandolit é hijo. Por providencia de 14 del corriente del Sr. D. Manuel Perez de Rozas, caballero de la Real y distinguida órden española de Cárlos m, del Consejo de S. M., «su Alcalde de casa y corte, se ha mandado sacar á pública subasta por 30 dias una casa sita</t>
  </si>
  <si>
    <t>ustin Córdoba, y Subtenientes á D, Blas Ruiz y D. Gregorio Celis de Saldaña. Por el juzgado del Sr. D. Manuel Perez de Rozas, caballero de la orden de* Carlos ni , del Consejo de 5. M., su Alcalde de casa y corte, se está subastando una casa sita en el lugar de Ballécas , en la calle que dicen de la Arb</t>
  </si>
  <si>
    <t>Roche, del Consejo de Ordenes; y asimismo á los Alcaldes de mi casa y corte Marques de los Llanos y D. Manuel Perez de Rozas. Para una de las plazas del Consejo Real, que quedan vacantes, nombro al Fiscal D. Felipe Ignacio de Ganga Arguelles. =Tendráse entendido en la Cámara, y se dispondrá lo convenien</t>
  </si>
  <si>
    <t>Pérez de Tejada, Vicente</t>
  </si>
  <si>
    <t>Vicente Pérez de Tejada</t>
  </si>
  <si>
    <t>co Peyrolon y compañía. En Valladolid...... D. Francisco Durango é hijo mayor. En Zamora........... D. Vicente Perez de Tejada. En Zaragoza........ D. Tomas de la Madrid. En Zeuta.............. D. Pedro Huguet, comisionado subalterno del de Cádiz. El Consejo, á consulta de la Comisión gubernativa, y con a</t>
  </si>
  <si>
    <t>Peyrolon y compañía. En Valíadalid,..**. D. Francisco Durango é hijo mayor. En Zamora............. D. Vicente Perez de Tejada. En Zaragoza........ D. Tomas de la Madrid. En Zeuta............ . D. Pedro Huguet, comisionado subalterno del de Cádiz. El Consejo, á consulta de la Comisión gubernativa, y con a</t>
  </si>
  <si>
    <t>sco Peyrolon y compañía. En Valladolid.___ D. Francisco Durango e hijo mayor. En Zamora............ D. Vicente Perez de Tejada. En Zaragoza...... . D. Tomas de la Madrid. En Zeuta..... . . D. Pedro Hugúet, comisionado subalterno del de . Cádiz. El Consejo, á consulta de la Comisión gubernativa, y con apro</t>
  </si>
  <si>
    <t>reyrolon y compañía. En Valladolid...... D. Francisco Durango é hijo mayor. .■ En Zamora........... D. Vicente Perez de Tejada. En Zaragoza........ D.- Tomas de la Madrid. ?■ En TLeuta....... D. Pedro Huguet, comisionado subalterno del de -í:: - Cádiz. ■ - - ■' En la gazeta última, capítulo de Madrid, pág</t>
  </si>
  <si>
    <t>743 En Valladoltd...... D. Francisco Diírango é hijo mayor. Zamora......... . D. Vicente Perez de Tejada. En Zaragoza........ D. Tomas de la Madrid. \ ^ En Zeuta.............. D. Pedro Huguet , comisionado snbalterno del de Cádiz. Se ha extraviado en Barcelona un vale Real de 300 pes</t>
  </si>
  <si>
    <t>o Peyrolon y compañía. En Valladolid...... D. Francisco Durango é hijo mayor. En Zamora............ D. Vicente Perez de Tejada. En Zaragoza........ D. Tomas de la Madrid. EnZeuta................D. Pedro Huguet, comisionado subalterno del de Cádiz. Don Miguel Lapeña, Cirujano en esta corte , que vive en la</t>
  </si>
  <si>
    <t>y compañía. r it Efi Valladalid......X&gt;. Francisco Durango é hijo mayor. 3A En, Jarnora*.......... D. Vicente Perez de Tejada. En. Zaragoza......*. D; Tomas dé ta Madrid. En Zeuta............... D. Pedro Huguet, comisionado subalterno del de ■■ - -v.- ■■■&gt; -r ,•; Cádiz. : ’ En lá ettráccioij dé la Real l</t>
  </si>
  <si>
    <t>Pérez de Vargas y Cárdenas, Joseph María</t>
  </si>
  <si>
    <t>Joseph María Pérez de Vargas y Cárdenas</t>
  </si>
  <si>
    <t>s á los alumnos sobresalientes: aquellos -consistieron-en 15 escudos de plata, que se adjudicaron á D. Joseph María Perez de Vargas y Cárdenas, D. Luis de Cañete, D. Gerónimo Cañete de -Lemus, D. Juan de Mata Herrera y Oca, D. Antonio Manrique, D. Antonio Garzón, D. Juan Muñoz, D. Alfonso de Ortega, Don Juan Bautista del</t>
  </si>
  <si>
    <t>Pérez Henriquez y GOJlZalez, Antonio</t>
  </si>
  <si>
    <t>Antonio Pérez Henriquez y GOJlZalez</t>
  </si>
  <si>
    <t>una sonata para dicho inlitrumento, por D. HenriqueAthayde de Portugal ~ dada á luz por el profesor D. Antonio Perez Henriquez y GOJlZalez~ Se hallar4n en ·la IU.rería de Arribou" calle de las Carretas. . NOTA. En esta gazeta se inserta el anuncio de 1~ obra intitulada Historia eclesIástica ó tratado de la iglesia de</t>
  </si>
  <si>
    <t>Pérez Izquierdo, Diego</t>
  </si>
  <si>
    <t>Diego Pérez Izquierdo</t>
  </si>
  <si>
    <t>á D. Antonio Ramos : para la Canongía que este obtiene en la misma iglesia, y resultará vacante, á D. Diego Perez Izquierdo: para otra de la catedral de Patencia;, vacante por fallecimiento de D. Bernabé de Urculu, á D. Vicente de Ron : parada Ración de la de Tuy , vacante por promoción de D. Joseph de</t>
  </si>
  <si>
    <t>Pérez Quintero, Miguel Ignacio</t>
  </si>
  <si>
    <t>Miguel Ignacio Pérez Quintero</t>
  </si>
  <si>
    <t>e industria , á extinguir la ociosidad y dar ocupación útil y honesta á todos los brazos : su autor D. Miguel Ignacio Perez Quintero. Se venden en la librería de Escribano , calle de las Carretas. * Sermones del \P. Carlos de Neuville, predicadcr de Luis xv , Rey de Francia, traducidos ■‘■pór*D;-J\ián Antonio P</t>
  </si>
  <si>
    <t>Pérez Valiente, Joseph María</t>
  </si>
  <si>
    <t>Joseph María Pérez Valiente</t>
  </si>
  <si>
    <t>Gabriel Suarez de Váleles : para otra de Oidor de la Audiencia de Sevilla, vacante por promoción de D. Joseph María Perez Valiente á Alcalde de casa y corte, á D. Isidoro Sanz de Velasco: para la de Alcalde del crimen de la de Galicia, que este dexa, á D. Joseph Joachín de Iriberri: para otra de Alcalde mayor</t>
  </si>
  <si>
    <t>Pérez Venturo, Andrés</t>
  </si>
  <si>
    <t>Andrés Pérez Venturo</t>
  </si>
  <si>
    <t>ra una Ración de la catedral de Coria, vacante por fallecimiento de Don Jacinto Francisco Terrón, á D. Andrés Perez Venturo, Cura de la parroquia del Sagrario de aquella catedral; y para el Beneficio servidero de Santo Tomé de los Caballeros de Salamanca, vacante por muerte de D. Francisco Jacobo, á D.</t>
  </si>
  <si>
    <t>Pérez Vidal, Félix</t>
  </si>
  <si>
    <t>Félix Pérez Vidal</t>
  </si>
  <si>
    <t>glano, D. Miguel García Sacristán , D. Bartolomé Sandoval, D. Rafael Tavira, D. Manuel de la Isla, D, Félix Pérez Vidal, Francisco de Paula Pa^ía, D. Fernando Sandoval, D. Francisco dé Yeste , D. Lorenzo Villavicencio, D. Agustín Rodríguez, D. Juan Bascon , D. Peclro Celés'tino Calvo, D. Henrique T</t>
  </si>
  <si>
    <t>Pérez y Pérez, Juan Joseph</t>
  </si>
  <si>
    <t>Juan Joseph Pérez y Pérez</t>
  </si>
  <si>
    <t>imen^ que este dexa en la misma, á D. Joseph López de Cozar: para la de Regante de la de Mallorca á D. Juan Joseph Perez y Perez: para la de Oidor, que este dex.? en lá de Aragón, á D. Antonio Cornel y Ferraz, Ministro del crimen íe ia misma; y para esta resulta á D, Jayme Pastoret. En América. En ei regimi</t>
  </si>
  <si>
    <t>Pérez, Alonso</t>
  </si>
  <si>
    <t>Alonso Pérez</t>
  </si>
  <si>
    <t>4. Id. Alonso Perez.............. . Manuel, Rosa Cadierno... Torneros..... León......... 26. Id. Lorenzo Toves............. . Manuel, T</t>
  </si>
  <si>
    <t>Pérez, Ángel</t>
  </si>
  <si>
    <t>Ángel Pérez</t>
  </si>
  <si>
    <t>....... 108. 3. Id. Angel Perez......................... Manuel, María Blanco.... Antigua......... León.............. 252. 10. Id. Miguel Huerta..................... Gaspar, María Ruano. .... Becilla........... León.</t>
  </si>
  <si>
    <t>Pérez, Antonio</t>
  </si>
  <si>
    <t>Antonio Pérez</t>
  </si>
  <si>
    <t>mas á los tales, fundadas en materia y razón de estado y gobierno: escritas por Antonio Pérez, Secretario de Estado que fué del Rey D. Felipe xi. Se hallará en la librería dé ¿lera. Juguetes de la niñez y travesuras del ingenio: por D. Francisco de Quevedo Villegas. Se hallará en la l</t>
  </si>
  <si>
    <t>Pérez, Benito</t>
  </si>
  <si>
    <t>Benito Pérez</t>
  </si>
  <si>
    <t>Febrero. D on Matías 1 adeo Llórente', doctor académico matritense, médico titular de esta villa, y D. Benito Perez, cirujano de la misma, han practicado la operación de la vacuna en 270 niños del propio pueblo, siendo su vecindario de «;00 vecinos, y están en ánimo de envacunar á los restantes</t>
  </si>
  <si>
    <t>ar, D. Joseph Montero, D. Isidro jLimonta, tD; Joá-1 quin de Zubillága, D. Joseph Fernando Abascai, D. Benito Perez, y él Conde de Mopox. : ; ■ A Brigadieres los Coroneles: en España. D. Joaquín Ferrandiz, el Marqués de Lazan, D. Juan Magín, el Conde Colona, D. Antonio García Conde , D. Fernand</t>
  </si>
  <si>
    <t>Pérez, Esteban</t>
  </si>
  <si>
    <t>Esteban Pérez</t>
  </si>
  <si>
    <t>4. Id. Esteban Perez............... .. . Manuel, Josefa López..... Trives.:...... Orense....... 299. 8. Licenciado. Manuel Cardeñoso.......... . . Man</t>
  </si>
  <si>
    <t>Pérez, Felipe</t>
  </si>
  <si>
    <t>Felipe Pérez</t>
  </si>
  <si>
    <t>ai Sargento primero D_ Clemente Robles: en el de Córdoba á primer Teniente al segundo de granaderos D. Felipe Perez: en el de Búrgos á Capitán al primer Teniente de granaderos D. Fernando Martínez: en el de Jaén á primer Subteniente al segundo D. Joseph Salido ; y en el batallón de cazadores Vo</t>
  </si>
  <si>
    <t>Pérez, Francisco</t>
  </si>
  <si>
    <t>Francisco Pérez</t>
  </si>
  <si>
    <t>.«.«« , 212. 5. Id. Francisco Perez................... Miguel, Francisca Blanco.. Alaejos....... Toro............. 29. 29. Id. Martin Moreyra................. Mateo, María García......... Madrid......</t>
  </si>
  <si>
    <t>Pérez, Ignacio</t>
  </si>
  <si>
    <t>Ignacio Pérez</t>
  </si>
  <si>
    <t>...... 291. 26. Id. Ignacio Perez.............. Gabriel, Ana Manuel........ Villafafilas.., León..,......... 138. 6. Id. Sargento 2.° MárcosOgueta. Manuel, Micaela Angela... Anastro...... Búrgos</t>
  </si>
  <si>
    <t>Pérez, Joseph Antonio</t>
  </si>
  <si>
    <t>Joseph Antonio Pérez</t>
  </si>
  <si>
    <t>bres, también de Cuba y Bayamo, á Teniente Veterano, con funciones de Ayudante, al Sargento primero D. Joseph Antonio Perez: finalmente, en el regimiento de milicias disciplinadas de infantería de Puerto Rico ha promovido S. M. á Comandante , con erado de Teniente Coronel, al Sargento mayor D. Juan Gau</t>
  </si>
  <si>
    <t>Pérez, Manuel</t>
  </si>
  <si>
    <t>Manuel Pérez</t>
  </si>
  <si>
    <t>. Por providencia de I3 de Marzo del Sr. D. Manuel Perez d"e Rozas, Caballero de la "Real distinguida órden espafíola de Cárlos del Consejo de S. M. XII, J Alc(:lde de su Rea1 casa y corte, y escribanía de provincia de D. Juan Antonio D</t>
  </si>
  <si>
    <t>Pérez, Manuel María</t>
  </si>
  <si>
    <t>Manuel María Pérez</t>
  </si>
  <si>
    <t>hristobal Anisa, D. Joseph Eligió y D. Miguel Valera; á Subtenientes de granaderos los de fusileros D. Manuel María Perez, D. Jorge Vi«* llers y D. Joseph Recio ; á Subtenientes de compañía los de bandera Don Ramón Castillo, D. Joseph María Canalejo y D. Domingo Gallegos; y í esta última clase el Cad</t>
  </si>
  <si>
    <t>Pérez, Martín</t>
  </si>
  <si>
    <t>Martín Pérez</t>
  </si>
  <si>
    <t>. 178. 8. Id. Martin Perez........................ Manuel, Ursula Iglesias. 172. 12. Id.., Pedro Rubio......................... «rui</t>
  </si>
  <si>
    <t>Pérez, Mateo</t>
  </si>
  <si>
    <t>Mateo Pérez</t>
  </si>
  <si>
    <t>Francisco- Salinas Moñino, 0. Pedrd Buch y O-Donell, D. Diego Artacho, D. Joseph Navarro Sangran, ,Don Mateo Perez, D. Francisco Réqu'ená, D. Antonio Parxearroyo, 0; Joseph Molina* 0. Joseph Urbtua, D. Antonio Samper, D, Joaquín dé Mendoza* D. Fernando • Gaver, D. Mannel Andrade, D. Antonio;Di</t>
  </si>
  <si>
    <t>Pérez, Miguel</t>
  </si>
  <si>
    <t>Miguel Pérez</t>
  </si>
  <si>
    <t>...... 160. 19. Id. Miguel Perez...................... Francisco, Antonia Alonso. S. Andrés del . Ba Trio..... Galicia.......</t>
  </si>
  <si>
    <t>Pérez, Nicolás</t>
  </si>
  <si>
    <t>Nicolás Pérez</t>
  </si>
  <si>
    <t>u , y de las de Florez, Mariana, Garibay , Ocampo y otros escritores nacionales y extrangeros : por Don Nicolás Perez el Setabiense, Catedrático que fue en la universidad de Valencia, y socio de varias academias. Véndese en lasiibrerías de los herederos de García, calle de la Gorguera, en la de Fue</t>
  </si>
  <si>
    <t>a de Masdeu, Mariana, Fiorez, Garibay, Ocampo y otros escritores ya nacionales ya extrangeros : por Don Nicolás Perez el Setabiense, catedrático que fué en la universidad de Valencia,socio de varias academias. Véndese con los dos anteriores en las librerías de los herederos de García , calle de la</t>
  </si>
  <si>
    <t>s de Florez, Mariana, Ocampo, Morales, Garibay y otros escritores ya nacionales ya extrangeros, por D. Nicolás Perez el Setabiense , catedrático que fue de la universidad de Valencia, y socio de varias academias. Se vende en las librerías de los herederos de García, calle de la Gorguera, en la de</t>
  </si>
  <si>
    <t>s de Florez, Mariana, Ocampo, Morales, Garibay y otros escritores ya nacioaales ya extrañgeros, por D. Nicolás Perez el Setabíense , catedrático que fué de la universidad de Valencia, y socio de varias academias.. Se vende á 3 rs. y á á los subscriptores en la librería de los herederos de García ,</t>
  </si>
  <si>
    <t>a, 6 censura de las que han escrito Masdeu, Florea y otros autores ya nacionales y extranjeros, por D. Nicolás Perez el Setabiense. Se vende en las iibreHas de los herederos de García, calle de la Gorguera, en la de Fuente , junto á lps Consejos, y én Cádiz en la de Castillo. La subscripción queda</t>
  </si>
  <si>
    <t>Espafía, ó censura de las que han escrito Masdeuy otros historiadores nacionales y extrangeros, por D. Nicolás Perez el Setabiense, socio de varías academias. Se vende en las librerías de los herederos de García, calle de la Gorguera, en la de Fuente, junto á los Consejos} y en Cádiz en la de Cast</t>
  </si>
  <si>
    <t>Pérez, Sebastián</t>
  </si>
  <si>
    <t>Sebastián Pérez</t>
  </si>
  <si>
    <t>.... 104. 3. Id. Sebastian Perez.................... Félix, Francisca Ruiz....... Ercncherun.. Vitoria.......... 80. .15. Id. Melchor de Noy a............... Alberto, Antonia Botuna.. Santa</t>
  </si>
  <si>
    <t>Pérez, Xavier</t>
  </si>
  <si>
    <t>Xavier Pérez</t>
  </si>
  <si>
    <t>mingo.. too. 5. Id. Xavier Perez..................... Xavier, Micaela Larrea..* Briones......... Sto.Domingo.. 243. 18. Id. Manuel Ausin.................... Pedro, María González.... Reviliaruz... Búr</t>
  </si>
  <si>
    <t>Perillos, Salvador</t>
  </si>
  <si>
    <t>Salvador Perillos</t>
  </si>
  <si>
    <t>es los Mariscales de Campo: en España* D. Francisco de Córdoba, D. Carlos Mori, D. Felipe Beautort, D. Salvador Perillos, D. Melchor Calatayud, D. Manuel Lapeña, D. Joseph Bureau, D. Juan Carrafa, el Marques de la Solana, D. Arturo O-Neille, Duque de San Carlos, D. Francisco Xavier Castaños, D. Fran</t>
  </si>
  <si>
    <t>Periton, Joseph</t>
  </si>
  <si>
    <t>Joseph Periton</t>
  </si>
  <si>
    <t>a Subtenencia al segundo Subteniente D. Manuel Estrada; y segundas Subtenencias al Sargento primero D. Joseph Periton y ai Cadete D. Manuel Peyrson: en el de Aragón segunda Tenencia al Subteniente de granaderos D. Manuel Vileta: en el de Jaén primera Subtenencia al segundo Subteniente Don Francisco</t>
  </si>
  <si>
    <t>Perjgault de Rocheneutre, Luis</t>
  </si>
  <si>
    <t>Luis Perjgault de Rocheneutre</t>
  </si>
  <si>
    <t>eros al de fusileros D. Pedro Boringe de Nangi; á primer Teniente ai segundo Teniente de granaderos D, Luis Perjgault de Rocheneutre, y á Alféreces á los Cadetes D. Francisco Xavier de Cabanes, Don Manuel de Tovar, D. Martin de Terrazas y D. Juan Bautista Dusmet. En el regimiento de infantería de la Reyna ha pr</t>
  </si>
  <si>
    <t>Perlgnón Senador</t>
  </si>
  <si>
    <t>¿4 Seitáihfáéii-^ fiij-adíus nn c-,¿p5.o‘í-rq Jtla nombrado elprimér f0Ónsüt al ciud. Perlgnón Senador); p'érGbííí'iSá^ rk&gt; éxtráordinario parar;atréglíáf conforme á lds principibs sentados en él artículo vii del tratado de paz entre Francia y España todo lo rel</t>
  </si>
  <si>
    <t>Perrier</t>
  </si>
  <si>
    <t>elvética'que sirve á la Francia* llegó á esta ciudad el dia 5. Su comandante el ciud. Perrier recibió una-carta de la Die</t>
  </si>
  <si>
    <t>Perucho de Heredia, Bernardo</t>
  </si>
  <si>
    <t>Bernardo Perucho de Heredia</t>
  </si>
  <si>
    <t>os pobres de ella j y observando los comisarios de su última voluntad D. Manuel Antonio Arias Beas, D. Bernardo Perucho de Heredia, presbíteros, y"ei Lie. D. Manuel Antonio Moreno Muñoz, Abogado de los Reales Consejos, de aquella vecindad, varias informalidades'y omisiones en las cuentas, asientos y demas pap</t>
  </si>
  <si>
    <t>Petiet</t>
  </si>
  <si>
    <t>francés Turreau está mandando en aquel país en fuerza de órdenes superiores. El ciud. Petiet, nuevo Prefecto nacional, ha escrito á todos los xefes civiles y militares notificándoles su nombramiento; pero muchos de ellos, especialmente los Subprefectos</t>
  </si>
  <si>
    <t>Petit</t>
  </si>
  <si>
    <t>e los huesos 5 en el que se trata de los aparatos y máquinas mas útiles para curarlas : escrito por Mr. Petit, de la academia Real de ciencias, de la sociedad Real de Londres, y director de la academia Real de cirugía; corregido y aumentado con un discurso histórico y crítico acerca de es</t>
  </si>
  <si>
    <t>Petra de Aceves</t>
  </si>
  <si>
    <t>y viendo su feliz éxito, siguióla operación ~no solo en niños, sino también en adultos; é inoculó ¿ Doña Petra dé Aceves y. Mora, muger de dicho Teniente Coronel, y ¿Isabel Gutiérrez. Disipados los temores vulgares con estos exemplos y con las . persuasiones mas convincentes , y extendida la noticia d</t>
  </si>
  <si>
    <t>Peyrolon, Francisco</t>
  </si>
  <si>
    <t>Francisco Peyrolon</t>
  </si>
  <si>
    <t>icados, que no tengan plazo determinado en su lugar, se dirigirán ai secretario de la Real sociedad D. Francisco Peyrolon hasta el dia 15 de Octubre de este año, término perentorio, ocultando el nombre de los autores para que puedan ser juzgadas con imparcialidad. Los discursos podrán escribirse en f</t>
  </si>
  <si>
    <t>*.,.;.,* Sres. Chavarri y Posadillo. En Toro................ D. Joseph Ligero. En Valencia......... D. Francisco Peyrolon y compañía. En Valladolid...... D. Francisco Durango é hijo mayor. En Zamora........... D. Vicente Perez de Tejada. En Zaragoza........ D. Tomas de la Madrid. En Zeuta..............</t>
  </si>
  <si>
    <t>261 En Toro.................D. Joseph Ligero. En Valencia........... D. Francisco Peyrolon y compañía. En Valíadalid,..**. D. Francisco Durango é hijo mayor. En Zamora............. D. Vicente Perez de Tejada. En Zaragoza........ D. Tomas de la Madrid. En Zeuta............</t>
  </si>
  <si>
    <t>...... Sres. Chavarri y Posadillo. En Toro...................D. Joseph Ligero. En Valencia......... D. Francisco Peyrolon y compañía. En Valladolid.___ D. Francisco Durango e hijo mayor. En Zamora............ D. Vicente Perez de Tejada. En Zaragoza...... . D. Tomas de la Madrid. En Zeuta..... . . D. Pe</t>
  </si>
  <si>
    <t>ro sobre la educación popular, por D. Manuel de Velasco: extracto de las actas del año de 1800, por D. Francisco Peyrolon : memoria histórica del establecimiento jie convoyes en Valencia, por D. Joseph Inocencio de Llano: informe sobre el maní ó cacahuate, por D, Tomas de Otero y D. Joachin de la Cro</t>
  </si>
  <si>
    <t>....... Sres. Chavarri y Posadillo. En Toro................. D. Joseph Ligero. En Valencia..........D. Francisco Peyrolon y compañía. En Valladolid...... D. Francisco Durango é hijo mayor. En Zamora............ D. Vicente Perez de Tejada. En Zaragoza........ D. Tomas de la Madrid. EnZeuta..............</t>
  </si>
  <si>
    <t>Sres. Chavarri y Posadillo. n To{ó.C...'.........i D» Joseph lastro.. :t y f n Valencia....... ... D. Francisco Peyrolon y compañía. r it Efi Valladalid......X&gt;. Francisco Durango é hijo mayor. 3A En, Jarnora*.......... D. Vicente Perez de Tejada. En. Zaragoza......*. D; Tomas dé ta Madrid. En Zeuta..</t>
  </si>
  <si>
    <t>edo...**..... .. Sres. Chavarri y Posadillo. En Toro........... . D. Joseph Ligero. . . En Valencia D. Francisco Peyrolon y compañía. En Valladolid.......D. Francisco Durango é hijo mayor. En Zamora...... I&gt;. V icente Perez de Tejada* En Zaragoza....:.. D. Tomas de la Madrid. &gt; En Zeitta....... D. Pedr</t>
  </si>
  <si>
    <t>Peyrolon, Ignacio</t>
  </si>
  <si>
    <t>Ignacio Peyrolon</t>
  </si>
  <si>
    <t>S. Vicente por el vicedirector , cón el1 auxilio y protección de la sociedad. Concluido este acto¿ D. Ignacio Peyrolon, á nombre de los niños , recitó una anacreóntica en acción de gracias, y dixo otra en el de las niñas Doña Vicenta López., Continuó D. Tomas de Otero, vice-secretario de la socied</t>
  </si>
  <si>
    <t>Peyrson, Manuel</t>
  </si>
  <si>
    <t>Manuel Peyrson</t>
  </si>
  <si>
    <t>niente D. Manuel Estrada; y segundas Subtenencias al Sargento primero D. Joseph Periton y ai Cadete D. Manuel Peyrson: en el de Aragón segunda Tenencia al Subteniente de granaderos D. Manuel Vileta: en el de Jaén primera Subtenencia al segundo Subteniente Don Francisco Echegaraya; y en el de Nápo</t>
  </si>
  <si>
    <t>Pezzino, Rafael</t>
  </si>
  <si>
    <t>Rafael Pezzino</t>
  </si>
  <si>
    <t>Don Felipe Crame, D. Francisco Ruigomez, D. Cándido Higuera, D. Diego Navarro , D. Bernardo Luque, D. Rafael Pezzino, D. Luis Ranea ño, Don Juan Meric, D. Antonio Bocarro, D. Juan Feliu, D. Juan Desnaux, Don Manuel Vigil de Quiñones, D. Joseph Ponce de León, D. Francisco Soler, el Conde de Maced</t>
  </si>
  <si>
    <t>Pfaíf de Pfatfenhausen, Conde</t>
  </si>
  <si>
    <t>Conde Pfaíf de Pfatfenhausen</t>
  </si>
  <si>
    <t>Síndico Doorman para Paris, adonde va á ventilar asuntos de importancia'con el gobierno francés. El Conde Pfaíf de Pfatfenhausen, que durante la guerra levantó en Alemania tropas por cuenta del gobierno ingles, no pudier.do lograr en tres años que aquella potencia le pagase las sumas que le debía, acudió so</t>
  </si>
  <si>
    <t>Pfearro, Ignacio Antonio</t>
  </si>
  <si>
    <t>Ignacio Antonio Pfearro</t>
  </si>
  <si>
    <t>yores ventajas que por él podría prometerse cón los efectos que debía producir la paz general. *Fr. D. Ignacio Antonio Pfearro del orden de Alcántara, y Cura párroco de Muséfos, recitóurfa cancro*!, á que se siguió la.lectura por el secretario, de otra intitulada la Pdz, qüe habla remitido él socio D. Estéban</t>
  </si>
  <si>
    <t>Pía, Ramón</t>
  </si>
  <si>
    <t>Ramón Pía</t>
  </si>
  <si>
    <t>xo la invocación de Sta. Tecla, unido con otros dos de Sta. Tecla y S. Pedro, vacante por muerte de D. Ramón Pía, á D. Antonio Nicolau; y para otro de la de S. Miguel-de los Narros, de la ciudad de Zaragoza, vacante por fallecimiento de D. Joaquín Chueca, á D. Dionisio de la Ballina. La Real</t>
  </si>
  <si>
    <t>Pichó, Pedro</t>
  </si>
  <si>
    <t>Pedro Pichó</t>
  </si>
  <si>
    <t>o: informe sobre el maní ó cacahuate, por D, Tomas de Otero y D. Joachin de la Croix : poesías, por D. Pedro Pichó y D. Esteban Chaix: memoria premiada indicativa de los montes del reyno de Valencia, clase, uso,y abundancia ó escasez de sus maderasj rios y carreteras que facilitan su extracción }</t>
  </si>
  <si>
    <t>Pichón</t>
  </si>
  <si>
    <t>argados de harina y de artículos necesarios para la construcción. Me escribe el ciud. Pichón que los americanos se han dado por sentidos de la providencia que tomé quandc llegue aquí; pero me pa</t>
  </si>
  <si>
    <t>n que despachasteis de Francia han costado 28© francos: y bien podía conocer el ciud. Pichón que el bergantín no valia fa mitad de esta suma. Empieza el comercio nacional á enviarme algunos buques. He dado órdenes para que rija el sistema colonial á la</t>
  </si>
  <si>
    <t>Pico, Ramón Antonio</t>
  </si>
  <si>
    <t>Ramón Antonio Pico</t>
  </si>
  <si>
    <t>iz.............. D. Benito de la Piedra. En Cartagena....... D. Manuel de Ozores. En Ciudad-Real... D. Ramón Antonio Pico. En Córdoba.......... Sres. Barcia padre é hijo. En la Cortina........D. Manuel Antonio Elzaurdi. En Cuenca............. D. Manuel Escolar y Noriega. En Granada........ D. Francis</t>
  </si>
  <si>
    <t>............... D. Benito de la Piedra. En Cartagena........ D. Manuel de Ozores. En Ciudad-Real... D. Ramón Antonio Pico. En Córdoba............ Sres. Barcia padre é hijo. En la Cortina.......... D. Manuel Antonio Elzaurdi. En Cuenca................ D. Manuel Escolar y Noriega. En G-ranada..........</t>
  </si>
  <si>
    <t>........ . I). Benito de la Piedra. - En Cartagena-*..,... D. Manuel de Ozores. i En Ciudad-Real.*. D. Ramón Antonio Pico. - En Córdoba...... Sres. Barcia padre é hijo. En la Cortina........ D. Manuel Antonio Elzaurd?. • En Cuenca............D. Manuel Escolar y Noriega. ■i , En Granada........ D. Fra</t>
  </si>
  <si>
    <t>. En Cddtz...... D. Benito de la Piedra. En Cartagena........D. Manuel de Ozores. En Ciudad~Real... D. Ramón Antonio Pico. En Córdoba...........Sres. Barcia padre é hijo. En la Cortina........ D. Manuel Antonio Elzaurdi. En Cuenca............. D. Manuel Escolar y Noriega. En Granada........ D. Franci</t>
  </si>
  <si>
    <t>z................D. Benito de la Piedra. En Cartagena....... D. Manuel de Ozores. En Ciudad-Real... D. Ramón Antonio Pico. En Córdoba........... Sres. Barcia padre é hijo. En la Cortina......... D. Manuel Antonio Eizaurdi. \ En Cuenca..............D. Manuel Escolar y Noriega. En Granada......... D. F</t>
  </si>
  <si>
    <t>Honores de Tesorero. de exército. . ...&gt;j A D^Rafael Serrano, Tesorero de la provincia de Avila; á D. Ramón Antonio Pico, Tesorero de la de la Mancha; á D. Eulogio de Bahamonde, Oficial mayor de la Tesorería de exército de Andalucía, y á D; Pedro Yoldi, Oficial mayor de la Tesorería de exército de A</t>
  </si>
  <si>
    <t>Cádiz......... . D. Benito dé la Piedra. En Cartagena........D. Manuel de Ozores. En Ciudad-Beal... D. Ramón Antonio Pico. Én Córdoba......... . Sres. Barcia padre é hijo. En la Corima........ D..Manuel Antonio Elzaurái. En Cuenca............ D. Manuel Escolar y Noriega. En Granada.... .... D. Franci</t>
  </si>
  <si>
    <t>..i IXBéiútode iaPiedrla. ir.1-&gt;-1;En Cartagena.... ... D. Manuel ele Ozores. ’ ■ En Ciudad-Real... D. Ramón Antonio Pico. v En Córdoba...:..^.. En, la Córuñd........ D. Manuel Ántbníó^ EÍzatirdir^ , .En Cttenqa............ D. Mznuel Escolary Noriega.. r^T., En Granada........ D. Francisco Üftzaga. E</t>
  </si>
  <si>
    <t>yle, ,&gt; , En Cda D. Benito de la Piedra. En Cartagena....... D. Manuel de Ozores. En Ciudad-Real-,. D. Ramón Antonio Pico. , En Córdoba......*... $res.. Barcia padreíé hijo. En la Corteña........Manuel Antonio Elzaúrdi, Eti Cuenca....... i.... D. Manuel Escolar, yN oriega. Eu Granada....^... D. Franc</t>
  </si>
  <si>
    <t>Pico, Vicente</t>
  </si>
  <si>
    <t>Vicente Pico</t>
  </si>
  <si>
    <t>uan de Álbarrilla, D. Gonzalo Martínez, D. Cosme Marín, D. Serafín del Rincón, D. Mariano Carrasco, D. Vicente Pico, í). Antonio Arias , D. Joseph Espinosa, D. Miguel de Gerona, D. Manuel Henriquez, D. Francisco Xavier de Mendíri, D. Bartolomé Ladrón de Guevara, D. Gerónimo Montóya, Don Manuel</t>
  </si>
  <si>
    <t>Piédrola y Verdugo, Antonio</t>
  </si>
  <si>
    <t>Antonio Piédrola y Verdugo</t>
  </si>
  <si>
    <t>,D. Fernando Zambrano,D. Joseph Vertizveria, Don Joaquín Nuñez Falcon, D. Manuel Borroeta y Ozaeta, D. Antonio Piédrola y Verdugo,©. Pedro Mosti y Arrambide,D. Juan de Muía y Guevara, D. Joseph Achaval y Orueta, D. Pedro Ballesteros y Patino, Don Pedro Afán de Rivera, D. Benito Prieto Solares, D. Josepn Zuaz</t>
  </si>
  <si>
    <t>Piedrola, Francisco</t>
  </si>
  <si>
    <t>Francisco Piedrola</t>
  </si>
  <si>
    <t>uín Gómez Barreda, D. Benito Santacilia, D. Cosme- Carranza, D. Joseph Melendez, D. Antonio Pareja, D. Francisco Piedrola, D. Fernando Bustillo Cuéva,' D. Francisco Vízcarrondo, D. Santiago Irrisarri y Sarti, D. Joaquín: dé Castañeda , D. Francisco Riquelme , D. Joseph de la EnoU na, D. Pedro Saenz d</t>
  </si>
  <si>
    <t>Pietz</t>
  </si>
  <si>
    <t>Texel saldrá en breve un convoy para el Mediterráneo : algunas de sus embarcaciones irán á Smirna. Mr. Pietz, que mandaba la fragata holandesa nombrada Furia quando la apreso otra fragata inglesa, ha sido juzgado por un consejo de guerra, que le ha declarado incapaz de todo mando durante</t>
  </si>
  <si>
    <t>Pifieyro, Juan Francisco</t>
  </si>
  <si>
    <t>Juan Francisco Pifieyro</t>
  </si>
  <si>
    <t>Rs. Mrs. miento. Juan Francisco Pifieyro.... Casimiro, Juana González. Arenty............ Salvatierra... 140. 24. Muerto. Francisco Nogueyra............ Miguel, Rosa González.... Tabueyja........ Salvatie</t>
  </si>
  <si>
    <t>Pifteyro, Ventura</t>
  </si>
  <si>
    <t>Ventura Pifteyro</t>
  </si>
  <si>
    <t>25. Id, Ventura Pifteyro........... . Pedro, Antonia Arriba,;.. Aranda de... Duero........ 432. 30, Id. Francisco Rodríguez......... . Francisco, María</t>
  </si>
  <si>
    <t>Piguillem, Francisco</t>
  </si>
  <si>
    <t>Francisco Piguillem</t>
  </si>
  <si>
    <t>peración. En efecto,paree i ó al séptimo dia con los mismos caracteres que expresan los ensayos del Dr. Don Francisco Piguillem; y en seguida dio principio á vacunar á los hijos de varias personas condecoradas: y con su exemplo se fué propagando de tai modo, que así en este pueblo como en los inmediatos se</t>
  </si>
  <si>
    <t>Pinedo y Anuncibay, Juan</t>
  </si>
  <si>
    <t>Juan Pinedo y Anuncibay</t>
  </si>
  <si>
    <t>, Don Ramón Rato y Ramírez, fk Roque Díaz Pardo, D. Miguel Daza y García, D. Diego Padura y Vargas, D. Juan Pinedo y Anuncibay, D. Ramón Truliól y Andreu, D. Juan Olaegui y Aguilar, D. Agustín Manglano y Ruiz, D. Víctor Vinader y Paz, D. Vicente de Lago y León, D. Per dro de Landazuri, D. Joaquín Soroa y</t>
  </si>
  <si>
    <t>Pinedo, Agustín</t>
  </si>
  <si>
    <t>Agustín Pinedo</t>
  </si>
  <si>
    <t>ph de la Valle , Don Joseph Alvarez, D. Cárlos Meyner, D. Francisco Rodríguez , D. Tolhas Rocamora, D. Agustín Pinedo, D. Antonio Cordero,. D. Pedro Villaescusa, D. Miguel Emparan , D. Francesco Alburquerque, D. Blas González, D. Juan María de Soto, D. Francisco Caballero, D. Ignacio Merlos, Don</t>
  </si>
  <si>
    <t>Pinedo, Dionisio</t>
  </si>
  <si>
    <t>Dionisio Pinedo</t>
  </si>
  <si>
    <t>n Nicolás Ramírez, D. Lucas de Soto, D. Fructuoso Cariñena, D* Patricio Gómez, D. Manuel Martínez-, D. Dionisio Pinedo, D. HemeterioMdtetio* D. Anacleto Orbañanos, D. Gerardo Moreno, D. Braulio Martínez, Don Vicente Heras y D. Valentín Gutiérrez. Y en la tercera D. Valentín Sa^ cristas, D. Manuel</t>
  </si>
  <si>
    <t>Piñeyro, Juan</t>
  </si>
  <si>
    <t>Juan Piñeyro</t>
  </si>
  <si>
    <t>. Joaquín Aldecoa, D. Antonio de Rozo, D. Joseph.de la Gceja , P. Juan de Sesma, D. Santiago Aldaó, D. Juan Piñeyro, D, Narciso Llaudes, D. Pedro Marsilla, D. Ni-' colas dél Castillo, D. Gines López del Castillo, D. Mariano de Lara,Dori' Manuel Fernandez Cortacero, D. Manuel Barrientos, D. Nico</t>
  </si>
  <si>
    <t>Piñeyro, Manuel</t>
  </si>
  <si>
    <t>Manuel Piñeyro</t>
  </si>
  <si>
    <t>que cada uno estaba impuesto. Los Cadetes, D&gt; Francisco Caamaño y Romero , !). Ale*xandro Monfort, D. Manuel Piñeyro, D. JosepK Siiarez, D. Alfonso Gutiérrez , D. Asensio Rosique y D. Cáelos López Vidal * fuéron ¡examinados de ordenanza, aritmética y principios de geometría, y lo continuó D. Do»</t>
  </si>
  <si>
    <t>Piñeyro, Miguel</t>
  </si>
  <si>
    <t>Miguel Piñeyro</t>
  </si>
  <si>
    <t>ral y D. Miguel de la V ega; á Subtenientes de granaderos á los de fusileros D. Francisco Farias *y D. Miguel Piñeyro, y á Subteniente de bandera al Cadete D. Miguel del Corral: en el de infantería de la Corona de Nueva-España á Subteniente de bandera al Cadete D. Saturnino Samaniego ; y en el de</t>
  </si>
  <si>
    <t>Pino, General</t>
  </si>
  <si>
    <t>General Pino</t>
  </si>
  <si>
    <t>s tropas francesas que habia en esta ciudad. Para reemplazarlas se esperan otras de la división del General Pino. ' Acaba de verse y reconocerse en Palermo el nuevo planeta descubierto por el P. Piazzi, que no pudo observarse allí desde el 26 de Diciembre del año ultimo hasta el 23 de Febrer</t>
  </si>
  <si>
    <t>o de Ñapóles y el territorio de la Iglesia. Ya llegáron á esta ciudad las tropas de la división del General Pino , que se esperaban para reemplazar á las francesas que se han retirado de aquí á otros pueblos. strasburgo 2 &amp; de Abril. E 1 ciud. Horres, compañero de Napper-Tandy en su arresto</t>
  </si>
  <si>
    <t>Pintado, Agustín</t>
  </si>
  <si>
    <t>Agustín Pintado</t>
  </si>
  <si>
    <t>rra... 190. 23. Id. Agustín Pintado.................. Miguel, María Vicente.... Peñaflor......... Valladolid.... 90. 16. Id. Martin Domínguez...........Dionisio, Gertrúdis Pozo... Pozon..'............ León........</t>
  </si>
  <si>
    <t>Pintado, Sebastián</t>
  </si>
  <si>
    <t>Sebastián Pintado</t>
  </si>
  <si>
    <t>Serrano: y para una Canongía de la colegial de Roa, diócesis de Osma, vacante por fallecimiento de D. Sebastian Pintado, á D. Domingo de Ortigúela, Racionero de la misma. S. M. se ha servido promover en el regimiento de Reales Guardias Es</t>
  </si>
  <si>
    <t>Pinto Carnero, Juan</t>
  </si>
  <si>
    <t>Juan Pinto Carnero</t>
  </si>
  <si>
    <t>jDuitrte^PtíPLadael haotibañeKyr üma^ ran, D:,Ramón Femandéz de Gü evara ¿0.1 Jüan Jacinto Ferrer-, D. Juan Pinto Carnero , D. Fernando de la Fuente,* 0. Gonzalo Amigo, 0. Pedro Benavídes y Ramos* 0. Santiago María Ecetay.D. Luis del. Arco, Don Antonio Togores; y ]LlatpeCí» P* Manuel; Bete&amp;"Chuecos ■</t>
  </si>
  <si>
    <t>Pinzón, Vicente</t>
  </si>
  <si>
    <t>Vicente Pinzón</t>
  </si>
  <si>
    <t>Melchor Magrat, Don Antonio Laprieta, D. Francisco Ezpeleta, D. Juan Albérni, D. Joaquín Puertolas, D, Vicente Pinzón, D. Félix Muñoz, D. Gines Albadalejos . D. Juan Pelayo Sánchez', D. Joseph María Crespo , D. Bartolomé Reselló, D. Miguel Valcarcel, D. Martin de la Carrera^ D. Jayme Garrofa, y D</t>
  </si>
  <si>
    <t>Pió de Tristan, Juan</t>
  </si>
  <si>
    <t>Juan Pió de Tristan</t>
  </si>
  <si>
    <t>oronel, Don Andrés Blazquez. En el de Reales Guardias Walonas á primer Teniente al segundo Teniente D. Juan Pió de Tristan, á segundos Tenientes de granaderos á los de fusileros D. Luis de Lauzieres, graduado de Teniente Coronel, y D. Federico, Caballero de Lamberts, y á Alféreces de fusileros á los C</t>
  </si>
  <si>
    <t>Pió Domínguez, Joseph</t>
  </si>
  <si>
    <t>Joseph Pió Domínguez</t>
  </si>
  <si>
    <t>para este destino á D. Alexandro Villoría, Oficial segundo del propio archivo: para esta resulta á D. Joseph Pió Domínguez : para el. empleo de Ministro de Real Hacienda de las caxas de Rio de la Hacha á D. Domingo Nieto, Oficial mayor de las caxas matrices .de Stá. Fe : para esta plaza , a D. Manuel</t>
  </si>
  <si>
    <t>Pió, Papa</t>
  </si>
  <si>
    <t>Papa Pió</t>
  </si>
  <si>
    <t>só pdr aquí un carruage cubierto, en el qual parece se lleva á Roma el féretro con1 las cenizas del Papa Pió vi, que murió en Va1 léncia del Delñnado. En otro coche iba Monseñor Spina con algunas personas de la comitiva, llevando por escolta una partida de dragones. vS" Crrenoble iy de E</t>
  </si>
  <si>
    <t>Pip, Papa</t>
  </si>
  <si>
    <t>Papa Pip</t>
  </si>
  <si>
    <t>gado de los asuntos concernientes al culto; y oído el Con-. sejo dfiTEstado, deefétáh: El bréVe del Papa Pip^y tildado epS. Pudro ¡¿¿y Romaql* 204e Junio dé itó2 ^ppr iel^qiikí ‘ efc cujcl. '^íÍbs&gt;^'ií3tfAfTaó,i. HeyraUfd , Mmasirp* de Rélácjones tx|enqr£f, es jtótum^qa, lafvidá^^wn laic</t>
  </si>
  <si>
    <t>Pirez, Fernando</t>
  </si>
  <si>
    <t>Fernando Pirez</t>
  </si>
  <si>
    <t>D. Tomas Sedeño y D. Ramón de Villalonga: á en segundo al ordinario D. Miguel Rengel: á ordinario á D. Fernando Pirez, extraordinario; y á este empleo al Ayudante D. Luis Veyan. En América. El Rey se ha servido nombrar para el Arzobispado de México, vacante por fallecimiento de D. Alonso Nuñez de</t>
  </si>
  <si>
    <t>Pirez, Ramón</t>
  </si>
  <si>
    <t>Ramón Pirez</t>
  </si>
  <si>
    <t>en el regimiento de infantería dé América á Sargento Mayor al Capitán delude las Ordenes Militares D. Ramón Pirez: en el Suizo de Rutioutn á Capitán primero ai Teniente del de ^dhwaller Jdan Jeannéquin, y ¿ Subtenientes a k&gt;s Cadetes D. Joseph y Dv NicolasRumán ;y enel de Courtfená Capitanes</t>
  </si>
  <si>
    <t>Piriz, Matías</t>
  </si>
  <si>
    <t>Matías Piriz</t>
  </si>
  <si>
    <t>omas Kindelan , D. Juan de Dios Alvarez Ordoño, D. Gabriel Mendizabal, D. Ignacio Martinez Vallejo, D. Matías Piriz, D. Pedro Baylin, D. Bartolomé de Castro, D. Santiago Puig, Don Francisco Cortabarria, D. Antonio Maestre, D. Fernando Manuel de Villena, el Vizconde de Zolina, D. Juan Maduit, D.</t>
  </si>
  <si>
    <t>Pisman</t>
  </si>
  <si>
    <t>hoy al ciad. J. B. Bicker por miembro del gobierno de estado, como sucesor del ciud. Pisman, á quien tocó salir. En el término de un mes concluirán todos los departamentos holandeses el arreglo de sus distritos, bayliages y juntas administrativas. En</t>
  </si>
  <si>
    <t>Pisón y Vargas, Ramón</t>
  </si>
  <si>
    <t>Ramón Pisón y Vargas</t>
  </si>
  <si>
    <t>uiz de Castro; del Crimen de la Chancillería de Valladolid al de la Dirección general, de la Armada D. Ramón Pisón y Vargas;, del Crimen de Valladolid á D. Juan Antonio Bringas López de Sagredo, Alcalde mayor de aquella ciudad; del Crimen de Sevilla á D. Antonio Quer y Villaró, Alcalde mayor de Córdoba</t>
  </si>
  <si>
    <t>Pitt</t>
  </si>
  <si>
    <t>del Lord Hawkesbury, Ministro de Negocios extrangeros, ha habido un consejo, al que parece asistió Mr. Pitt, y el qual se celebró con motivo de los últimos pliegos que el Marques de Cornwallis envió desde Francia. Luego se despachó un correo á París. El ciud. Otto, después de recibir ig</t>
  </si>
  <si>
    <t>igarlas ahora á que contribuyan al pago de unas deudas hechas en parte para prenderlas/’ Contestóle Mr. Pitt procurando desvanecer sus argumentos; y al fin se aprobó la proposición en los términos en que se pedia. En la Cámara alta protestaron los Lores Carnavon, Dundas y Wentworth-Fitzv</t>
  </si>
  <si>
    <t>semana próxima hará la proposición de que se den gracias á S. M. por haber separado de su Consejo á Mr. Pitt. Ai dia siguiente avisó el Lord Belgrave que el mismo dia en que Mr. Nichols haga su proposición hará él la de que se den gracias á Mr. Pitt por su acierto en el ministerio. Ha he</t>
  </si>
  <si>
    <t>ímites constitucionales de los poderes del Parlamento.; Por los mismos, principios se opuso también Mr. Pitt,' alegando que^el tratado?de Lunéville era un convenio^absolutamente extraño al gobierno británico, y que ninguna relación tenia con la qiiestion actual. Siguieron hablando en pro</t>
  </si>
  <si>
    <t>En una ¡unta que los subscriptores á la estatua que ha de erigirse á Mr. Pitt celebraron en ei café de Lloyd, se fia resuelto qiae el fondo que íe junte se ponga á ganancias hasta la imiért^/déla persona i quien se dedica. "’,Ün numero muy crecido de comerc</t>
  </si>
  <si>
    <t>Se ha formado otra sociedad para celebrar todos los años con un banquete el dia del nacimiento de* Mr. Pitt, á imitación de lo que se executa con su competidor parlamentario Mr. Fox. ¿J En casi todo este reyno hace un frió como pudiera en el mes de Enero. En muchas partes, especialmente</t>
  </si>
  <si>
    <t>'los Lores; ' El 28 se tuvo la primera comida (que ha de ser anual) en celebridad del cumpleaños de Mr. Pitt, que aquel dia cumplió 43-años. El número de convidados fué 925. Mr. Pitt no asistió al convite por pareeerle que la- Jionra que le hacían erar muy-grande para recibirla personalm</t>
  </si>
  <si>
    <t>ino de' Burdeos del año de 1791 cada docena de botellas á 14 libras esterlinas, que hacen 84 pesos; Mr. Pitt ha dado también por una pipa de vino de la Madera 195 guineas, que vieneii á ser 1170 pesos. '. V-- Haya 18 de Junio. - y E stan prontas á zarpar del Texel las tropas destinadas p</t>
  </si>
  <si>
    <t>s y mercaderes de Glascow han abierto una subscripción para erigir en aquella ciudad otra estatua á Mr. Pitt. El día 21 tomó asiento en la Cámara de los Pares el General Hutchinson, como Lord de la Gran Bretaña. í1''En la Cámara de los Comunes se presentaron el mismo día los documentos r</t>
  </si>
  <si>
    <t>el dia , sino por aquel hombre á quien ia, Inglaterra espeta y mira como á un salvador. (Hablaba de Mr. Pitt.) ^ En la Cámara de los Cnmunes se explicó Mr. Windham en los mismos términos que el Lord Grenville en la alta. Mr. Fox peroró á favor de la paz, desvaneciendo quanto otros vocale</t>
  </si>
  <si>
    <t>mara de los Comunes del 29 de Noviembre no ha habido debates ningunos. •" Se dice qde la reunión de Mr. Pitt al partido de Grenville ha determinado á Mrs. Grey , Tierney y Erskiné á unirse al partido de la administración. Mr. Fox está, indiferente á todos los partidos; y solo piensa en u</t>
  </si>
  <si>
    <t>Plácido Maneyro</t>
  </si>
  <si>
    <t>aballería de la isla Margarita al Teniente de la misma D. Joseph Yañez; esta resulta al Subteniente D. Plácido Maneyro, y la Subtenencia que este dexa al Cadete D. Juan Bautista Aguirre. S. M. se ha servido conceder al Teniente de Navio D. Manuel de Espinosa y Tello agregación de Teniente Coronel</t>
  </si>
  <si>
    <t>Plácido Rodríguez</t>
  </si>
  <si>
    <t>ranaderos al de fusileros D. Joseph Manuel de Neyra; Subtenencias al Sargento segundo de granaderos D. Plácido Rodríguez , y al Cadete D. Fernando del Valle; y Subtenencias de bandera ál Sargento segundo de granaderos D. Miguel Granados, y al Cadete J). Joseph Antonio Gbpzaleztde Rozase Compañfe én</t>
  </si>
  <si>
    <t>Plácido, Joseph Benito (príncipe)</t>
  </si>
  <si>
    <t>Príncipe Joseph Benito Plácido</t>
  </si>
  <si>
    <t>coa mucha lozanía. Liorna 27 de Noviembre. E n la mañana del 27 de Octubre falleció en Sas&gt;sari el Príncipe Joseph Benito Plácido, hermano del Rey de Cerdeña, a la edad de 36 años y 4 meses. Su pérdida lia causado el mayor desconsuelo en la ciudad y países que gobernaba con la sabiduría y dulzura que le habí</t>
  </si>
  <si>
    <t>Planella, Antonio</t>
  </si>
  <si>
    <t>Antonio Planella</t>
  </si>
  <si>
    <t>Reales Guardias Españolas se ha sentido promover el Rey á segundo Teniente al Alférez de granaderos D. Antonio Planella. El Consejo, á consulta de la Comisión gubernativa, y con aprobacion de S. M., ha acordado la: cuadragésima tercia amortfeacioit de 306 Yalei de 600 pesos, y 298 deiópdé lá renova</t>
  </si>
  <si>
    <t>Plano, Joseph</t>
  </si>
  <si>
    <t>Joseph Plano</t>
  </si>
  <si>
    <t>ph Trax* ler, D. Francisco Joseph Márcos de Courten * D. Casimiro de Mendoza^ D. Baltasar Samitier, D. Joseph Plano, D. Camilo Arroyo , D. Rafael Mariano, D. Félix Zurbano, D. Juan Lieutaud, D.«Alonso Ribera, Don Pedro Joseph de GamezyD. Vicente Morodo, Di- Felipe Sicre, D. Baltasar Alvarez, D.</t>
  </si>
  <si>
    <t>Plasencia, Francisco</t>
  </si>
  <si>
    <t>Francisco Plasencia</t>
  </si>
  <si>
    <t>les ?y oñcialidad de los cuerpos de la guarnición. Empegó el acto manifestando rel segundo Teniente D. Francisco Plasencia» encargado de la educación de dichos jóvenes, las partes de ordenanza y matemáticas en que cada uno estaba impuesto. Los Cadetes, D&gt; Francisco Caamaño y Romero , !). Ale*xandro Mo</t>
  </si>
  <si>
    <t>Platón, Arzobispo</t>
  </si>
  <si>
    <t>Arzobispo Platón</t>
  </si>
  <si>
    <t>e todas las ceremonias observadas en aquel acto, como también el discurso que dirigió á S. M. I. el Arzobispo Platón , que tiene 85 años de edad, y goza créditos de muy sabio. Alexandro 1 es el tercer Soberano de Rusia á quien este Prelado ha ungido. • ' i , / El 4 de este mes por la tarde hubo</t>
  </si>
  <si>
    <t>A ZETA DE MADRID DEL MARTES 26 DE ENERO DE 1802. ;,', ; . Petersburgo jo de Noviembre de i8or* E 1 Arzobispo Platón, que ungió al Emperador Alexandro 1 en Moscow, tiene 105 años de edad. Así que S. M. Imperial subió al t&amp;oúfr suprimió la costumbre de que sus vasallos se apeasen de los coches qu</t>
  </si>
  <si>
    <t>Plernandez, Antonio</t>
  </si>
  <si>
    <t>Antonio Plernandez</t>
  </si>
  <si>
    <t>n esta clase D. Pedro Hermosllla: en el de Mallorca á segundo Teniente al Subteniente de granaderos D. Antonio Plernandez: en el de Granaderos Voluntarios de Estado á segundo 1 eniente al Subteniente D. Pedro Angoleti , y á Subteniente al segundo Subteniente del de infantería de Navarra D. Juan Anton</t>
  </si>
  <si>
    <t>Plowes, Miguel</t>
  </si>
  <si>
    <t>Miguel Plowes</t>
  </si>
  <si>
    <t>oseph Domeneo ,;D. Joaquín de Rayas?, P. Nicolás Guascoñi, D. Mariano Vives, Don Juan de la Garma j D. Miguel Plowes, D. Marcos Funguion, D. Bernardo■ Tacón, D. Joseph Tacón, D. Francisco Boneo, D. Félix Gastambide, y D. Antonio Cortada, Madrid 1$ de Octubre. E 1 Rey se ha dignado nombrar para l</t>
  </si>
  <si>
    <t>Plugenio Izquierdo</t>
  </si>
  <si>
    <t>icio$a a Sargento mayor al Capitán D. Eugenio Tomas y Alcalá. El Rey se ha servido restituir al Sr. D. Plugenio Izquierdo en elempleo de Director del Real gabinete de historia natural en Madrid, y lia' relevado del mismo empleo á I). Joseph Clavijo Faxardo , en consideración á su avanzada edad, conserv</t>
  </si>
  <si>
    <t>Podares, Juan Pablo</t>
  </si>
  <si>
    <t>Juan Pablo Podares</t>
  </si>
  <si>
    <t>ez Mondragon, D. Juan Joseph Martínez , D. Joseph de Vargas Varaez , D. Estanislao Juez Sarmiento ¿ D. Juan Pablo Podares , D. Francisco Uriarte y Borja,,D. Dionisio Alcalá Galiano, D. Cosme Chumica, Don Cayetano Valdés , D. Felipe Jado Cagigal Marques del Real Tesoro, D.Alarcelo Espínela, D. Agustín</t>
  </si>
  <si>
    <t>Poescan, Lord</t>
  </si>
  <si>
    <t>Lord Poescan</t>
  </si>
  <si>
    <t>ue se ganase aquella batalla , en la qual isas holandesesi fuéroji ¡completamente derrotados por el Lord Poescan. Mr. ilurgesé ésta representado con vestido á;la eon»naL»*y ,ejv acritud mágestuosa. La victoria baxa del cielo y pone en sus manos una espada» como recompensa de su valor. ! En u</t>
  </si>
  <si>
    <t>Poggio y Alfaro, Joachín</t>
  </si>
  <si>
    <t>Joachín Poggio y Alfaro</t>
  </si>
  <si>
    <t>D. Miguel Valdés; y á empleos de la misma clase de los regimientos de la Palma, Abona y Lanzarote á D. Joachín Poggio y Alfaro, D. Juan de las Nieves Ravelo, segundos Ayudantes, y D. josaph Feo de Armas, Teniente de milicias de Artillería en aquellas islas. S. M. ha nombrado para el empleo de Ayudante de</t>
  </si>
  <si>
    <t>Policarpo de Urquijo, Francisco</t>
  </si>
  <si>
    <t>Francisco Policarpo de Urquijo</t>
  </si>
  <si>
    <t>igir á dicho Tribunal el decreto que sigue: ,,He venido en jubilar ai Ministro del Consejo y Cámara D. Francisco Policarpo de Urquijo, con el medio sueldo de su plaza.=Tendráse entendido en la Cámara para su cumplimiento. = En Guadalaxara á 15 de Agosto de 1802. = Al Gobernador del Consejo.” Después en otro decr</t>
  </si>
  <si>
    <t>Polo de Bernabé, Manuel María</t>
  </si>
  <si>
    <t>Manuel María Polo de Bernabé</t>
  </si>
  <si>
    <t>e al Alférez de granaderos D. Ignacio Xavier de Landaburu ; á Alférez de granaderos al de fusileros D. Manuel María Polo de Bernabé, y á Alféreces á los Cadetes D. Ramón Foxá Xatmar de Marignat, D. Constantino Joseph Malet Coud'Egruyere, D. Ramón de Miguel y Blondel y D. Ramón de E et. _ Las lecciones de quími</t>
  </si>
  <si>
    <t>Polo, Manuel</t>
  </si>
  <si>
    <t>Manuel Polo</t>
  </si>
  <si>
    <t>63. 22. Id. Manuel Polo........................Santiago,Tomasa Borregue- I ro..................................... Moriscos....... Salamanca... 120. 32. Id. BS</t>
  </si>
  <si>
    <t>Pomar, Christóbal</t>
  </si>
  <si>
    <t>Christóbal Pomar</t>
  </si>
  <si>
    <t>de Teniente al Subteniente D. Juan Galindo; y el de Subteniente de minadores del quarto batallón á D. Christóbal Pomar. En el regimiento de caballería de España se ha servido promover el Rey á Portaestandarte al Cadete D. Agustín López: en el de Húsares Españoles á segundo Teniente al Alférez D. J</t>
  </si>
  <si>
    <t>POnc, Jóseph</t>
  </si>
  <si>
    <t>Jóseph POnc</t>
  </si>
  <si>
    <t>López de Castro y Gómez *; 0.Joaquín de Santiago y García det Viso, D. Manuel Am* bulodi y Calvo,/ D. Jóseph POnc¡e de León y Morejon, D. Sancho Ponce de León y Morejon, D-. Joaquín Lobo .de Verseó y Mehdieta, D. Antonio Carvajal y Salamanca $ i). Jbsephi de Mesa y Figueroa, D. Eusebio de Tis</t>
  </si>
  <si>
    <t>Ponce de León, Diego</t>
  </si>
  <si>
    <t>Diego Ponce de León</t>
  </si>
  <si>
    <t>tuño-y Castañon , D. Antonio Villaviqencio, D. Joseph Delgado y Guerra, D. Joaquín Mioño y Quevedo, Don Diego Ponce dé León, D. Rufino Torrcntcgui, D. Nicolás Rubín de Barrio, D. Isidro Gago y Abarca, D. Pablo de Villa y Gutiérrez, D. Joaquín Sanchiz Verenguer, D. Rafael de Lobo y Campo, D. Francisco L</t>
  </si>
  <si>
    <t>Ponce de León, Joseph</t>
  </si>
  <si>
    <t>Joseph Ponce de León</t>
  </si>
  <si>
    <t>, Don Juan Meric, D. Antonio Bocarro, D. Juan Feliu, D. Juan Desnaux, Don Manuel Vigil de Quiñones, D. Joseph Ponce de León, D. Francisco Soler, el Conde de Maceda, D. Joseph Bermudez de Castro, D. Roque Antía, D. Antonio Darcourt, D. Tomas Kindelan , D. Juan de Dios Alvarez Ordoño, D. Gabriel Mendizab</t>
  </si>
  <si>
    <t>Ponce, Juan Antonio</t>
  </si>
  <si>
    <t>Juan Antonio Ponce</t>
  </si>
  <si>
    <t>ha servido conferir ei&gt; el regimiento de infantería Inmemorial del Rey Ayudantía al primer Teniente D. Juan Antonio Ponce, y primera Tenencia al segundo Teniente de granaderos D. Juan Azabaí: en el del Príncipe segunda Tenencia al Subteniente de granaderos D. Joseph Edrnandez de la Reguera: en el de</t>
  </si>
  <si>
    <t>Ponce, Julián</t>
  </si>
  <si>
    <t>Julián Ponce</t>
  </si>
  <si>
    <t>... 402. 4, Muerto. Julián Ponce........................ Gregorio, María Canal..... Puebla de.... Sanabria......... g^t. Id. Vicente Rodríguez............................Ana Josefa de Dios. Villamayor... Le</t>
  </si>
  <si>
    <t>Poniatotvski, Príncipe</t>
  </si>
  <si>
    <t>Príncipe Poniatotvski</t>
  </si>
  <si>
    <t>empo en esta capital negociando ciertos intereses á favor de aquel Elector. Berlín iS de Marzo, E i Príncipe Poniatotvski, sobrino del último Rey de Polonia, salió de esta ciudad el dia 14 para Varsovia, en donde ha fixado su residencia. Al despedirse del Rey le nombró S. M. caballero de la orden Rea</t>
  </si>
  <si>
    <t>Pons</t>
  </si>
  <si>
    <t>ierno le ha jubila-? do con una pensión* v Ha publicado el ciud. Lalande que el ciud. Pons, Gonserge del observatorio de Marsella , ha descubierto otro'cometa, por lo qual le ha enviado una gratificación, y desea que: el ministerio le señále otra may</t>
  </si>
  <si>
    <t>Pontes, Cayetano</t>
  </si>
  <si>
    <t>Cayetano Pontes</t>
  </si>
  <si>
    <t>...... 570. 17. id. Cayetano Pontes... Josef, Rosalía López.......... Madrid...... Madrid......... 148. 31. Pa6Ó á Zaragoza. Josef Meodez....................... Francisco, Lucía Pri</t>
  </si>
  <si>
    <t>Popham, Henrique</t>
  </si>
  <si>
    <t>Henrique Popham</t>
  </si>
  <si>
    <t>uta el 4 de Enero. Antes que se hiciese á la vela salip dé aqúel puerto la; expedición mandada ppir Mr. Henrique Popham , que-lléva baxo sus órde.nes,2© h-ombres. Ignorábase su destiño. El gobierno del Cabo despachó algunas personas al interior del pais para hacer descubrimientos; y se .sabe 'que s</t>
  </si>
  <si>
    <t>POR DON FELIX AMAT</t>
  </si>
  <si>
    <t>HISTORIA ECLESIÁSTICA ó TRATADO DE LA IGLESIA DE J. C. POR DON FELIX AMAT, CANONIGO MAGISTRAL r DP LA S. M» I. DE TARRAGONA, Hace tiempo que en España son muy' comunes los deseos de tener una Historia eclesiástica , que por la extensión, estilo y objetos en que m</t>
  </si>
  <si>
    <t>Porcel y Bustamante, Melchor</t>
  </si>
  <si>
    <t>Melchor Porcel y Bustamante</t>
  </si>
  <si>
    <t>ga. A las tierras sitas en término del lugar de Fuencarral, pertenecientes á las memorias que fundó D. Melchor Porcel y Bustamante en el Real oratorio de S. Felipe Neri, r¿ue se anunciaron en la gazeta de 9 del corriente, se ha hecho postura en la cantidad de su tasación $ y por providencia de dicho Sr. Alcalde</t>
  </si>
  <si>
    <t>Porcel, Juan Rafael</t>
  </si>
  <si>
    <t>Juan Rafael Porcel</t>
  </si>
  <si>
    <t>nidad de la metropolitana de Cranada, vacante por fallecimiento de D. Diego de Cárdenas y Vargas, á D. Juan Rafael Porcel, Capellán de La Real capilla de la misma ciudad: para la dignidad de Chantre de la catedral de Calahorra, vacante por promoción de D. Antonio Carrillo al Deanato de la misma igles</t>
  </si>
  <si>
    <t>Porcel, Melchor</t>
  </si>
  <si>
    <t>Melchor Porcel</t>
  </si>
  <si>
    <t>o del lugar de Fuencarral , pertenecientes á la memoria qué fundó 'en el oratorio de S..Felipe Neri D. Melchor Porcel,,y soa; una tierra en layeguilla,de fanegas y 8 celemines, tasada $n 1027 rs.;,</t>
  </si>
  <si>
    <t>·,~S2 D. Melchor Porcel, á las que está hecha postura en la cantidad de su tasacion en Tales Reales. Por mandado del Sr. D. Juan Antonio Santa María, primer Teniente Corregidor de esta villa, se ha manda</t>
  </si>
  <si>
    <t>PorceLá la Abadía de Sta, Juan Rafael</t>
  </si>
  <si>
    <t>Juan Rafael PorceLá la Abadía de Sta</t>
  </si>
  <si>
    <t>Benito ; y para, la Capellanía, Real de la capilla de. Granada , que. ha va-» cado por promoción de D. Juan Rafael PorceLá la Abadía de Sta, Fe, Dignidad de la metropolitana de aquella ciudad , á D. Joseph Carrasco y Malfeyto. En el regimiento de .infantería de Toledo se h,a servido promover S. M. á primer Teniente de</t>
  </si>
  <si>
    <t>Porri, Pedro</t>
  </si>
  <si>
    <t>Pedro Porri</t>
  </si>
  <si>
    <t>Ramírez , D. Joseph Angulo é Idiáquez, D. Raiñpn Trapero y (pabrero, D.’ Tédro feucheli y Carleti, D. Pedro Porri|ta;y Otalora, D. Joseph Andrade y/Cendrera,, p, Julián íacón D.- Antonio Gastón y :Navarrete, D, Francisco Idí aquez y Castro,D. ^eb^stiañ Elisa y Revenga, D. Bartolomé Márquez Pa</t>
  </si>
  <si>
    <t>Porta, Carlos</t>
  </si>
  <si>
    <t>Carlos Porta</t>
  </si>
  <si>
    <t>on Francisco Plasencia; á Subtenientes de granaderos á los primeros Subtenientes D. Carlos Quiroga, D. Carlos Porta y D. Juan Ugartemendia; á primeros Subtenientes á los. segundos D. Eugenio Delgado, D. Francisco Pa-' mies y D. Juan Manuel de Blas, y á segundos Subtenientes al Cadete Don Dionisio d</t>
  </si>
  <si>
    <t>Porta, Santiago</t>
  </si>
  <si>
    <t>Santiago Porta</t>
  </si>
  <si>
    <t>seph Valcarcel; y en el batallón de cazadores Voluntarios de Barbastro á Capitán primero al segundo D. Santiago Porta. También en el regimiento de dragones de Almansa se ha servido S. M. promover á Comandante de esquadron al Sargento mayor del de dragones de Villavicíosa, graduado de Teniente Cor</t>
  </si>
  <si>
    <t>Portalis</t>
  </si>
  <si>
    <t>4 todos los Obispos nombrados por el primer Cónsul le fuéron presentados por el ciud. Portalis. Recibiólos con la mayor distinción ,*- y les encargó muy particularmente empleasen y se sirviesen de la moral para reunir los ánimos, y para que se olviden to</t>
  </si>
  <si>
    <t>Portel, Tomás</t>
  </si>
  <si>
    <t>Tomás Portel</t>
  </si>
  <si>
    <t>uricio de Zúñiga, D. Pedro Bermudez, D. Ramón de Villar, D. Francisco Collell, D. Cárlos Villemont, D. Tomas Portel), D. Nicolás Iberri, D. Manuel Benisia, D. Manuel Cevallos, D. Pedro Fabregues, D. Agustín Ramírez, D. Joseph María Abate , D. Diego García Conde, D* Francisco Frías,-D. Manuel Pa</t>
  </si>
  <si>
    <t>Portillo, Francisco</t>
  </si>
  <si>
    <t>Francisco Portillo</t>
  </si>
  <si>
    <t>Agustín Cabrera, D. Antonio Franchi,D. Rafael de Zuniga, D. Gerónimo Martin Cortés, D. Ramón Bétes, D. Francisco Portillo, D. Tomas Salcedo, D. Fernando Moyano, D. Juan Alabés, D. Juan Macarti, 0. Dionisio Sánchez, D. Joseph Chardenoux, D. Joaquín de la Hoz, D. Mateo Rodrigue?, D. Gervasio Gasea, D.</t>
  </si>
  <si>
    <t>Portón</t>
  </si>
  <si>
    <t>Posadas, Joseph</t>
  </si>
  <si>
    <t>Joseph Posadas</t>
  </si>
  <si>
    <t>ido el Rey promover á Tenientes al Subteniente de granaderos D. Joseph Ochoategui y al de fusileros D. Joseph Posadas; á Subteniente de granaderos al de fusileros D. Mariano González Maldonado, y á Subtenientes á D. Juan Ce</t>
  </si>
  <si>
    <t>Pose Valledor, Bartolomé</t>
  </si>
  <si>
    <t>Bartolomé Pose Valledor</t>
  </si>
  <si>
    <t>an de Vivero y Silva, D. Angel Texeyro y Zafra, D. Joseph María Autran, D. Joseph de Varas Barnóla, D. Bartolomé Pose Valledor, D. Juan Orozco y Herrera, D. Alexo Gutiérrez de Rubalcava, D. Martin Olavidey Andrade,D. Fernando Zambrano,D. Joseph Vertizveria, Don Joaquín Nuñez Falcon, D. Manuel Borroeta y O</t>
  </si>
  <si>
    <t>Pote</t>
  </si>
  <si>
    <t>eles públicos refieren el hecho en estos términosHallábase en su laboratorio el ciud. Pote!, que ha establecido una fabrica para blanquear los lienzos con el gas ácido muriático oxigenado, quando traxéron unas ¿ratas que habían sacado del agua ahogad</t>
  </si>
  <si>
    <t>Potel</t>
  </si>
  <si>
    <t>, que se hablan acogido á un rincón de¿aquel quarto. Llamó esto la atención del ciud. Potel.; cogió las ratas., volvió á ¡ponerlas en estado de verdadera asfixia, repitió la experiencia dd gas., y vló que volvían por decirlo ¿así á resucitar. .Con igu</t>
  </si>
  <si>
    <t>Potocki, Juan (conde)</t>
  </si>
  <si>
    <t>Conde Juan Potocki</t>
  </si>
  <si>
    <t>rmo de - Glocester , ha vuelto aquí pocos dias hace, y se propone salir en breve para Stockolmo. El Conde Juan Potocki, individuo de esta academia de ciencias, bien /conocido entré los sabios por varias obras que ha dado á luz , acaba de publicar una intitulada. „ Historiapriroitiva dé los pueblos</t>
  </si>
  <si>
    <t>Povil, Nicolás</t>
  </si>
  <si>
    <t>Nicolás Povil</t>
  </si>
  <si>
    <t>ines López del Castillo, D. Mariano de Lara,Dori' Manuel Fernandez Cortacero, D. Manuel Barrientos, D. Nicolás Povil, D, Juan de Robles, D, Rafael Seáis, D. Joseph Sotolongo, D. Juan Cirera, D. Joseph de la Cuesta, D. Francisco Quesada, D. Joseph Domeneo ,;D. Joaquín de Rayas?, P. Nicolás Guasco</t>
  </si>
  <si>
    <t>Pówert y Guirát, Ramón</t>
  </si>
  <si>
    <t>Ramón Pówert y Guirát</t>
  </si>
  <si>
    <t>ro :y Pazos , D. Francisco de Paula Michelena, D. Agustín Obándo y Adorrtoy D. Martin Uria y Navea, D. Ramón Pówert y Guirát, D. Jiiari Fernández Aiarcon, D. Joseph González Castañon, D. Francisco García Sala, .D. Ramón Bermudez Valledor, D. Alexandro Boni la y San Juan, D. Juan Uztariz y Valenciano, D.</t>
  </si>
  <si>
    <t>Poyan, Félix</t>
  </si>
  <si>
    <t>Félix Poyan</t>
  </si>
  <si>
    <t>ente Don Francisco Echegaraya; y en el de Nápoles primera Tenencia de granaderos ai primer Teniente D. Félix Poyan. íEn América. El Rey se ha servido nombrar para la Dignidad de Chantre de la metropolitana de Lima, vacante por fallecimiento de D. Joseph Francisco de Arquellada, á D. Domingo La</t>
  </si>
  <si>
    <t>Poza, Antonio</t>
  </si>
  <si>
    <t>Antonio Poza</t>
  </si>
  <si>
    <t>la Vega: arquitectura, á D. Romualdo de Vienta. Segundos premios. Medallas de tres onzas de plata á D. Antonio Poza y: Muñoz ,. y á D. Evaristo Rubian: escultura, á D. Juan Bautista: arquitectura á D. Miguel Antonio Maríchalar. Grabado de estampas.^ Medallade úna onza de oro á D. Manuel Alvaréz M</t>
  </si>
  <si>
    <t>Pqdro López de Arceó</t>
  </si>
  <si>
    <t>y zspatos sin hebilla. Quien tuviere noticia de su paradero la comunicará por el correo á su padre D. Pqdro López de Arceó* uno de los Notarios de asiento del tribunal eclesiástico de Salamanca. Delicias de la religión christiana, ó el poder del Evangelio para hacernos felices : segunda edición correg</t>
  </si>
  <si>
    <t>Pradell y Gurri, Antonio</t>
  </si>
  <si>
    <t>Antonio Pradell y Gurri</t>
  </si>
  <si>
    <t>misma , á D. Andrés Carrias de Santa Cruz: piara otra de la colegial de Calaf, diócesis de Vich, á Don Antonio Pradell y Gurri: para otra de la metropolitana de Zaragoza, vacante por fallecimiento de D. Ignacio de Barrenechea, Marques del Puerto, á D. Manuel Justo de Giiemes, Canónigo Doctoral del Real si</t>
  </si>
  <si>
    <t>Pradillo Botija, Manuel</t>
  </si>
  <si>
    <t>Manuel Pradillo Botija</t>
  </si>
  <si>
    <t>o , Regente de la Real jurisdicción de la villa de Cien pozuelos, por ante su Escribano del número 'D. Manuel Pradillo Botija, se ha mandado citar y emplazar los’acreedores á la testamentaría de D. Sebastian García de Yebra, Alcalde mayor que fué de dicha villa, para que en el término de 30 dias perentor</t>
  </si>
  <si>
    <t>Prat y Colomer, Juan</t>
  </si>
  <si>
    <t>Juan Prat y Colomer</t>
  </si>
  <si>
    <t>servido nombrar para el Corregimiento de letras de la ciudad de Tarazona, en el Reyno de Aragón, á D. Juan Prat y Colomer: para la Alcaldía mayor de Castellón de la Plana, en el Reyno de Valencia, á D. Juan Mateo Fernandez de Moros; y para la de Puigcerdá, en Cataluña, á D. Tadeo Rico. Respecto de no</t>
  </si>
  <si>
    <t>Preboste, Lord</t>
  </si>
  <si>
    <t>Lord Preboste</t>
  </si>
  <si>
    <t>ei corriente por la tarde en la rada de Sta. Elena. * En una-asamblea celebrada ei Edimburgo por el Lord Preboste, por los Magistrados y el Consejo, se acordó erigir estatua á Mr. Dundas, y colocarla en una de las plazas de aquella ciudad, y para ello se abrió inmediatamente una subscripción.</t>
  </si>
  <si>
    <t>Prefecto</t>
  </si>
  <si>
    <t>e afligiéron. á la República ,*y Los males que de ellos dimanaban. Sin embargo, ciudadano Prefecto, no/tardarían en renovarse estos disturbios y estos males si la ley7 de los cultos fuese mal entendida ó mal executada; y es de vuestra'Inspección enterarme dé</t>
  </si>
  <si>
    <t>el Ministro de lo Interior la siguiente circular á los Prefectos: ,,Os envió j ciud. Prefecto, el senado-consulto que proclama la voluntad del pueblo francés. Haréis que se publique solemnemente en toda ,1a extensión. de vuestro departamento el ij de Ag</t>
  </si>
  <si>
    <t>Prenderte</t>
  </si>
  <si>
    <t>plimiento de las leyes es el principal apoyo de los estados. En. quanto á vos , ciud. Prenderte, colocado por vuestras luces y vuestro empléo á la cabeza de los tribunales, os corresponde conservar en ellos los principios.que os animan, y las virtudes de</t>
  </si>
  <si>
    <t>Presidente Bonaparte</t>
  </si>
  <si>
    <t>n la nueva constitución. .Milán 8 de Marzo. S e ha publicado hoy un decreto del Presidente Bonaparte , dado en París á 24 de Febrero, por el qual nombra para Ministro de lo Inferior al ciad. Vida, individuo del Consejo legislativo , y para Ministro de (íuerra</t>
  </si>
  <si>
    <t>evolencia y de la amistad que reyna entre las dos naciones. Por disposición del Presidente Bonaparte se ha reducido á 1.800© francos la suma de 2.700,;oo que esta República pagaba mensualmente para mantener las tropas francesas : de modo que el mes que viene n</t>
  </si>
  <si>
    <t>ica* italiana! del limo». Sr. Oppixoni¿ nombrado Arzobispo.) de Bolonia porréii Presidente Bonaparte. Asistieron á&lt; esta ceremonia- la ■ Consulta dé Estado ,: Jos - Ministros y el Consejo v executivo. EL joramentp estoba: concebido enesto» términos. „Yo N. Opp</t>
  </si>
  <si>
    <t>Presidente Melzi</t>
  </si>
  <si>
    <t>del gobierno de la República cisalpina regalo eí General en xefe Murat al VÍce-Presidente Melzi un precioso sable y dos. pares de pistolas igualmente ricas, dé la fábrica de Versálles. _ r El nuevo Consejo legislativo se ha dividido en un número de juntas</t>
  </si>
  <si>
    <t>. Con motivo de la instalación del gobierno constitucional, ha regalado el vice-Presidente Melzi una preciosa caxa guarnecida de diamantes al General Charpentier , xefe de la plana mayor del exército, y ha hecho otros regalos igualmente ricos al General Br</t>
  </si>
  <si>
    <t>gastos de la parte del camino del Simplón que pasa por este territorio. El Vice-Presidente Melzi ha dado de su bolsillo 8© libras para socorrer á los pobres enfermos del hospital de Verona. í Niza ¿de Junio. P ara librarse de los piratas berberiscos que cr</t>
  </si>
  <si>
    <t>Presidente Melzi de Eril</t>
  </si>
  <si>
    <t>juntó en la plaza mayor y sus alrededores. A medio dia salió de su casa el Vice-Presidente Melzi de Eril para el palacio nacional, en donde estaban reunidos la Consulta de Estado, el Consejo legislativo, la antigua Consulta legislativa, y la Junta del gobierno int</t>
  </si>
  <si>
    <t>Presidente Mr</t>
  </si>
  <si>
    <t>el Congreso recibiéron el 27'del mes último el s¡gu¡ea~ te mensage Üe parte del Presidente Mr. Jefferson: ,, Señores del .Senado y de la Cámara de Representantes. Como los Comisarios nombradas para .asegurar el cumplimiento del artículo 6.° del tratado</t>
  </si>
  <si>
    <t>Pressavin</t>
  </si>
  <si>
    <t>tas. Arte de conservar la salud y prolongar la vida', ó tratado de hygiene , escrito én francés por Mr. Pressavin , y' traducido al castellano. Esta obra presienta á los profesores de medicina y cirugía un curso completo de hygiene., donde se refunden ideas luminosas dé física, fisiología y p</t>
  </si>
  <si>
    <t>Priego, Francisco</t>
  </si>
  <si>
    <t>Francisco Priego</t>
  </si>
  <si>
    <t>eniente de granaderos ai de fusileros D. Vicente Ruiz, y á primer Teniente al segando de granaderos D. Francisco Priego: en el de Granada á segundos Subtenientes á ios Cadetes D. Pedro María Martin y D. Joseph. de- ia Pena; y en el de Aragón, á primer Teniente al segundo de granadero® I). Antonio Z</t>
  </si>
  <si>
    <t>Prieto del Campillo, Joseph María</t>
  </si>
  <si>
    <t>Joseph María Prieto del Campillo</t>
  </si>
  <si>
    <t>n de Sierra: igual empleo en el regimiento dé infantería de Voluntarios de Cartagena al Subteniente D. Joseph María Prieto del Campillo i y Subtenencia de bandera á D. Juan Merino Gómez. Igualmente se ha servido el Rey promover en el regimiento de infantería de Milicias de Voluntarios de Santa Marta á Tenientes á</t>
  </si>
  <si>
    <t>Prieto Mendez de Llanos, Juan</t>
  </si>
  <si>
    <t>Juan Prieto Mendez de Llanos</t>
  </si>
  <si>
    <t>egio de Sancti Spiritus de la ciudad de Santiago, vacante por muerte de D* Gaspar Goyos Saavedra, á D. Juan Prieto Mendez de Llanos , Capellán del segundo batallón del regimiento de infantería de Burgos: para .el empleo de Administrador del colegio de Santa Isabel de Madrid, vacante por dimisión que ha hecho d</t>
  </si>
  <si>
    <t>Prieto Solares, Benito</t>
  </si>
  <si>
    <t>Benito Prieto Solares</t>
  </si>
  <si>
    <t>uía y Guevara, D. Joseph Achaval y Orueta, D. Pedro Ballesteros y Patino, Don Pedro Afán de Rivera, D. Benito Prieto Solares, D. Josepn Zuaznavar y Francia, D. Joseph Julián Jovani, D. Luis Moreno y Mendoza, D. Franf cisco Basurto y Vargas, D. Joseph de lá Azuela, P. Antonio Castaños, D. Ignacio Acedo,</t>
  </si>
  <si>
    <t>Prieto, Pedro Manuel</t>
  </si>
  <si>
    <t>Pedro Manuel Prieto</t>
  </si>
  <si>
    <t>en el convento de Carmelitas calzadas de Santa Ana de Sevilla , dixo el Dr. D. Pedro Manuel Prieto, Canónigo Magistral de aquella santa iglesia ,.y. la da á luz D. Francisco de Paula Caamafio, sobrino del difunto. Se .hallará á 4.rs. en las librerías de Ramos, calle de-las Carretas y car</t>
  </si>
  <si>
    <t>Primo de Ribera, Manuel</t>
  </si>
  <si>
    <t>Manuel Primo de Ribera</t>
  </si>
  <si>
    <t>r, D. Joseph Salazar: jr. Ayendelagua, D. Ma-, nuel Abreu y Orta, D. Ignacio del Valle y ¡Máttmon , D. Manuel Primo de Ribera , D. Joseph de Santiago; y.García, D. Manuel de Clemente y&gt; Miro, D. Joaquín Fernandez Chicarrón . Bernardo Metvendano, Don:</t>
  </si>
  <si>
    <t>Primo de Rivera, Joseph</t>
  </si>
  <si>
    <t>Joseph Primo de Rivera</t>
  </si>
  <si>
    <t>Pery, D. Joseph Mendivil y Castañeda, Don Antonio Saavedra y Jofre, D. Vicente Valcarcel y Qconri, D. Joseph Primo de Rivera, D. Salvador Ortuño-y Castañon , D. Antonio Villaviqencio, D. Joseph Delgado y Guerra, D. Joaquín Mioño y Quevedo, Don Diego Ponce dé León, D. Rufino Torrcntcgui, D. Nicolás Rubín</t>
  </si>
  <si>
    <t>Prina</t>
  </si>
  <si>
    <t>abrazó. Toda la Consulta celebró mucho esta señal indeliberada de su afecto. El ciud. Prina pronunció un breve discurso dirigido á probar las fundadas esperanzas de que la constitución produzca la prosperidad y grandeza de la República: ,,Si la mano,</t>
  </si>
  <si>
    <t>Príncipe de Isenburgo, General</t>
  </si>
  <si>
    <t>General Príncipe de Isenburgo</t>
  </si>
  <si>
    <t>, y cuyo motiyó se ignora. La toma de posesión del.obispado de Wurzburgo por el cuerpo que manda el General Príncipe de Isenburgo, se executó con el mejor orden y sin ninguna resistencia dé los habitantes , lo qual en parte se debe al Obispo de aquélla ciudad, que pocoántes ajustó con la corte de Munich un c</t>
  </si>
  <si>
    <t>Príncipe de Termine, Teniente General</t>
  </si>
  <si>
    <t>Teniente General Príncipe de Termine</t>
  </si>
  <si>
    <t>onfesarlo , jamas lo hvbiérais sabido por nú.** Setitlin 7 de Agesto. H=.a llegado á esta ciudad el Teniente General Príncipe de Termine , y de aquí pasó á Belgrado , én donde estuvo dos dias visitando las obras de aquella plaza, cuyo Gobernador le recibió con la mayor atención. Dícese que ha sido .rechazado con mu</t>
  </si>
  <si>
    <t>Príncipe'Guillermo Federico</t>
  </si>
  <si>
    <t>Conde de Goertz y el Barón de Albinia A Carlsruhe $ de Noviembre. S . A. S. el Príncipe'Guillermo Federico, hijo de S. A. S. el Duque rey*sante de Brunswick, llegó aquí él 30 de Octubre. Desaé 12 de Junio del año último estaba ajustado' su matrimonio con la Sermá. Princesa María Isabel de Ba</t>
  </si>
  <si>
    <t>Profeta Mehmed Mustafá</t>
  </si>
  <si>
    <t>Califas, asistido con las maravillas universalmente saludables de nuestro gran Profeta Mehmed Mustafá, ministro del Profeta, conductor de las personas santas y de los soles de los dos mundos (que la mayor bendición le alcance á él y á los que le acompañen): Yo que Soy servidor y señor de la</t>
  </si>
  <si>
    <t>Próspero Villalonga, Nicolás</t>
  </si>
  <si>
    <t>Nicolás Próspero Villalonga</t>
  </si>
  <si>
    <t>Ms cion de la catedral de Cuenca, vacante por fallecimiento de D. Nicolás Próspero Villalonga, á D. Cipriano Castellano Cabrejano: para una Ración de Maestro de-Ceremonias de la catedral de Ibiza, vacante por muerte de D. Francisco Aquenza, &gt;á De Francisco Blancher: para u</t>
  </si>
  <si>
    <t>Proust, Luis</t>
  </si>
  <si>
    <t>Luis Proust</t>
  </si>
  <si>
    <t>han escogido los dias que alternan con los destinados á las lecciones de química que da el profesor D. Luis Proust, y horas diferentes de las señalada:s para la enseñanza de la física experimental en los Reales estudios de s„isidro.: ; . El Consejo, á consulta de lá Comisión gubernativa dé:con</t>
  </si>
  <si>
    <t>Proust, Luís</t>
  </si>
  <si>
    <t>Luís Proust</t>
  </si>
  <si>
    <t>de química, que da eu el Real estudio de esta ciencia establecido en la calle del Turco el profesor D. Luís Proust, piincipiarán el juéves 2 de Diciembre próximo, y se continuarán los martes, juéves.y sábados de cada semana, á excepción de los dias festivos. Empezarán las lecciones á las 11 en</t>
  </si>
  <si>
    <t>Prudencio</t>
  </si>
  <si>
    <t>Br ■Barquero de Godóy; y parí una Media^Racicm de ja catedral de^Valládolid, vacante"’por muerte de D. Prudencio‘Lope* Morón , á D. Metchpr Chacel de Soto.5 ’ &lt;rt t r. - j míí- i i- t &lt; 3 o* ’ cRl R ey? te bá Séiryíáb éonferir el empleo Be segundo Teníente dé la Real compañía de Alábátdéroí</t>
  </si>
  <si>
    <t>Puche y Cote, Manuel</t>
  </si>
  <si>
    <t>Manuel Puche y Cote</t>
  </si>
  <si>
    <t>González&lt; en el del Príncipe á Portaestandarte al Cadete del de Carabineros de la Reyna María Luisa D. Manuel Puche y Cote: en el de España á Alférez al Portaestandarte D. Juan Cruz de Ilzarve; y en el de Voluntarios de España á Capitán al Ayudante D. Joseph de Roxas, Marques de Alventos ; á primer Te</t>
  </si>
  <si>
    <t>Puertolas, Joaquín</t>
  </si>
  <si>
    <t>Joaquín Puertolas</t>
  </si>
  <si>
    <t>D. Ramón Varela ¿ D. Melchor Magrat, Don Antonio Laprieta, D. Francisco Ezpeleta, D. Juan Albérni, D. Joaquín Puertolas, D, Vicente Pinzón, D. Félix Muñoz, D. Gines Albadalejos . D. Juan Pelayo Sánchez', D. Joseph María Crespo , D. Bartolomé Reselló, D. Miguel Valcarcel, D. Martin de la Carrera^ D.</t>
  </si>
  <si>
    <t>Puig de Samper, Joseph María</t>
  </si>
  <si>
    <t>Joseph María Puig de Samper</t>
  </si>
  <si>
    <t>criminal , pronunciado en la Real Chanciüería de Granada el dia 2 de Enero de 1801 por el limo. Sr. D. Joseph María Puig de Samper , Presidente de la misma Chancillería. =£= Oración inaugural sobre los deberes del maestro de primera educación, que D. Joseph Closa, director primero del colegio Real académico d</t>
  </si>
  <si>
    <t>Puig, Gerónimo</t>
  </si>
  <si>
    <t>Gerónimo Puig</t>
  </si>
  <si>
    <t>Asimismo se ha servido promover el Rey 'á Sargento mayor del regí¿ miento de Húsares Voluntarios á D. Gerónimo Puig, Capitán del de Ganadores de Sagunto. ; ’ É11 América. El Rey se ha servido nombrar para la Canongía Docto** ral de la metropolitana de Lima, vacante por fallecimiento de D. Tomas</t>
  </si>
  <si>
    <t>Puig, Santiago</t>
  </si>
  <si>
    <t>Santiago Puig</t>
  </si>
  <si>
    <t>juéves y sábados de cada semana á la misma hora. El medico del hospital de la Latina de esta corte, D. Santiago Puig&gt; deseoso dei bien de sus semejantes , y de los adelantamientos médicos fundados en propia experiencia, á solicitud y condescendencia de los Excmos. Sres. Condes de Bornos consigui</t>
  </si>
  <si>
    <t>Mendizabal, D. Ignacio Martinez Vallejo, D. Matías Piriz, D. Pedro Baylin, D. Bartolomé de Castro, D. Santiago Puig, Don Francisco Cortabarria, D. Antonio Maestre, D. Fernando Manuel de Villena, el Vizconde de Zolina, D. Juan Maduit, D. Juan O-Donojú y O-Rian, D. Joseph Valmaseda, D. Manuel Riz</t>
  </si>
  <si>
    <t>PuigduÜes, Manuel</t>
  </si>
  <si>
    <t>Manuel PuigduÜes</t>
  </si>
  <si>
    <t>Angeles de la villa de San Celoni, diócesis de Barcelona, vacante por muerte de D. Gerónimo Bes, á D. Manuel PuigduÜes/. para otro Beneficio de Parentela, vacante en ia parroquia de S. Pedro de las Fuellas de la ciudad de Barcelona por fallecimiento de D. Manuel Ríu, á D. Pedro Riu y Font : pará o</t>
  </si>
  <si>
    <t>Pulpon, Juan</t>
  </si>
  <si>
    <t>Juan Pulpon</t>
  </si>
  <si>
    <t>73* u. Id. Juan Pulpon.......................... Josef, se ignora la madre.. Tarancon.... Ocaña.......... r. 7- Licenciado. Ignacio Rodríguez............... Christóbal,Gabriela Capote. Ónz</t>
  </si>
  <si>
    <t>Pupazo, Matías</t>
  </si>
  <si>
    <t>Matías Pupazo</t>
  </si>
  <si>
    <t>..... 80. ... Id. Matías Pupazo.................... Matías, Francisca Ribas... S. Mamed.... Fefiñanes.... 246. 18. Id. Juan Couña go....... ............. Melchor,-Aldalucia Bolado. Rebo</t>
  </si>
  <si>
    <t>Pus, Manuel María</t>
  </si>
  <si>
    <t>Manuel María Pus</t>
  </si>
  <si>
    <t>t, D. Juan Martí Mofa, D. Alonso Morales, D. Nicolás de Mora, D. Fermín Roméo, D. Francisco Merino, D. Manuel María Pus* terla, D. Francisco Ayóla, D. Juan Tarrius, D. Manuel de Miedes, Don Francisco Dionisio Vives, D. Joseph Canellas, D. Joseph García Orozco, D. Joaquín Regnart y Pont, D. Domingo</t>
  </si>
  <si>
    <t>Pyman</t>
  </si>
  <si>
    <t>everen, Presidente del Poder executivo, le reemplaza en este eminente puesto el ciud. Pyman, ai qual con este motivo han cumplimentado los Ministros extrangeros , los oficiales de la guarnición y otras personas. El número de buques que entraron en el</t>
  </si>
  <si>
    <t>Qttixano, Joseph</t>
  </si>
  <si>
    <t>Joseph Qttixano</t>
  </si>
  <si>
    <t>onsejos y del Colegio de Madrid: para otva de la Audiencia de Santa Fe,vacante por fallecimiento de D. Joseph Qttixano , Conde de Torrevelarde, á D. Joseph 31a:zo y Rerri , Abogado de los Reales Consejos ; y para la Fiscalía de lo Civil y criminal de la Audiencia de Caracas, vacante por muerte de</t>
  </si>
  <si>
    <t>Qualtiiin</t>
  </si>
  <si>
    <t>l qual le reemplazará Mr. de Brockhausen, que tiene igual destino en Dresde, adonde irá en su lugar Mr. Qualtiiin. Dícese también que el Marques de. Luchesini pasará de París á Londres; y que el Barón de JacobiJClost ocupará su lugar cerca del gobierno francés. Créese generalmente que las neg</t>
  </si>
  <si>
    <t>Quarin</t>
  </si>
  <si>
    <t>merías que se habían prohibido por aquel Soberano. Francfort 18 de Junio. E scriben de Viena que el Dr. Quarin, primer médico de aquella corté, ha ido con la mayor priesa á Presburgo para asistir al Archiduque Cárlos, que ha caído gravemente enfermo. « Según muchas gazetas alemanas las neg</t>
  </si>
  <si>
    <t>Quarini</t>
  </si>
  <si>
    <t>mperial se habian transferido á la propia-ciudad los dias xoy.n. La Reyna de Nápoles ha regalado ai Dr. Quarini, su médico, una prer cibsa caxa adornada con la cifra de S. M. hecha de diamantes. En lá gazeta de la corte del dia 12 se ha publicado tina ordenanza del Emperador, según la qual</t>
  </si>
  <si>
    <t>Quarte, Tomás</t>
  </si>
  <si>
    <t>Tomás Quarte</t>
  </si>
  <si>
    <t>n 17$ y la otra en *o,$Oors. conva* liaa coadicioaes : el que quieta hacer mejora acuc&amp; ante el Sr. D. Tomas Quarte*» ro de Bona, Consejero togado en el Real y supremo de la Guerra, por escribanía decámaradel mismo tribunal, dentro del término de 30 dias, contados des'^dá^i^'ideíico^éáte,.': .</t>
  </si>
  <si>
    <t>Quartero de Bona, Tomás</t>
  </si>
  <si>
    <t>Tomás Quartero de Bona</t>
  </si>
  <si>
    <t>tengan justificados sus créditos, acudirán á practicarlo dentro del término de 13 dias ante el Sr. D. Tomas Quartero de Bona, del Consejo de S. M., su Ministro togado en el supremo de la Guerra, y Juez interventor de los bienes y rentas de S. JÉ., por la escribanía di Cámara de dicho supremo Tribunal, p</t>
  </si>
  <si>
    <t>en de Alcántara,.dé que es Comendador el Excmo. Sr. Conde dé Glimes de Brabante , acuda ante el Sr. D. Tomas Quartero de Bona , del Copsejo de S. M., su Ministro Togado en el supremo de la Guerra , Juez comisionado, y por la escribanía de cámara de dicho supremo Tribunal, y admitirá las mejoras que hicie</t>
  </si>
  <si>
    <t>Quentin</t>
  </si>
  <si>
    <t>no estuvo empleado en las dos últimas campanas, no sirve ya á la República. Los ciudadanos Quentin , Beauvert y Poligny acaban de embarcarse. Ei Xefe de brigada Catoire, que habia sido especialmente nombrado por el General en xefe, y se hallaba en el exércit</t>
  </si>
  <si>
    <t>Quer y Villaró, Antonio</t>
  </si>
  <si>
    <t>Antonio Quer y Villaró</t>
  </si>
  <si>
    <t>D. Juan Antonio Bringas López de Sagredo, Alcalde mayor de aquella ciudad; del Crimen de Sevilla á D. Antonio Quer y Villaró, Alcalde mayor de Córdoba; á D. Joseph Joaquín de Santa María, Alcalde mayor de Ecija, y á D.Antonio Rodríguez de Rivera, Teniente primero de Asistente de la misma ciudad de Sevil</t>
  </si>
  <si>
    <t>Querejazu, Matías</t>
  </si>
  <si>
    <t>Matías Querejazu</t>
  </si>
  <si>
    <t>propia iglesia: para la Tesorería al Canónigo D. Ignacio de Albarado: para la Canongía al Racionero D. Matías Querejazu; y para la Ración al Medio-Racionero D. Pedro Nolasco de Toro y Albarado. El dia 20 de Febrero falleció en esta corte, á los años de edad , el Exc. Sr. D. Francisco Gragera, Tenie</t>
  </si>
  <si>
    <t>Quesada, Francisco</t>
  </si>
  <si>
    <t>Francisco Quesada</t>
  </si>
  <si>
    <t>l, D, Juan de Robles, D, Rafael Seáis, D. Joseph Sotolongo, D. Juan Cirera, D. Joseph de la Cuesta, D. Francisco Quesada, D. Joseph Domeneo ,;D. Joaquín de Rayas?, P. Nicolás Guascoñi, D. Mariano Vives, Don Juan de la Garma j D. Miguel Plowes, D. Marcos Funguion, D. Bernardo■ Tacón, D. Joseph Tacón,</t>
  </si>
  <si>
    <t>Quevedo y Cheza, Joseph</t>
  </si>
  <si>
    <t>Joseph Quevedo y Cheza</t>
  </si>
  <si>
    <t>edro Saenz de la Guardia, D. Salvador del Castillo, D. Joaquín Rodríguez de Ribera, D. Juan Topete, D. Joseph Quevedo y Cheza, D. Lino Truxiilo y Tacón, D. Antonio Miralles, D. Luis María de Salazar, D. Miguel Gastón y Navarrete, D. Antonio de la Torre Puebla, Don Francisco de Castro Navarro, D. Joaquín</t>
  </si>
  <si>
    <t>Quevedo, Pedro</t>
  </si>
  <si>
    <t>Pedro Quevedo</t>
  </si>
  <si>
    <t>ustín Ramírez, D. Joseph María Abate , D. Diego García Conde, D* Francisco Frías,-D. Manuel Pastor, D. Pedro Quevedo, Don Juan de Villanueva, D. Domingo.de Aragón , D. Andrés Ximenez, Doti Tomas de Figueroa, D. Juan Francisco Sánchez, D. Juan Sayers, D. Ignacio Guarda, D. Joseph ParboyD. Pedro J</t>
  </si>
  <si>
    <t>Quevedos, Joseph</t>
  </si>
  <si>
    <t>Joseph Quevedos</t>
  </si>
  <si>
    <t>te Reyna ,'D. Fernando AgniWe, D^Fernando Gabriel, Don Ramón Lope, D. Juan Camargo, D. Juan Martes, D. Joseph Quevedos</t>
  </si>
  <si>
    <t>Quimper, Manuel</t>
  </si>
  <si>
    <t>Manuel Quimper</t>
  </si>
  <si>
    <t>Reales caxas de Veracruz, Guanaxuato, Pachuca, Acapulco y Bolarños, en el Rey no de Nueva España, á D. Manuel Quimper, D. Francisco Rocha, D. Juan González Ferino, D. Joseph Girai de órame y Don Antonio Cumulat. Continuación del tratado de paz con S. M. Británica. Siguen las estipulaciones concer</t>
  </si>
  <si>
    <t>Quintana, Joseph</t>
  </si>
  <si>
    <t>Joseph Quintana</t>
  </si>
  <si>
    <t>oldo Menendez, D. Joseph de Munive y D. Ramón de Zuloaga. Ln múrica vocal, al cargo de sus maestros D. Joseph Quintana y D. Joseph Soto, los seminaristas D. Toribio Olalde, D. Joachín del Rio, D. Luis Verganza, D. Joseph de Eíquivel , D. Iñigo Ortés , Don Blas de Lezo, D. Leopoldo Menendez y D. Ignaci</t>
  </si>
  <si>
    <t>el regimiento de Reales Guardias Españolas se ha servido promover el Rey á Alféreces á los Cadetes D. Joseph Quintana» D. Francisco Santa María y D. Antonio María Moxó. Los botánicos de la expedición del Pera acaban de recibir por el Ministerio de Gracia y Justicia de Indias cinco caxones de prod</t>
  </si>
  <si>
    <t>Quintana, Manuel Joseph</t>
  </si>
  <si>
    <t>Manuel Joseph Quintana</t>
  </si>
  <si>
    <t>nte al hospital de las muge res, quarto baxo , la enviaran con la posible, brevedad. - . Poesías de D. Manuel Joseph Quintana: un tomo en 8.°, impreso con todo es-, mero en la imprenta Real. Véndese á 10 rs. en rústica en las librerías de Casti— lio, frente á S. Felipe el Real-y de Gómez , calle de las C</t>
  </si>
  <si>
    <t>Quintanilla, Juan</t>
  </si>
  <si>
    <t>Juan Quintanilla</t>
  </si>
  <si>
    <t>ibernia D, Ramón Alberto Brandis: en el de Borbon á segundo Subteniente al Cadete del íixo de Ceuta D. Juan Quintanilla; y ha conferido el empleo de Teniente Coronel del regimiento de infantería Suizo de Courten al Capitán primero del misino cuerpo D. Carlos de Preux. El Rey se ha servido conferir</t>
  </si>
  <si>
    <t>Quintero, Luis</t>
  </si>
  <si>
    <t>Luis Quintero</t>
  </si>
  <si>
    <t>se al Subteniente de granaderos D. Sebastian Garcini: en el de Toledo á Ayudante al primer Teniente D. Luis Quintero, y á segundo Teniente de granaderos al de fusileros D. Juan Estepa: en el de León á Sargento Mayor al Teniente Coronel D. Joseph María de Carbajal, Capitán de granaderos del regim</t>
  </si>
  <si>
    <t>Quintian Ponte y Andrade, Andrés</t>
  </si>
  <si>
    <t>Andrés Quintian Ponte y Andrade</t>
  </si>
  <si>
    <t>la santa iglesia de la Concepción de Chile, vacante por fallecimiento de D.Juan Manuel Mardones, á D. Andrés Quintian Ponte y Andrade, Canónigo Magistral de la misma iglesia: para una Media-Ración de la metropolitana de Lima, vacante por ascenso de D. Pedro Tadeo Bravo de Rivero á Ración de dicha iglesia, á D. J</t>
  </si>
  <si>
    <t>Quiroga y Cornide, Manuel</t>
  </si>
  <si>
    <t>Manuel Quiroga y Cornide</t>
  </si>
  <si>
    <t>D. Francisco González de la Vega, D. Joseph Antonio de Terán, D. Vicente Vázquez, Don Juan Vázquez, D. Manuel Quiroga y Cornide, D. Gonzalo4H¿1 Lema, D. Xavier García Flores, D. Rosendo Abal, D. Juan Joseph. Navajas, D. Juan Patricio Rodríguez, D. Joseph Benito Romero, D. Joaquín de Ponte, D. Joseph Molina</t>
  </si>
  <si>
    <t>Quiroga, Carlos</t>
  </si>
  <si>
    <t>Carlos Quiroga</t>
  </si>
  <si>
    <t>Antonio Fortun y Don Francisco Plasencia; á Subtenientes de granaderos á los primeros Subtenientes D. Carlos Quiroga, D. Carlos Porta y D. Juan Ugartemendia; á primeros Subtenientes á los. segundos D. Eugenio Delgado, D. Francisco Pa-' mies y D. Juan Manuel de Blas, y á segundos Subtenientes al</t>
  </si>
  <si>
    <t>te al segundo de granaderos D. Salvador de Molina,y á segundo Teniente al Subteniente de granaderos D. Carlos Quiroga: en el de Guadalaxara á segundo Teniente al primer Subteniente D. Antonio Peña : en el de Burgos á primer Teniente al segundo de granaderos D. Ramón León de Albéar-en el de Asturi</t>
  </si>
  <si>
    <t>Quirós, Antonio</t>
  </si>
  <si>
    <t>Antonio Quirós</t>
  </si>
  <si>
    <t>undadase p, Francisco Mancha, D. Antonio Delgado, í&gt;.; Jóseph Cardona7, JX Francisca Mantener .gro, D. Antonio Quirós, D. Josepn Villavicencio y IX Luis Goqneíin; y en la tercera D. Antonio Letoná y - D. Joseph Ducascar. A los det estas ^^^P^^^^O ^P^ ^ ^ci^fentp^é.se esnéStífca^e su ap^ar cion,y</t>
  </si>
  <si>
    <t>QuiutanKla, Carlos</t>
  </si>
  <si>
    <t>Carlos QuiutanKla</t>
  </si>
  <si>
    <t>i^3- 3*. Id. Cárlos QuiutanKla.............. Antonio, María Calvito... Villamaiían.. León............ 63. 22. Id. Manuel Polo........................Santiago,Tomasa Borregue-</t>
  </si>
  <si>
    <t>Quixano, Joseph María</t>
  </si>
  <si>
    <t>Joseph María Quixano</t>
  </si>
  <si>
    <t>ntonio Valdes: para la plaza de Oficial 3.0 de la misma á D. Simón Berdié: para la de 4.0 de ella á D. Joseph María Quixano: para Guarda de la propia Administración á* D. Albino Marquina y Astudillo: para Administrador del partido de Ixmiquilpan, de la misma Renta, á D. Joseph Fernandez Salvador: para</t>
  </si>
  <si>
    <t>Quixote de la Mancha</t>
  </si>
  <si>
    <t>goza en la de Monge y en Búrgos en la de Revilla : puede remitirse por el correo. Carta escrita por D. Quixote de la Mancha á un pariente suyo, en que le hace saber varias cosas necesarias para la perfecta inteligencia de su historia: dala al público un paisano y apasionado de ambos. Se hallará á 2 rs.</t>
  </si>
  <si>
    <t>Qutierrez Bueno, Pedro</t>
  </si>
  <si>
    <t>Pedro Qutierrez Bueno</t>
  </si>
  <si>
    <t>on tin discur-;, so .^iie algunos dias intesi les había encabado combinas antiguos í su catedrátioo D. Pedro Qutierrez Bueno. Diéron una patioia breve de las épocas&gt; principales de la historia de la chímica, haciendo. reflexiones sobre los obstáculos que han detenido el curso de esta ciencia, las causas</t>
  </si>
  <si>
    <t>Rademacher</t>
  </si>
  <si>
    <t>nión. Entre tanto empiezan á presentarse nuevos tecur-* sos contra el nuevo plan. Ha . llegado aquí Mr. Rademacher, Canciller del Príncipe Obispo de Passau; y parece, que ha entregado una representación pidiendo que no se separe Ul suerte de la ciudad de Passau de: la que tuviere la mayor part</t>
  </si>
  <si>
    <t>Rafen</t>
  </si>
  <si>
    <t>ciencias que tienen relación con el estudio de la naturaleza. Uno de los vocales de dicha junta es Mr. Rafen, autor de la Flora danica, obra muy estimada de ios sabios. También ha dirigido el gobierno una circular á los médicos y cirujanos encargándoles recopilen y comuniquen todas las o</t>
  </si>
  <si>
    <t>Rafols, Antonio</t>
  </si>
  <si>
    <t>Antonio Rafols</t>
  </si>
  <si>
    <t>e se rebate el abuso de terminar universalmente los tonos menores en tercera mayor. Obra en 4.0 por D. Antonio Rafols, presbítero beneficiado, violin primero derla santa iglesia de Tarragona. Se hallará en la librería de Dávila, en Barcelona en la de Piferrer, y en Tarragona en la tienda de Juan</t>
  </si>
  <si>
    <t>Rafols, Francisco Ignacio</t>
  </si>
  <si>
    <t>Francisco Ignacio Rafols</t>
  </si>
  <si>
    <t>ro Miguel Alvarez de Perea, D/Manuel Laguna y Moscoso, él Marques del Risco, D. Eugenio Duvermeill, D. Francisco Ignacio Rafols, D. Francisco Nuñez Robles, D. Francisco Nuñez * Don Gaspar Pascual de Bonanza, D. Juan la Carte, P. Rodrigo Moscoso, Pon Benito San Juan, y D. Juan Alvarez.</t>
  </si>
  <si>
    <t>Raineval</t>
  </si>
  <si>
    <t>algunos dias á esta parte el Príncipe Real. Ha salido de aquí á Petersburgo el ciud. Raineval, secretario de esta embaxada francesa. En el discurso del año último pasaron por el canal y las exclusas de Trollhaettan 1380 embarcaciones, con gran cantidad</t>
  </si>
  <si>
    <t>Raiñpn Trapero</t>
  </si>
  <si>
    <t>. Francisco Feruandez de Miran?* qa ,/Di FranciS|cqrIJÍioa y Ramírez , D. Joseph Angulo é Idiáquez, D. Raiñpn Trapero y (pabrero, D.’ Tédro feucheli y Carleti, D. Pedro Porri|ta;y Otalora, D. Joseph Andrade y/Cendrera,, p, Julián íacón D.- Antonio Gastón y :Navarrete, D, Francisco Idí aquez y Castr</t>
  </si>
  <si>
    <t>Ramírez de Arellano, Joaquín</t>
  </si>
  <si>
    <t>Joaquín Ramírez de Arellano</t>
  </si>
  <si>
    <t>Valcarcel, D. Antonio Bobadi!la|y Ángulo, D. Miguel Martínez y Montes, D. Luis Lasqueti y Gal vez, D. Joaquín Ramírez de Arellano* Don Ignacio Munive, D. Juan de Latre y Aissa, D. Tomas Urrecha y Assua, D. Ramón de Móyua y Mazarredo, D. Francisco Tamayo y Reynalte, D. Joseph Carássa y Figueroa, D. Francisco</t>
  </si>
  <si>
    <t>Ramírez, Agustín</t>
  </si>
  <si>
    <t>Agustín Ramírez</t>
  </si>
  <si>
    <t>nt, D. Tomas Portel), D. Nicolás Iberri, D. Manuel Benisia, D. Manuel Cevallos, D. Pedro Fabregues, D. Agustín Ramírez, D. Joseph María Abate , D. Diego García Conde, D* Francisco Frías,-D. Manuel Pastor, D. Pedro Quevedo, Don Juan de Villanueva, D. Domingo.de Aragón , D. Andrés Ximenez, Doti Toma</t>
  </si>
  <si>
    <t>Ramírez, Alonso</t>
  </si>
  <si>
    <t>Alonso Ramírez</t>
  </si>
  <si>
    <t>alvillo, y ha nombrado también Exento supernumerario de la mencionada Compañía al Brigadier de ella D. Alonso Ramírez. S. M. se ha servido conferir el empleo de Comandante del tercer batallón del regimiento de infantería de Saboya al Teniente Coronel D. Gabriel de Salamanca, Sargento mayor del de</t>
  </si>
  <si>
    <t>eal cuerpo de Guardias de Corps se ha servid*• el Rev promover á Exento de número al supernumerario D. Alonso Ramírez , y a Exento supenuimerari.* al Cadete D. Manuel Roca. n Jimenca. En ei regimiento de infantería de Nueva España se ha servidoS. M. promover á Capitán de granaderos ai de fusilero</t>
  </si>
  <si>
    <t>Ramirez, Christóbal</t>
  </si>
  <si>
    <t>Christóbal Ramirez</t>
  </si>
  <si>
    <t>nto del Dr. D. Joseph González de Candamo, Obispo Auxiliar que fue de aquella diócesis al Racionero D. Christóbal Ramirez; y para esta Ración al Canónigo Lectora! que fue de la metropolitana de la ciudad de Sto. Domingo, en la Isla. Española. &lt;E1 Rey se ha dignado conceder la Intendencia de la provin</t>
  </si>
  <si>
    <t>Ramiro</t>
  </si>
  <si>
    <t>rimera venida de los judíos á Espafia, por D. Francisco Martínez Marina.=Ilustración del reynado de D. Ramiro 11 dé Aragón (dicho el Monge) ó memorias para escribir;su vida , por D. Joaquín Traggia. == Informe que la Real academia de la Historia dió al Real y supremo Consejo de Castilla s</t>
  </si>
  <si>
    <t>Ramiro y Martín, Joseph Manuel</t>
  </si>
  <si>
    <t>Joseph Manuel Ramiro y Martín</t>
  </si>
  <si>
    <t>Urrero y Casaseca. En Santander.......Sres. Vial é hijo y compañía. Ejj Segovia........... Viuda de D. Joseph Manuel Ramiro y Martín. En Sevilla............ D. Joseph Antonio Gómez é hijo. En Soria............... D. Andrés Martínez de Aparicio.</t>
  </si>
  <si>
    <t>ero y Casaseca. En Santander........ Sres. Vial é hijo y compañía. En Segovia............. Viuda de D. Joseph Manuel Ramiro y Martin* En Sevilla.......... D. Joseph Antonio Gómez é hijo. En Soria................. D. Andrés Martínez de Aparicio. En Toledo................Sres. Chavarri y Posadíllo.</t>
  </si>
  <si>
    <t>éro y Casaseca. En Santander........Sres. Vial é hijo y* compañía. En Segovia............. Viuda de D. Joseph Manuel Ramiro y Martin# En Sevilla........ . D. Joseph Antonio Gómez é hijo. En Soria............. D. Andrés Martínez de Aparicio. En 2oledo............... Sres. Chavarri y Posadillo. En Toro...........</t>
  </si>
  <si>
    <t>rrero y Casaseca. En Santander...... Sres. Vial é hijo y compañía. • En Segovia............Viuda de D. Joseph Manuel Ramiro y Martín* i En Sevilla........ . D. Joseph Antonio Gómez é hijo. En Soria............. D. Andrés Martínez de Aparicio. : En Toledo............ Sres. Chavarri y Posadillo. En Toro..........</t>
  </si>
  <si>
    <t>Urreto y Casaseca. En Santander.. .... Sres. Vial é hijo y compañía. En Segovia.......... Viuda de D. Joseph Manuel Ramiro y Martin* En Sevilla........... D. Joseph Antonio Gómez é hijo. En Soria................D. Andrés Martínez de Aparicio. En Toledo......... Sres. Ghavarri y Posadillo. En ^Toro.............</t>
  </si>
  <si>
    <t>Urrero y Casaseca. En Santander....... Sres. Vial 6 nijo y compañía. En Segovia........... Viuda de D. Joseph Manuel Ramiro y Martín. En Sevilla............. D. Joseph Antonio Gómez é hijo. En Soria................ D. Andrés Martínez de Aparicio. En Toledo.............. Sres. Chavarri y Posadillo. En Toro......</t>
  </si>
  <si>
    <t>Ramiro, Joseph Manuel</t>
  </si>
  <si>
    <t>Joseph Manuel Ramiro</t>
  </si>
  <si>
    <t>e entregará en la cerería de la plazuela del Angel, mira. 17, ó en Segovia en. casa de J* yitida de D. Joseph Manuel Ramiro. . , T Noticia de Jos daños que ¿causan af cuerpo humano las preparaciones del plomo, va-.adnúnistradas como mediana, ya mezcladas fraudulenta mente. con ios alimentos-dé primera,</t>
  </si>
  <si>
    <t>Ramón Mateo</t>
  </si>
  <si>
    <t>habiaxabidq por .suerte, y dé responder después á las. preguntas y objeciones de los' exáminadores. Don Ramón Mateo, de segundo año, disertó spbrelos diferentes sistemas dirigidos: L proteger la agricultura , y priDcipalmeqte sobre el dp Iós economizase D.;Pédró;Alfaro, de^pijiniéC#¡|o5bsqbre;j</t>
  </si>
  <si>
    <t>cha la graduación de los alumnos , resultaron en la clase de sobrésáliéntés D. Escolástico Laviila, D. Ramón Mateo, Don Pedro Alfaro, D. Benito de Ribera, D. Agustín Alcayde, D. Vicente Royó , D; Jacinto Munárriz ^ D. Juan Antonio Coijiat, D. Joseph Fortuno, D. Joaquín Ollés de Regales; y en l</t>
  </si>
  <si>
    <t>Ramona</t>
  </si>
  <si>
    <t>. Exc. , robustos y bien constituidos : es á saber, el Sr. D. Joseph de edad de 10 años^, las Sras. Doña Ramona de edad de 15 , Doña Joachma de 13 , Doña Luisa de 8 , Doña Francisca de 6, y Doña María Teresa de 2, que por vía de juguete pasaron todos seis tos trámités de la verdadera viruela vac</t>
  </si>
  <si>
    <t>RamónAntonio Pico</t>
  </si>
  <si>
    <t>............. D. Benito de la Piedra. En Cartagena........ D. Manuel de Ozores. , En Ciudad^Real... D. RamónAntonio Pico. En Córdoba........... Sres. Barcia padre é hijo. En la Corima........ D. Manuel Antonio Elzaurd?. En Cuenca..... ........D. Manuel Escolar y Noriega. En Granada....... D. Francis</t>
  </si>
  <si>
    <t>Ramos García de León y Pisarro</t>
  </si>
  <si>
    <t>r - „ Mariscal de Campo D. Ramos García de León y Pisarro, Presidente de Charcas. En el regimiento de Reales Guardias Españolas se ha servido promover el Rey á Alféreces á los Cadetes D. Joseph Quintana» D. Francisco Santa María y D. Ant</t>
  </si>
  <si>
    <t>Ramos, Antonio</t>
  </si>
  <si>
    <t>Antonio Ramos</t>
  </si>
  <si>
    <t>para el Deánato Be la metropolitana de Zaragoza, vacante por renuncia de D. Alexandro Izquierdo , á D. Antonio Ramos : para la Canongía que este obtiene en la misma iglesia, y resultará vacante, á D. Diego Perez Izquierdo: para otra de la catedral de Patencia;, vacante por fallecimiento de D. Be</t>
  </si>
  <si>
    <t>á la gazeta de 23 del corriente. En la gazeta de 26 de este mes, donde dice qué S. M. ha nombrado 2 D. Antonio Ramos para el Deanato de la metropolitana dé Zaragoza, debió decir á D. Antonio Romero. Por el Sr. D. Manuel Vicente de Torres, Teniente Corregidor dé esta viKa, se cita y emplaza por's</t>
  </si>
  <si>
    <t>. 727. 7. Presidio. Antonio Ramos................ . Francisco, María Rodríguez. S. Pelayo.... Salvatierra... 705. 18. Id. Francisco. Lia nos................. Santiago, Antonia del Valie........................</t>
  </si>
  <si>
    <t>Ramos, Pablo</t>
  </si>
  <si>
    <t>Pablo Ramos</t>
  </si>
  <si>
    <t>88. 43&gt; Id. Pablo Ramos....................... Bartolomé, María Huerta.. Castrotierra.. León.............. 244. 34. Id. Francisco Estéban.............. Manuel, María Gómez.... Pedroso......... Coria........</t>
  </si>
  <si>
    <t>Rancafio, Pedro</t>
  </si>
  <si>
    <t>Pedro Rancafio</t>
  </si>
  <si>
    <t>*49- 30. Id. Pedro Rancafio....... ........... Josef, Isabel Varda............... S. Martin.... Lugo............... 996. 18. Id. Alonso Aguilar................... Antonio»Teresa Av</t>
  </si>
  <si>
    <t>Rancourt, Juan</t>
  </si>
  <si>
    <t>Juan Rancourt</t>
  </si>
  <si>
    <t>dez de Vigo: en el de Cazadores voluntarios de la Corona á primer Teniente al segundo de gastadores D. Juan Rancourt, y á esta resulta al segundo Teniente D. Marcos Aragonés; y en el de Suizos de Betschart á Subteniente al Cadete D. Martin Hartmann. En el Real cuerpo de Artillería ha nombrado el</t>
  </si>
  <si>
    <t>Ranea, Luis</t>
  </si>
  <si>
    <t>Luis Ranea</t>
  </si>
  <si>
    <t>D. Francisco Ruigomez, D. Cándido Higuera, D. Diego Navarro , D. Bernardo Luque, D. Rafael Pezzino, D. Luis Ranea ño, Don Juan Meric, D. Antonio Bocarro, D. Juan Feliu, D. Juan Desnaux, Don Manuel Vigil de Quiñones, D. Joseph Ponce de León, D. Francisco Soler, el Conde de Maceda, D. Joseph Be</t>
  </si>
  <si>
    <t>Ranz Romanillos, Antonio</t>
  </si>
  <si>
    <t>Antonio Ranz Romanillos</t>
  </si>
  <si>
    <t>eemplazarlos nombrando por Ministros de él á D. Pe* dro Nicolás del Valle» D. Manuel de Echeverría» D. Antonio Ranz Romanillos y D. Rodrigo Zorrilla y Monroy; y para Fiscal á D. Tadeo Se*, guñdo Gómez: y conviniendo al Real servicio restablecer la tercera Fiscal lía del mismo Consejo, ha nombrado S. M. para e</t>
  </si>
  <si>
    <t>Rapp</t>
  </si>
  <si>
    <t>na de que él gobierno se retirase i Ginebra jperode repente se presentó aquí él ciud. Rapp , Ayudante general fiel primer Cónsul; desdeJüego se ¿transfirió al Senado con el ciud. Verninac , Ministro de Francia , y entrego al Presidente una proclama d</t>
  </si>
  <si>
    <t>visto taa próxímos-á vuestra-pérdida.” ^ . i» -»- Basilea^'i i de Octubre. I il ciud. Rapp, Ayudante' de Bonaparte , ha notificado á los ¿8 capitones ía proclama del primer Cónsul. La última respuesta que le diéfón los caudillos de los insurgentes be</t>
  </si>
  <si>
    <t>les de.su plana ma^or. El cuerpo franco de Berna servirá de guardia de honor al ciud. Rapp raiéiitras permanezca en esta ciudad. Basiiea 18 de Octubre* D ícese que la Dieta de Schwitz gobernará la República hasta que se establezca una forma de gobier</t>
  </si>
  <si>
    <t>Rapp, General</t>
  </si>
  <si>
    <t>General Rapp</t>
  </si>
  <si>
    <t>eglarán nuestros asuntos en términos que quedemos satisfechos. Ayer dio una gran comida el Ayudante General Rapp: entre los convidados asistiéron el General Bachman y los oficiales de.su plana ma^or. El cuerpo franco de Berna servirá de guardia de honor al ciud. Rapp raiéiitras permanezca en</t>
  </si>
  <si>
    <t>siste el primer Cónsul en llevar á efecto las amenazas que nos ha hecho veibalmente en su nombre el General Rapp, conviene á sa</t>
  </si>
  <si>
    <t>RarnóñTa</t>
  </si>
  <si>
    <t>Huelgo Pifefo ,D. Ventufe Merino1 y Llanera^ D. Rafael Morales y Gallegás^ l!&gt;v Melchor Nieto Polo, D. RarnóñTa— oigoe | 'w»it j *^4 jw»i ^vv*vuv* j ( 4 «/vía Tomas Briones y^innuói, D-Mahuel C^ll^P^résy ^H. Pedról^ííartinéa: del Coíro, D.Mamfel de la Ij^esiA'Dkfr5cqnDUJaafe'Sólfo y X]menez</t>
  </si>
  <si>
    <t>Raróod</t>
  </si>
  <si>
    <t>. Cosmedc las $étéclsa$ | térríu^rh&gt; de I* Abad á de Vittafratícé dci 3¡er*t*, vacante por muertede D, Raróod ^^Icotí^á^'-y^tf 'SáncKeé' ISejarono y Panlagua; uñar Carpettaiií* dé1 fárUiaF ¿apftfáPefcla cíudad d^ Grañada , vacaniepo* fallccífniem-&gt; de D. t«Í» «adaj^é f MansiIb^á» #*ltn« M</t>
  </si>
  <si>
    <t>Rasaia, Xavier</t>
  </si>
  <si>
    <t>Xavier Rasaia</t>
  </si>
  <si>
    <t>zr dé Ja ‘compañía Es-* pañola deÍ Real cuerpo cfeGuardiasde Cprps:al-Exénto -de la 'misma compañía D. Xavier Rasaia ; y también ha-promovido en la inísma1!compañía á Exento de núAierd al ExérítonsTipef,iJühiera#io ,P,«‘Tc&gt;sedh1íEspe5o.' - ^ * r r *. Halwenda manifestado"los ícaballetos'tCadetés</t>
  </si>
  <si>
    <t>Rast-de-Maupas</t>
  </si>
  <si>
    <t>artes útiles. Entre las varias memorias que se leyeron mereció atención la del ciud. Rast-de-Maupas sobre el árbol llamado barniz del Japón: lo ha introducido en este departamento; y presentó muestra de su madera sacada de uno de estos árboles plantado hace 1</t>
  </si>
  <si>
    <t>Rastock, Lord</t>
  </si>
  <si>
    <t>Lord Rastock</t>
  </si>
  <si>
    <t>en el ministerio. Ha hecho el Rey una numerosa promoción en la marina. El Vice-Aimirante Pigot y el Lord Rastock han sido promovidos á Almirantes de la bandera azul: los Contra-Almirantes de la encarnada Mrs. Horn y Cárlos Colton han ascendido á Vice-Almirantes de la azul; y los Contra-Almir</t>
  </si>
  <si>
    <t>Rato y Ramírez, Ramón</t>
  </si>
  <si>
    <t>Ramón Rato y Ramírez</t>
  </si>
  <si>
    <t>a, D. Nicolás dé la Vega y San Julián, D. Manuel Lasqueti y Lasqueti , D. Miguel Pascual y Menocal, Don Ramón Rato y Ramírez, fk Roque Díaz Pardo, D. Miguel Daza y García, D. Diego Padura y Vargas, D. Juan Pinedo y Anuncibay, D. Ramón Truliól y Andreu, D. Juan Olaegui y Aguilar, D. Agustín Manglano y Ru</t>
  </si>
  <si>
    <t>Ray</t>
  </si>
  <si>
    <t>loranes , Vele* de Robles, Señor de Ta▼añeros, que pueden servir para formar su elogio: las publica D. Ray mundo Garrí* do. Los elogios que ha merecido el Sr. Floranes á nuestros escritores qué apelaron á sus auxilios y luces desde el afio de 177$ basta su muerte , por las raras y esco</t>
  </si>
  <si>
    <t>Raya, Lorenzo</t>
  </si>
  <si>
    <t>Lorenzo Raya</t>
  </si>
  <si>
    <t>.... _ 0*11. ai TH, Lorenzo Raya......... ......... .. Juan, Cruz Casado.............. Villafria....... Búrgos........ . ió. 16. Id. Antonio Calvete............ .. Pedro, Eugenia S</t>
  </si>
  <si>
    <t>Raymúndo</t>
  </si>
  <si>
    <t>l .cuerpo de Guardias de Corps se ha férvido,.éi Rey, promover á Cadete dé número al supernumerario D. Raymúndo^yjicásse; y á Cadetes supernúmeraripi á ios Guardias' lí¡f; Francisco/Mozora y^DV'Jdaqüin de la Cerda. ’ ;"S. í(l. se'bá dignado promover en el réginúento de Reales Guardias Es-'</t>
  </si>
  <si>
    <t>Raymundo de Salazar</t>
  </si>
  <si>
    <t>Coronel, O. JorgeGalbañ: él del de León al Teniente Coronel déí dé Cantabria, graduado de Coronel, D. Raymundo de Salazar: el del de Lía-varra aLTeniente Coronel del de ffibernia , graduado de Coronel ,0. Rafaeióh^ttinéñgó : eí ¿el de. Amética .al Teniente Coronel; del de - Empatia* graduado de Coron</t>
  </si>
  <si>
    <t>Raymundo Sastre</t>
  </si>
  <si>
    <t>6a. 7. Id. Raymundo Sastre.............. Juan, María Calvo........ Quintanilla... León.............. 35. 44. Id. Matías Fernandez............... Juan, Brígida Gutiér</t>
  </si>
  <si>
    <t>Raymundo Segarra</t>
  </si>
  <si>
    <t>rroquial de la villa de Verdu, diócesis de Soisona , vacante por . muerte de D. Sil vestre Ortiz, á D. Raymundo Segarra p y para una Capellanía , vacante en la parroquia de Santa María dei Mar de la ciudad de Barcelona, por renuncia de D. Miguel Rodon , á D. Vicente Casanovas. En América. En el reg</t>
  </si>
  <si>
    <t>Real de Dinamarca, Príncipe</t>
  </si>
  <si>
    <t>Príncipe Real de Dinamarca</t>
  </si>
  <si>
    <t>asistid á las evoluciones de las tropas, y á un desayuno con que el cuerpo de oficiales obsequió al Príncipe Real de Dinamarca. De aquí irá el Duque de Glocester á Petersburgo pasando por Stockolmo, Hamburgo 24 de Junio, L os Reyes de Suecia llegáron el dia 12 á Abo, y el 15 reconocieron el campo de Puroí</t>
  </si>
  <si>
    <t>Real de Etruria, Príncipe</t>
  </si>
  <si>
    <t>Príncipe Real de Etruria</t>
  </si>
  <si>
    <t>Luisa de 120 cañones y ' Argonauta de 74, y las fragatas Atocha y Flora, conduciendo i los Reyes, y Príncipe Real de Etruria¿ A la una de la*tarde salid el Teniente General i).r Federico Gravina en « el lugre Dafne, para saber de la salud de SS.MM., y si había parido ornó la Reyna; y habiendo alcanzado7</t>
  </si>
  <si>
    <t>Real de Ñapóles, Príncipe</t>
  </si>
  <si>
    <t>Príncipe Real de Ñapóles</t>
  </si>
  <si>
    <t>aMarques del Socorro, conduciendo á la. Serení sima: Sra. cPrincesa de Asturias y al Serenísimo Sr. Príncipe Real de Ñapóles. A lás 3 dé; la tardé diéron fondo; y en seguida se tomaron las providencias convenientes para disponer la entrada que correspondía á SS. A A., la qual; tuvo efecto á las 5 de la</t>
  </si>
  <si>
    <t>lOTtr ron quandéTS. M. se dignó presentarse con la Serenísima Sra. Princesa dé Asturias y el Príncipe Real de Ñapóles en los balcones de palacio. SS. MM. Han señalado el 4 del corriente para las ratificaciones de los' matrimonios, en cpyó dia.y los.dos sigüijentes se vestirá la corte de gala con un</t>
  </si>
  <si>
    <t>Real de Polonia, Príncipe</t>
  </si>
  <si>
    <t>Príncipe Real de Polonia</t>
  </si>
  <si>
    <t>miliano Meriadec, Príncipe de Rohan-Guemené, Arzobispo de Cambray; y Clemente Wenceslao de Saxonia, Príncipe Real de Polonia , Arzobispo Elector de Tréveris, Obispo y Príncipe de Augsburgo, Los magistrados que componen el tribunal de apelación de Turin han escrito al primer Cónsul en estos términos: ,,T</t>
  </si>
  <si>
    <t>Real y la Priácesa, Príncipe</t>
  </si>
  <si>
    <t>Príncipe Real y la Priácesa</t>
  </si>
  <si>
    <t>s y evoluciones f y luego se restituir^» á suv respectivos quart&lt;;les._El día 15 saldfán de aquí el Príncipe Real y la Priácesa su esposa para Schleswig, en el Ducado de Holstein. Qiiatro personas han pescado últimamente cerca de Nyested en solo 4 horas 976 perros marinos. Se regula en mas de 3® rixdalers</t>
  </si>
  <si>
    <t>Real, Francisco</t>
  </si>
  <si>
    <t>Francisco Real</t>
  </si>
  <si>
    <t>López de Molina,D. Lucas Salazar, D. Ramón Serrano, D. Juan Joseph Martínez, D. Joseph María Cano, D. Francisco Real,-D. Vícéfíté Salcedo, D. Lúeas de Mena, D. Joseph Viladomar, D. Juan de Álbarrilla, D. Gonzalo Martínez, D. Cosme Marín, D. Serafín del Rincón, D. Mariano Carrasco, D. Vicente Pic</t>
  </si>
  <si>
    <t>Reboredo, Benito</t>
  </si>
  <si>
    <t>Benito Reboredo</t>
  </si>
  <si>
    <t>32. 31. Id. Benito Reboredo.................Andrés,Manuela Fernandez. S. Vicente.... Lugo............... 64. 17. Id. Pedro Caballero.................. Pedro, Madalena Garrido. Reb</t>
  </si>
  <si>
    <t>Recarte, Juan Ramón</t>
  </si>
  <si>
    <t>Juan Ramón Recarte</t>
  </si>
  <si>
    <t>Canónigo de la colegiata de la Coruña: para otra de la misma iglesia, vacante por fallecimiento de D. Juan Ramón Recarte, a D. Antonio Moreno Ximenez de Roxas, Canónigo de la catedral de Patencia: para otra de la propia catedral de Cuenca, vacante por muerte de D. Fernando Zaragoza, á D. Pedro Anton</t>
  </si>
  <si>
    <t>Recio, Joseph</t>
  </si>
  <si>
    <t>Joseph Recio</t>
  </si>
  <si>
    <t>Valera; á Subtenientes de granaderos los de fusileros D. Manuel María Perez, D. Jorge Vi«* llers y D. Joseph Recio ; á Subtenientes de compañía los de bandera Don Ramón Castillo, D. Joseph María Canalejo y D. Domingo Gallegos; y í esta última clase el Cadete D. Joseph de Córdoba y D. Miguel de</t>
  </si>
  <si>
    <t>Record</t>
  </si>
  <si>
    <t>baxada francesa en Constantinopla, al ciud. Lamarre para segundo Secretario, al ciud. Record» para tercero, y al ciud. Kieffer para Secretario intérprete de la misma embatada : al ciud. Lefebre, primer Secretario de la legación francesa en Florencia, p</t>
  </si>
  <si>
    <t>Reding</t>
  </si>
  <si>
    <t>se embarcará para Córcega. Antes de ayer el segundo Landammann tuvo cartas del ciud. Reding, Landammann primero que está en Paris, en que le avisa que ya tuvo audiencia del primer Cónsul, quien le recibió con mucho agrado. R orna _9 de Diciembre. S e</t>
  </si>
  <si>
    <t>á 4 militares en premio de sus hazañas, y el mismo dia los sentó á su mesa. El ciud. Reding, individuo de la dieta helvética y primer Landammann,que vino á Paris y fué presentado al primer Cónsul el 25 de Diciembre , tuvo el dia 7 del corriente su aud</t>
  </si>
  <si>
    <t>Redíng</t>
  </si>
  <si>
    <t>uerra que se están alistando para las Indias orientales. Berna 18 de Enero. E I ciud. Redíng, primer Landammann, llegó aquí de París el 17 por la tarde, y se celebró su entrada con repique general. Ayer asistió á la junta del Senado; y se cree que haya</t>
  </si>
  <si>
    <t>nado la elección de ios primeros Magistrados de la República en esta forma: los ciudadanos Reding, primer Landammann; Renger, segundo Landammann; Ruttímann y Hirzel primero y segundo Prefectos; Scher y Frisching para el despacho de la guerra; Klutz y F.ussl</t>
  </si>
  <si>
    <t>en esta ciudad 18 compañías de tropas helvéticas, y se esperan algunas mas. El ciud. Reding, que era primer Landammann, convocó en su casa á 13 Senadores para resolver que partido convendría tomar en las actuales circunstancias. El resultado de su asa</t>
  </si>
  <si>
    <t>e aprecio que me habéis da* do, y tengo el honor de ofreceros mis respetos.” El ciud. Reding, antiguo primer Landamman, ha devuelto ai Consejo pequeño el decreto en que este declaraba que la protesta hecha por Reding debía mirarse como su dimisión, y a</t>
  </si>
  <si>
    <t>Reding, Joseph Martín</t>
  </si>
  <si>
    <t>Joseph Martín Reding</t>
  </si>
  <si>
    <t>de granaderos, D. Juan Bautista Hirth: á Subteniente de fusileros f en el de Betsebalrtt al Cadete D. Joseph Martin Reding ; y á&gt; Capitanes segundos en :elide Gourten al Ayudan-! te y graduado-de Capitán^ D. Alonso de( Courten^ y al Teniente dé grana-* deros D. Benjamín de Núcé. ^ :r t En 19 de Marzo</t>
  </si>
  <si>
    <t>Regente de Portugal, Príncipe</t>
  </si>
  <si>
    <t>Príncipe Regente de Portugal</t>
  </si>
  <si>
    <t>iencia del tratado de paz concluido en Badajoz á 6 de Junio del año próximo pasado entre S. M. y el Príncipe Regente de Portugal, en virtud del qual deben restituirse á los súbditos de ambas potencias las pertenencias embargadas al tiempo y con motivo de la declaración de guerra, lia resuelto S. M. encargar</t>
  </si>
  <si>
    <t>Regis de Cáceres, Juan Francisco</t>
  </si>
  <si>
    <t>Juan Francisco Regis de Cáceres</t>
  </si>
  <si>
    <t>e-r brero. El 9 de Enero murió.en esta corte, á los 75 años de edad y 26 de servicio , el limo. Sr. D. Juan Francisco Regis de Cáceres, Laso de la Vega, del Consejo y Cámara de S. M. y Fiscal en el Consejo Real: principió su carrera de único Fiscal de la audiencia de Sevilla, y luego pasó por aumeiv* to de otro F</t>
  </si>
  <si>
    <t>Regnart y Pont, Joaquín</t>
  </si>
  <si>
    <t>Joaquín Regnart y Pont</t>
  </si>
  <si>
    <t>us, D. Manuel de Miedes, Don Francisco Dionisio Vives, D. Joseph Canellas, D. Joseph García Orozco, D. Joaquín Regnart y Pont, D. Domingo Larripa, £&gt;. Juan Rayberte, D. Juan Borlasca, D. Víctor Wirtz , D. Francisco Schnernaver, Don Jayme Stóffel, D. Joseph Chaqué, D. Jayme Steudinger, D. Juan Cristiano B</t>
  </si>
  <si>
    <t>Regnhr</t>
  </si>
  <si>
    <t>de Artilleríái Asimismo -para Gráii Juez f Ministro de Jasricía lianombrado al ciud. Regnhr, Consejefd dé Estado; para Embaxádor én Constantinopla al General Bruñe, también del'Consejó*de Estado; y para individuos del propio Consejo á los ciudadanos T</t>
  </si>
  <si>
    <t>Reich</t>
  </si>
  <si>
    <t>se duda que el gobierno despache favorablemente su instancia. Hoy por la mañana llegó á esta ciudad Mr. Reich, Secretario de Mr. Listón, nombrado Ministro de S. M. Británica para residir cerca de esta República, el qual no tardará en llegar, pues ya tiene aquí sus equipages. Se nace repar</t>
  </si>
  <si>
    <t>Reille</t>
  </si>
  <si>
    <t>para los fabricantes que presenten las 3 mejores piezas de telas pintadas. ; El ciud. Reille, edecán del General Murat, el xefe de esquadron Lañusse, y el secretario Aymé , llegaron hoy de vuelta de Ñapóles á esta capital, en donde esperan al General M</t>
  </si>
  <si>
    <t>Reinaud</t>
  </si>
  <si>
    <t>al~V;ial para Ministro plenipotenciario cerca de la Orden é isla de Malta; y al ciud. Reinaud para Comisario de Relaciones mercantiles delaRépúbíicafrancesa en la isla de Zante. ■; 7 r De 36 i pueblos que componen el departamento de las Landas, los 242</t>
  </si>
  <si>
    <t>Reiríhard</t>
  </si>
  <si>
    <t>ción de Polonia, En la misma audiencia fueron presentados. al primer poiísul el ciud. Reiríhard, Ministro, plenipotepciarjo. de la República cerca del círculo de la Baxa-,Saxonia , eL qual se despedia ; ry Mr. Doorman , Síndico de Hambprgo. . . . : &gt; Ha l</t>
  </si>
  <si>
    <t>Relli, Miguel</t>
  </si>
  <si>
    <t>Miguel Relli</t>
  </si>
  <si>
    <t>tuárdos. (Al anochecer " volvió 5¡uS.:Íl Roma.•• ■ .i'b :,•&lt;■/. I í'.) &gt;: -iUzi'/, ‘jb r-"í El Rdo. Don Miguel Relli , albacea y testamentario deLdífónto Carden nal Miguel Angel Luchi, presentó el dia, 15 al , Sto: Padre Un exemplar »de todas las obras publicadas por dicho Emo., y mas de 206 man</t>
  </si>
  <si>
    <t>Renaudon</t>
  </si>
  <si>
    <t>os de este pueblo han ido de aquí á Leóh paráCumplimérithr al primer Cónsul lbs ciudadanos Renaudon, Mayre ó Corrégidbr ; Dii* phiy, profesor de matemáticas, y Bartheiom , comérciánte. El ciüd. DüpUy és él qüé enseñó las matemáticas á Bonaparte. Leon 21 de En</t>
  </si>
  <si>
    <t>Rendon, Juan</t>
  </si>
  <si>
    <t>Juan Rendon</t>
  </si>
  <si>
    <t>tes D. Manuel Oñate v D. Joseph González Elias; y en el de dragones de México á Capitán al Teniente D. Juan Rendon; á Teniente al Alférez D. Francisco Hernández, y á Alférez ai Portaguión D. Joseph Malo. Ei Rey se ha servido conferir los empleos de Ministros Tesoreros de las Reales caxas de Ve</t>
  </si>
  <si>
    <t>Rengel, Manuel Santiago</t>
  </si>
  <si>
    <t>Manuel Santiago Rengel</t>
  </si>
  <si>
    <t>al primer Teniente D. Joseph Ucles: en el de Málaga á segundo Teniente al Subteniente de granaderos D. Manuel Santiago Rengel: en el de Voluntarios de Castilla á Subteniente de granaderos al primer Subteniente D. Joseph Mancho. Y en el batallón de infantería de Canarias á segundo Teniente de granaderos a</t>
  </si>
  <si>
    <t>Rengel, Miguel</t>
  </si>
  <si>
    <t>Miguel Rengel</t>
  </si>
  <si>
    <t>M. á en xefes á los en segundos D. Tomas Sedeño y D. Ramón de Villalonga: á en segundo al ordinario D. Miguel Rengel: á ordinario á D. Fernando Pirez, extraordinario; y á este empleo al Ayudante D. Luis Veyan. En América. El Rey se ha servido nombrar para el Arzobispado de México, vacante por fa</t>
  </si>
  <si>
    <t>Renger</t>
  </si>
  <si>
    <t>enda Custer ha hecho dimisión; y se asegura que lo propio se proponen hacer los ciudadanos Renger y Schmid, MiniKims de lo Interior y de la Guerra. Ha resuelto el Senado enviar á París doAenadores en calidad de diputados, y lo son los ciudadanos Muller-FriSerg&gt; y Sp</t>
  </si>
  <si>
    <t>Rennel, Capitán</t>
  </si>
  <si>
    <t>Capitán Rennel</t>
  </si>
  <si>
    <t>eros los Coroneles Craddock y Spencer, el Teniente Coronel Wingfield, el Sargento mayor House, y el Capitán Rennel, que vuelven de Egipto, de donde saliéron á fines de Octubre, y en donde han dexado el batallón del regimiento numero 40, en el qual sirven, estos oficiales. Confirman las cartas</t>
  </si>
  <si>
    <t>RENTA REAL</t>
  </si>
  <si>
    <t>ismas librerías la colección de estampas del mando con la espada para los toques de guerra. EN LA I Mr RENTA REAL.</t>
  </si>
  <si>
    <t>Rentero, Henrique</t>
  </si>
  <si>
    <t>Henrique Rentero</t>
  </si>
  <si>
    <t>33. 39. Id. Henrique Rentero.............. Juan , jpolonia Rubio......... Alarcon......... Cuenca.......... 87. 36. Id. Cadete D. Isidro Astulez... D.Josetj; Doña María Moral. Búr</t>
  </si>
  <si>
    <t>Réqu'ená, Francisco</t>
  </si>
  <si>
    <t>Francisco Réqu'ená</t>
  </si>
  <si>
    <t>as Moñino, 0. Pedrd Buch y O-Donell, D. Diego Artacho, D. Joseph Navarro Sangran, ,Don Mateo Perez, D. Francisco Réqu'ená, D. Antonio Parxearroyo, 0; Joseph Molina* 0. Joseph Urbtua, D. Antonio Samper, D, Joaquín dé Mendoza* D. Fernando • Gaver, D. Mannel Andrade, D. Antonio;Diez dé4,Riv¿rí¿ P; Anton</t>
  </si>
  <si>
    <t>Requefio, Domingo</t>
  </si>
  <si>
    <t>Domingo Requefio</t>
  </si>
  <si>
    <t>........ so. *. Id. Domingo Requefio......... . Alonso, Manuela Martínez. Villalis.......... León............. so. 20. Id. Manuel'Ulloa................</t>
  </si>
  <si>
    <t>Reselló, Bartolomé</t>
  </si>
  <si>
    <t>Bartolomé Reselló</t>
  </si>
  <si>
    <t>te Pinzón, D. Félix Muñoz, D. Gines Albadalejos . D. Juan Pelayo Sánchez', D. Joseph María Crespo , D. Bartolomé Reselló, D. Miguel Valcarcel, D. Martin de la Carrera^ D. Jayme Garrofa, y D. Joseph Rich. En América. D. Joseph Arcega, D. Filomeno Cendrera, D. Antonio Figueroa, Don Diego Calvo, D. Man</t>
  </si>
  <si>
    <t>Revenga, Antonio</t>
  </si>
  <si>
    <t>Antonio Revenga</t>
  </si>
  <si>
    <t>IOO. 18. Id. Antonio Revenga..... Juan, Simona Lobo............ Carrascal....... Sepúlveda.... 80. 8. Id. Hemeterio Valbuena. Pedro, Manu</t>
  </si>
  <si>
    <t>Revilla, Tomás</t>
  </si>
  <si>
    <t>Tomás Revilla</t>
  </si>
  <si>
    <t>...... 920. 24. Id. Tomas Revilla.................. Antonio, Teresa Perez....... Maza riegos... Palencia........ 1150. 14. Id. Tomas González................... Gabriel, María Prieto......... Sta. Mar</t>
  </si>
  <si>
    <t>Rey, General</t>
  </si>
  <si>
    <t>General Rey</t>
  </si>
  <si>
    <t>ntos públicos* •:. -^-v DijácHk: Ii2diOctubre,, .X7 .0 ».-.i.';..,'"/ H a pasado por esta ciudad el General Rey, que va á Suiza*en calidad dé Comandante en xefe del exército que envía á aquel país el gobierno frances¿ Las tropas de; los departamentos inmediatos tienen orden de salir quanto</t>
  </si>
  <si>
    <t>Rey, Luís</t>
  </si>
  <si>
    <t>Luís Rey</t>
  </si>
  <si>
    <t>a servido promover'en el regimiento de caballería del Infante a primer Teniente al segundo Teniente D. Luís Rey: en el de dragones de Pavía á Teniente al Alférez D. Antonio de Rosales; y en el de Villavicio$a a Sargento mayor al Capitán D. Eugenio Tomas y Alcalá. El Rey se ha servido restit</t>
  </si>
  <si>
    <t>Reyna y Alor, Manuel</t>
  </si>
  <si>
    <t>Manuel Reyna y Alor</t>
  </si>
  <si>
    <t>go Hurtado de Mendoza, Marque5 de Tabalosos, D. Joseph del Hoyo González, D.Manuel Reviray Almunia, D. Manuel Reyna y Alor, D. Joseph Serondo y¡ IMlde, D. Pedro'de la Cueva, D..Antonio de Medina y Miranda,* Don; Joseph Doronzoro Parra, DI Nicolás de Meñaca, D. Vicente CaamañoyPardo , D. Pddro Cbntrera</t>
  </si>
  <si>
    <t>Reyna, Francisco</t>
  </si>
  <si>
    <t>Francisco Reyna</t>
  </si>
  <si>
    <t>de Mesa , fc)oñ Pedro déPCastillo, D. Joaquín Oquendo, D. Vieente Rosique, D. Cle^* mente Falcon 9 D. Francisco Reyna ¿ D; AntonioBracho, D.Juan Munar-i Hié, D. Vicente Reyna ,'D. Fernando AgniWe, D^Fernando Gabriel, Don Ramón Lope, D. Juan Camargo, D. Juan Martes, D. Joseph Quevedos</t>
  </si>
  <si>
    <t>Reyna, Vicente</t>
  </si>
  <si>
    <t>Vicente Reyna</t>
  </si>
  <si>
    <t>Vieente Rosique, D. Cle^* mente Falcon 9 D. Francisco Reyna ¿ D; AntonioBracho, D.Juan Munar-i Hié, D. Vicente Reyna ,'D. Fernando AgniWe, D^Fernando Gabriel, Don Ramón Lope, D. Juan Camargo, D. Juan Martes, D. Joseph Quevedos</t>
  </si>
  <si>
    <t>Reynaldp de Coup'igni, Carlos</t>
  </si>
  <si>
    <t>Carlos Reynaldp de Coup'igni</t>
  </si>
  <si>
    <t>o Darsens, D. Francisco Tirado, D. Diego María Fiballer, D. Jayme García Conde, D, Manuel Jáuregui, D. Cárlos Reynaldp de Coup'igni, D. Joseph Lebrun, D. Manuel la Barre, D. Juan Bernardo Laporte, Don Felipe Crame, D. Francisco Ruigomez, D. Cándido Higuera, D. Diego Navarro , D. Bernardo Luque, D. Rafael Pezzi</t>
  </si>
  <si>
    <t>Reynard</t>
  </si>
  <si>
    <t>enencias pendientes entre este Senado y la Francia, y se espera quanto ántes al ciud. Reynard, que viene en calidad de.Ministro de la República. • Segundas últimas cartas de Copenhague se considera como resuelta la guerra de aquella potencia y de Suecia</t>
  </si>
  <si>
    <t>Reynard, Antonio</t>
  </si>
  <si>
    <t>Antonio Reynard</t>
  </si>
  <si>
    <t>Moral. También ha concedido S. Ai. honores de Alcalde del crimen de la Audiencia de Pfxtremadura á D. Antonio Reynard, Catedrático de Vísperas de Leyes de la universidad de Salamanca, y Asesor del Gobierno militar y político de aquella ciudad. En América. El Rey se ha servido nombrar para la Dign</t>
  </si>
  <si>
    <t>Reynier, General</t>
  </si>
  <si>
    <t>General Reynier</t>
  </si>
  <si>
    <t>a, especialmente en ocasión en ^que no se paga á las tropas. Parts J$ 'de Diciembre. H a enviado el General Reynier al instituto una túnica egipcíaca, y pedazos de tela hallados en las excavaciones de Sahara, los quales pueden.dar alguna luz sobre el estado de las artes en tiempo de los antiguo</t>
  </si>
  <si>
    <t>Reynoso, Félix</t>
  </si>
  <si>
    <t>Félix Reynoso</t>
  </si>
  <si>
    <t>enhechores de la humanidad , fueron argumentos de las odas leídas por los socios D. Justino Matute, D. Félix Reynoso y D. Alberto Lista. Después siguieron ios exámenes de las ciases de matemáticas establecidas por la sociedad, .en. los quales D. Blas Vidarte, Alférez de Carabineros de la Reyna María</t>
  </si>
  <si>
    <t>Reynoso, Francisco</t>
  </si>
  <si>
    <t>Francisco Reynoso</t>
  </si>
  <si>
    <t>ía de la misma Factoría ú D.. Joseph Antonio de la Peña : para la de Guarda de la propia Factoría á D. Francisco Reynoso :. para la de Oficial 2.0 de la Factoría deOaxaca á D. Joseph Ignacio Vieyra : para la de Guarda de la misma á B. Juan Manuel Abalos: para la de Interventor de la de Orizava a D.</t>
  </si>
  <si>
    <t>Reynoso, Gregorio</t>
  </si>
  <si>
    <t>Gregorio Reynoso</t>
  </si>
  <si>
    <t>Subteniente de granaderos D. Patricio Bustamante : en el de Zamora á primer Subteniente al, segundo D. Gregorio Reynoso: en el de Guadalaxara á segundo Teniente al Subteniente de granaderos D. Juan de España: en el de Sevilla á Capitán al Ayudante D. Matías Munilla, y á Subteniente de granaderos al</t>
  </si>
  <si>
    <t>Rezzonito, Príncipe</t>
  </si>
  <si>
    <t>Príncipe Rezzonito</t>
  </si>
  <si>
    <t>gular , gran número de sacerdotes de las diferentes iglesias, todos con hachas, muchos prelados, él Príncipe Rezzonito, los magistrados llamados conservadores , que con ios Canónigos de las tres basílicas llevaban *él paño monitorio, las tropas de la ciudad, los monseñores de la cámara secreta y d</t>
  </si>
  <si>
    <t>Rfister</t>
  </si>
  <si>
    <t>francesas. Se asegura que se enviarán otros cuerpos á los cantones pequeños. El ciud. Rfister, individuo del Senado, ha ido á tratar con el General Thurreau , y pedirle que restablezca en sus destinos á los empleados que ha depuesto. Es dudoso que lo co</t>
  </si>
  <si>
    <t>Rhidíéde Rhede</t>
  </si>
  <si>
    <t>sta expedición. V ’ ; ■ ' o-- : ;ir. v. r, in* : Pvethürgá \ dE»l Conde'Jorge de Féstiltítz^Tólna y Mr. Rhidíéde Rhede han presentado a iá*dieta'tíña suma Óe 5 ó® florines para que la invierta1 en? mantener 3 mozos húngaros en la escuela militar deNeustadt, cerca deViena,hasta que se haya formado</t>
  </si>
  <si>
    <t>Rhode</t>
  </si>
  <si>
    <t>Señor de ir á visitar los puertos de Egipto, y hacer en ellos las obras que necesiten. Le acompaña Mr. Rhode, Capitán sueco; y los dos se embarcarán quanto antes para su destino en una fragata turca. Parece que la Sublime Puerta tiene algún rezelo de que la protección que el General ingl</t>
  </si>
  <si>
    <t>alternos desempeñan su obligación: y según lo que advierte castiga 6 premia con equidad y justicia. Mr. Rhode, Cav-itan sueco, pidió al Gran Almirante licencia de usar el trage de los Calliondgis para hacer con mas seguridad su viage á Egipto: y el Almirante no solo le concedió el permiso</t>
  </si>
  <si>
    <t>Ribera, Alonso</t>
  </si>
  <si>
    <t>Alonso Ribera</t>
  </si>
  <si>
    <t>este. En el regimiento de caballería del Infante se ha dignado promover S. M. á Capitán al Ayudante D. Alonso Ribera; á Alférez al Portaestandarte D. Ramón Antonio López , y á esta resulta al Cadete D. Gerónimo de Hen estrosa: en el de Alcántara á Portaestandarte al Sargento D. Vicente Albarran</t>
  </si>
  <si>
    <t>Ribera, Joaquín</t>
  </si>
  <si>
    <t>Joaquín Ribera</t>
  </si>
  <si>
    <t>la, D&gt;. Antonio Texád a, D. Juan Ximenez, D. Ma^ nuél Díaz, D. Martilel Fprcarda, I&gt;. Manuel Teran, D. Joaquín Ribera^ D;; Pedro Muñoz, D, Juán Davadié , D. Agustín Sánchez, I}. Manuel Mo¿ ro, D: EugenioTontas y Alcalá, D. Miguel Rodríguez, D. FranciscO dé Borja , D. Diego; Encina , D. Manuel de</t>
  </si>
  <si>
    <t>Ricardo, Almirante</t>
  </si>
  <si>
    <t>Almirante Ricardo</t>
  </si>
  <si>
    <t>^n lugár del Lord?E!gin. ,vv u; \ : -'.o C^Seguo cartas dé; M al^aw BeL ¿cf de: • M^rzo.el rO^icer Almirante Ricardo*. Bícítehón ha ido á Egipto en el navio Madrás de 5.0 cañojnes.Las tropas inglesas vacuarin- aqueja jsla; luego1: qué.ilegiie áelja ei nayio, César de 84 mandado por el Contra- Al</t>
  </si>
  <si>
    <t>RicCorvi, Joseph</t>
  </si>
  <si>
    <t>Joseph RicCorvi</t>
  </si>
  <si>
    <t>servido nombrar para la Dignidad de Dean de la catedral de Arequipa , vacante por fallecimiento de D. Joseph RicCorvi, á D. Saturnino García de Arazuri , Arcediano de la misma iglesia : para dicho Arcedianato al Chantre D. Francisco Xavier de Echevarría : para la Chantría al Maestrescuela D. Simó</t>
  </si>
  <si>
    <t>Rich, Joseph</t>
  </si>
  <si>
    <t>Joseph Rich</t>
  </si>
  <si>
    <t>ía Crespo , D. Bartolomé Reselló, D. Miguel Valcarcel, D. Martin de la Carrera^ D. Jayme Garrofa, y D. Joseph Rich. En América. D. Joseph Arcega, D. Filomeno Cendrera, D. Antonio Figueroa, Don Diego Calvo, D. Manuel Antonio de Mora y Ramos, D. Francisco Campos, D. Joaquín Langelé, D. Juan Caeq</t>
  </si>
  <si>
    <t>Richelieu</t>
  </si>
  <si>
    <t>en esta ciudad. Han pasado por aquí yendo á Paris un Lord individuo del Parlamento de Inglaterra, y Mr. Richelieu, Mayor general de los exércitos de Rusia, sobrino segundo del Mariscal de Francia del mismo nombre. Viene con licencia del gobierno de Francia. G-r enoble 2jp de Diciembre. M onse</t>
  </si>
  <si>
    <t>Richepanse, General</t>
  </si>
  <si>
    <t>General Richepanse</t>
  </si>
  <si>
    <t>de la guerra. Esta bella estatua está de venta. Brest 2 6 de Marzo. 7 A ntes de ayer llego aquí el General Richepanse ; fué recibido con todos los honores correspondientes á su grado, y ayer revistó las tropas que han de embarcarse hoy. Un batallón de la media brigada núm. 77 , y 9 compañías de a</t>
  </si>
  <si>
    <t>embarcar las compañías de granaderos y cazadores, que todas se reuniéron y formáron en la playa. El General Richepanse les dió orden de que cargasen sus armas, y luejyp mandó llamar al mulato Pelagio, el qual al instante se presentó á disposición del General. Este le intimó hiciese retirar á los q</t>
  </si>
  <si>
    <t>ciudad, y librarles de todo insulto de parte de los insurgentes que se ácogiéron al castillo.__ El General Richepanse mandó desembarcar al dia siguiente el resto de las tropasvyHcqn^Uás emprendió el alcance de los negros , dirigiéndose á BasserTerre, en donde ai verle se habrán sin duda sometido.</t>
  </si>
  <si>
    <t>ísimo su número, causándoles creciólas pérdidas los ataques de las tropas republicanas aí mando del General Richepanse. El último de los ataques se concluyó pegando los negros fuego á un repuesto considerable de pólvora, en cuyo acontecimiento pereciéron mas de 300. Habiendo perdido toda esperanza</t>
  </si>
  <si>
    <t>estado de esperar la llegada dé das tropas de Francia. Me ha parecido pues que debía dar gracias al General Richepanse; pero sin aceptar el socorro que me ofrecía» y que ihe es inútil.En’eLestíidópresente dé las cósas: nada padecerán el gobierno hi éPcomercib fráncéS'Cóñ éjü'e se dilate la llegada</t>
  </si>
  <si>
    <t>Rico, Joseph</t>
  </si>
  <si>
    <t>Joseph Rico</t>
  </si>
  <si>
    <t>Verdadero retrato de S. Luis Gonzaga ; estampa en medio pliego de papel de marca mayor, grabada por D. Joseph Rico. Se hallará á 6 rs. en las librerías de Barco, carrera de S. Gerónimo, de Esparza,puerta del Sol, y de Escribano , calle .de las Carretas. Una pastorela al nacimiento de N. S. J.</t>
  </si>
  <si>
    <t>Rico, Tadeo</t>
  </si>
  <si>
    <t>Tadeo Rico</t>
  </si>
  <si>
    <t>en el Reyno de Valencia, á D. Juan Mateo Fernandez de Moros; y para la de Puigcerdá, en Cataluña, á D. Tadeo Rico. Respecto de no haber producido las utilidades que creyó la villa de -Baylen, en Andalucía, le rendiría el privilegio de una feria anual que se le concedió por Real orden de 25 de</t>
  </si>
  <si>
    <t>Ricord, Tomás</t>
  </si>
  <si>
    <t>Tomás Ricord</t>
  </si>
  <si>
    <t>ares de "UUoa,‘ 4.por el socio D. Juan Antonio de Hermostlla, 6 por un socio , y losj otros dos por D. Tomas Ricord y una persona particular ; habiendo ce-‘ dido para los fondos de la sociedad los jóvenes í). Ignacio Peyrolon, D011 Tomas Morera, D. Ignacio Orellana y Doña Josepha Martínez los que</t>
  </si>
  <si>
    <t>Riebepanse, General</t>
  </si>
  <si>
    <t>General Riebepanse</t>
  </si>
  <si>
    <t>ro de Marina el Contra-Almirante Lacrosse , Capitán General de aquella isla¿( que el día,3 murió el General Riebepanse, cuyá pérdida ha sido llorada por las tropas y po%tódo% los habít^tfs de lqxplqni^r!$e le hid^pn todos «w»; te nte» &lt;!«'.• gr%;feíl^fee$qí8**sel «HHS ántíSjel;^jp4pM aísque^aqHel</t>
  </si>
  <si>
    <t>Riega, Manuel</t>
  </si>
  <si>
    <t>Manuel Riega</t>
  </si>
  <si>
    <t>138. .28..Id. Manuel Riega...................... Angel, María Lallama. ... Portilla........... León.................</t>
  </si>
  <si>
    <t>Riesco, Vicente</t>
  </si>
  <si>
    <t>Vicente Riesco</t>
  </si>
  <si>
    <t>añía de Granaderos. Vicente Riesco.................. . 82. 23. Muerto. Cabo 2.0 Josef de Lago....... . Josef, Josefa Ra</t>
  </si>
  <si>
    <t>Rigual, Joseph</t>
  </si>
  <si>
    <t>Joseph Rigual</t>
  </si>
  <si>
    <t>, frente á las gradas de S. Felipe, se halla a exemplares del Oficio de semana santa, traducido por D. Joseph Rigual, enquadernados en pasta y adornados con 34 estampas sacadas de la apreciable colección de la Biblia española, á &lt;58 rs» cada exemplar; otros de</t>
  </si>
  <si>
    <t>Rilo, Tomás</t>
  </si>
  <si>
    <t>Tomás Rilo</t>
  </si>
  <si>
    <t>...... 147. 24. Id. Tomas Rilo............. . Francisco,María Rodríguez. S. Pedro Rayazo...... .. Galicia........... 183. 10. Id. Francisco Domínguez....... Antonio, Catalina Basal... Castel</t>
  </si>
  <si>
    <t>Rimiccini, Cardenal</t>
  </si>
  <si>
    <t>Cardenal Rimiccini</t>
  </si>
  <si>
    <t>preconizó varias mitras de la christiandad. El 27 de Diciembre murió de un insulto de apoplejía el Cardenal Rimiccini: tenia 5 8 años de edad. Se le dio sepultura el dia 30 en la iglesia de S. Marcelo, asistiendo á sus funerales el Sumo Pontífice con el sacro Colegio. ^m-f Como el pésimo estado d</t>
  </si>
  <si>
    <t>Rimont, Francisco</t>
  </si>
  <si>
    <t>Francisco Rimont</t>
  </si>
  <si>
    <t>icente Royo; en la de buenos á D. Eusebio María Urróz, p. Ildefonso González,- £)- VicenteXimenee y D. Francisco Rimont; y en la de medianos á los demas. (Se concluirá.} Pajdres , diócesis de Avila , 14 de Agosto. A fines de Diciembre del año último se empezáron á ver en este lugar las viruelas nat</t>
  </si>
  <si>
    <t>Riomier, Coronel</t>
  </si>
  <si>
    <t>Coronel Riomier</t>
  </si>
  <si>
    <t>de esta piedra tan hermosa como rara, y una estampa puntual de su vista y todas sus dimensiones. El Coronel Riomier ha traído de Egipto en un buque de guerra un trozo de granito negro, que el General Menou halló en Roseta,y se disponía a enviarle á Francia. Tiene 3 inscripciones en 3 diversas l</t>
  </si>
  <si>
    <t>Riquelme, Francisco</t>
  </si>
  <si>
    <t>Francisco Riquelme</t>
  </si>
  <si>
    <t>ustillo Cuéva,' D. Francisco Vízcarrondo, D. Santiago Irrisarri y Sarti, D. Joaquín: dé Castañeda , D. Francisco Riquelme , D. Joseph de la EnoU na, D. Pedro Saenz de la Guardia, D. Salvador del Castillo, D. Joaquín Rodríguez de Ribera, D. Juan Topete, D. Joseph Quevedo y Cheza, D. Lino Truxiilo y Ta</t>
  </si>
  <si>
    <t>Riu y Font, Pedro</t>
  </si>
  <si>
    <t>Pedro Riu y Font</t>
  </si>
  <si>
    <t>arroquia de S. Pedro de las Fuellas de la ciudad de Barcelona por fallecimiento de D. Manuel Ríu, á D. Pedro Riu y Font : pará otro* también de Parentela, vacante en la parroquia de Santa María dei Pino, de dicha ciudad de Barcelona , por muerte de D. Jayme Guilla, á D. Ramón Tort y Canals: para ot</t>
  </si>
  <si>
    <t>Ríu, Manuel</t>
  </si>
  <si>
    <t>Manuel Ríu</t>
  </si>
  <si>
    <t>, vacante en ia parroquia de S. Pedro de las Fuellas de la ciudad de Barcelona por fallecimiento de D. Manuel Ríu, á D. Pedro Riu y Font : pará otro* también de Parentela, vacante en la parroquia de Santa María dei Pino, de dicha ciudad de Barcelona , por muerte de D. Jayme Guilla, á D. Ramón</t>
  </si>
  <si>
    <t>Rivera Arguelles, Joseph</t>
  </si>
  <si>
    <t>Joseph Rivera Arguelles</t>
  </si>
  <si>
    <t>Luis de la Encina; para una Ca-; nongíh dé ia de Oviedp,'vacante por muerte de D; Pedro Colosía, á Don Joseph Rivera Arguelles: para otra.de la colegial de Cardona, diócesis dé Sofsana, vacantepor renuncia:de D.'Emétecio^Martí , á D. Emeterio Serra; y para una Capellanía del número de la catedral de .Guad</t>
  </si>
  <si>
    <t>Rivera, Joseph</t>
  </si>
  <si>
    <t>Joseph Rivera</t>
  </si>
  <si>
    <t>ts, D. Antonio Martinez, Don Bartolomé Navarrete, D. Santiago Fernandez, D. Felipe López de Arjona, D. Joseph Rivera, D. Joseph Cabrera, D. Ignacio Salens , D. M.a-. nuel Vázquez, D. Juan Vidaror, D. Joseph Anillo, D. Mauricio Alva-, rez, D, Manuel Hinojosa, D. Joaquín Luyando, D. Juan Bosa, D.</t>
  </si>
  <si>
    <t>Rizo, Manuel</t>
  </si>
  <si>
    <t>Manuel Rizo</t>
  </si>
  <si>
    <t>de Villena, el Vizconde de Zolina, D. Juan Maduit, D. Juan O-Donojú y O-Rian, D. Joseph Valmaseda, D. Manuel Rizo, D. Francisco Pastor, D. Manuel Ignacio San Juan, D. Juan Senen de Contreras , D. Pedro Lobo y Arjona, D. Diego Orbaneja, D. Joseph Medrano, D. Joaquín de la Chica, D. Agustín Cab</t>
  </si>
  <si>
    <t>Rjafael, Antonio</t>
  </si>
  <si>
    <t>Antonio Rjafael</t>
  </si>
  <si>
    <t>z, vacan te por fallecimiento de Don üV^jlrTrí..- • • j' í i l-I-J'J vz"tv' S.Í'v'ol -.ii •;• • • ~ D. Antonio Rjafael ’Blazquez. '■«•QtiíT '* ! V S...ld4,se'íi^sefvidp.'^pnic «** •&lt; ,, w- • fnoltó?u§e$!!*:3 Vk mm . kk ^k —k _ ^k. kk I d _*k ■ k -~k kk «k al ^t^QieJ?§?f^eí^ta!nad^rQsí T&gt;;. G%sT k</t>
  </si>
  <si>
    <t>RlIllaB de Espeja</t>
  </si>
  <si>
    <t>ale Real de^f^o peses, creación de Enero , ntirn. 49i,ioO, con nota de $6 rs., renovado en favor de D, RlIllaB de Espeja, y coh la firma de este en blanco. Quien le hubiere hallado le entregará i D. Francisce de las Barreras, frente al Repeso de corte,calle Imperial. &gt; , Ror decreto de ex de: Mayo ú</t>
  </si>
  <si>
    <t>Robéito Prieto</t>
  </si>
  <si>
    <t>Juan deSotoiongo; empleos de^ Alféreces al' Portaestandarte, P. Juan Esquivel y al Sargento segundo D. Robéito Prieto ; de Portaestandartes &amp; los Sargentos segundos 6. Miguel Hernández y D. Francisco. Toyos, y al Cadete D. Joseph María de Sotolongo; Ayudantía al Teniente P. Pedro Juan de Ochoa, y</t>
  </si>
  <si>
    <t>Roberto Bariow</t>
  </si>
  <si>
    <t>fotfne á lo estipulado en el tratada de Según cartaside Gibraítar de 24.de Junio, ha salido de allí Mr. Roberto Bariow con el navio Triunfo de 74 y una fragata para Argel, adonde va á pedir los 3.barcos ingleses con sus cargamentos y tripulaciones, cogidos y dados por buena presa en aquel puerto b</t>
  </si>
  <si>
    <t>Roberto Barlow</t>
  </si>
  <si>
    <t>ahora no ha llegado de Inglaterra aquí ninguno de ios que exige el Dey..__ Quando hace 4 meses fu¿ Mr. Roberto Barlow á Argel en el navio Soberbio para pedir la restitución de algunas embarcaciones apresadas por corsarios argelinos (los quales alegaban en su abono que aquellas embarcaciones no ll</t>
  </si>
  <si>
    <t>Roberto Peel</t>
  </si>
  <si>
    <t>nciller del Echiquier sobre suspender por algún tiempo los pagamentos del banco en dinero efectivo. Mr. Roberto Peel observó que era forzosa esta medida supuesto que el banco no poseía en efectivo la trigésima parte de las cédulas y billetes que tiene en circulación, los quales en sentir de Mr.</t>
  </si>
  <si>
    <t>Robina, Rafael</t>
  </si>
  <si>
    <t>Rafael Robina</t>
  </si>
  <si>
    <t>calle de Fuencarral, esquina á la de las Infantas: viuda de Gilí, hijos y sobrino, calle Imperial: D. Rafael Robina, plazuela de la Cebada: viuda de D. Julián dé Usátegui, plazuela de Sto; Domingo: librea ría de D. Elias Ranz, calle de la Cruz: D. Francisco María López MoreÍle, lonja.de especer</t>
  </si>
  <si>
    <t>Robleda, Nicolás</t>
  </si>
  <si>
    <t>Nicolás Robleda</t>
  </si>
  <si>
    <t>270. 19. Id. Nicolás Robleda.............. .. Francisco, María Robleda. Casallo......... León............ 38. 11. Licenciado, Manuel Modrego............ .. Josef, Felician</t>
  </si>
  <si>
    <t>Roblejo y Caballero, Francisco</t>
  </si>
  <si>
    <t>Francisco Roblejo y Caballero</t>
  </si>
  <si>
    <t>e de matemáticas de la Real academia de S. Fernando el día 29 de Junio del año de 1800 por su autor D. Francisco Roblejo y Caballero , discípulo de la misma Real academia en la expresada clase : dedicada al Exc. Sr. D. Pedro Cevallos. Se hallará en la librería de Dávila, calle de las Carretas. Seis dúos para do</t>
  </si>
  <si>
    <t>Robles, Francisco</t>
  </si>
  <si>
    <t>Francisco Robles</t>
  </si>
  <si>
    <t>sco Arguelló, y á Subtenientes de bandera á los graduados I&gt;. Cbristóbal Perez, Sargento primero, y D. Francisco Robles y D. Joseph Bello, Cadetes del mismo regimiento. Asimismo ha conferido S. M. grado de Capitán de infantería á D. Joseph Masilla, Teniente de granaderos del propio cuerpo. El Rey ha ve</t>
  </si>
  <si>
    <t>omas ligarte, D. Ignacio de; la Luz, D. Francisco Sánchez, p. Joseph Aymericb, D. Jacobo Dubrevil , D. Francisco Robles; D. Angel Fuentes, Di Diego Escovar, D. Bartolomé Cucalón, D. Diego:Niet&lt;&gt;,D. Manuel de Muro, D. Francisco Ixart ,¿0. Miguelde CastroAjaoz, p. Juan Ramirez, Do* Fernando Amador ,</t>
  </si>
  <si>
    <t>Robles, Vicente</t>
  </si>
  <si>
    <t>Vicente Robles</t>
  </si>
  <si>
    <t>....... 477, 4. Id. Vicente Robles................. . Matías, Gabriela Perez.... Sta. Columba. León............. 325. Id. Manuel Alonso.................... Andrés, Angela Boc</t>
  </si>
  <si>
    <t>Robredo y Lea, Juan</t>
  </si>
  <si>
    <t>Juan Robredo y Lea</t>
  </si>
  <si>
    <t>de Arteaga, D. Alonso Solis y Zurita, D. Joseph Bernaci y Retamar, Don Ignacio Éscovar y Ríquelme, D. Juan Robredo y Lea, D. Joseph de Córdoba y? Roxas , 0. Lope Valcarcel y Valcarcel, D. Joseph Linares é Iba?* nez, D.; Diego de^Obando y Adorno, D. Francisco Feruandez de Miran?* qa ,/Di FranciS|cqrI</t>
  </si>
  <si>
    <t>Robson</t>
  </si>
  <si>
    <t>modo de tasar el pan, y un biíi sobre la destilación de aguardiente de granos, al que se ha opuesto Mr. Robson , alegando la escasez que aun se. padece; pero Mr. Addington sostiene que la cosecha de este año lia sh. do muy abundante. En el último paquebot de Lisboa ha llegado á Londres D.</t>
  </si>
  <si>
    <t>Róbson</t>
  </si>
  <si>
    <t>. el Duque de Sussex, y otras 12® para el Duque de Cambridge.” Ambas sumas se concedieron. Preguntó Mr. Róbson si este nuevo gasto le pagaría la ,Gran Bretaña sola, ó juntamente con la Irlanda. Contestóle Mr. Addington que según los principios adoptados por la unión le pagarán la Gran Bret</t>
  </si>
  <si>
    <t>Roca, Manuel</t>
  </si>
  <si>
    <t>Manuel Roca</t>
  </si>
  <si>
    <t>mover á Exento de número al supernumerario D. Alonso Ramírez , y a Exento supenuimerari.* al Cadete D. Manuel Roca. n Jimenca. En ei regimiento de infantería de Nueva España se ha servidoS. M. promover á Capitán de granaderos ai de fusileros D. Joseph de</t>
  </si>
  <si>
    <t>Roca, Pedro</t>
  </si>
  <si>
    <t>Pedro Roca</t>
  </si>
  <si>
    <t>, el Marques de Monsalud, D. Francisco Palafox, D. Joseph Ortiz, D. Carlos Aguado, D. Andrés López, D. Pedro Roca, D. Tomas de Jáuregui, D. Marcelo Hstranio, D. Salvador del Toro, D. Joseph Ampudía, D. Francisco Gelabert, el Marques’de Viliadángos, el Conde Armildez, Marqués del Salar, D. Ped</t>
  </si>
  <si>
    <t>Roca, Ventura</t>
  </si>
  <si>
    <t>Ventura Roca</t>
  </si>
  <si>
    <t>ndolo también sido muchos por los Dres. D. Juan Verges, Médico consultor de los Reales exércitos, y D. Ventura Roca, y por los Licenciados en cirugía D. Josepli</t>
  </si>
  <si>
    <t>Rocha, Francisco</t>
  </si>
  <si>
    <t>Francisco Rocha</t>
  </si>
  <si>
    <t>acruz, Guanaxuato, Pachuca, Acapulco y Bolarños, en el Rey no de Nueva España, á D. Manuel Quimper, D. Francisco Rocha, D. Juan González Ferino, D. Joseph Girai de órame y Don Antonio Cumulat. Continuación del tratado de paz con S. M. Británica. Siguen las estipulaciones concernientes d Malta. j.°</t>
  </si>
  <si>
    <t>Rochambeair, General</t>
  </si>
  <si>
    <t>General Rochambeair</t>
  </si>
  <si>
    <t>, á las del General Magon, fué á la enseiia-I da de Manzanilla para desembarcar allí las tropas del General Rochambeair y sostener su ataqué contra Fuerte-Delfín. Condtixe yo el resto de la es-quadrá y las tropas con que se había quedado el General Leclerc para apoderarse dé la ciudad del Cabo y los</t>
  </si>
  <si>
    <t>Rochambeau, General</t>
  </si>
  <si>
    <t>General Rochambeau</t>
  </si>
  <si>
    <t>(que se habían incorporado aquel dia), y conduciendo entre todos como unos 2© hombres ai mando del General Rochambeau, pasáron á' Puerto Delfín; y por la copia del parte que me ha dado el Comandante del Paula de lo ocurrido en aquel puerto, y que traslado á V. B. en mi oficio número 4, quedará V.</t>
  </si>
  <si>
    <t>de la noche del dia en que fondearon las esquadras. Afor-* lunadamente la marcha de las tropas del General Rochambeau, que conforme á las órdenes del General en xefe Leclerc , se habia aproximado al Cabo , han puesto á cubierto los ingenios que estaban á la parte dél E. de la ciudad. Los blancos</t>
  </si>
  <si>
    <t>ano, para ocupar la parte del sur: y el dia 3 el Capitán de Navio Magon, llevando en su división al General Rochambeau con un cuerpo de tropas, navegó hácia el fuerte de la Libertad: la calma le impidió entrar en el puerto; pero á las 7 de la mañana inmediata hizo su desembarco en el Melonar. Apén</t>
  </si>
  <si>
    <t>algunas leguas del Cabo, y dirigirme á los morros que están á espaldas de la ciudad, al paso que el General Rochambeau marchase hácia los de Sta. Susana , Dondon y Rio-Grande. Estaba yo seguro de salvar con esta operación las hermosas haciendas que rodean al Cabo, y esperaba librar aquella desgrac</t>
  </si>
  <si>
    <t>la misma noche á su destino: y el 5 por la mañana, antes que esto se verificara, vino un edecán del General Rochambeau con pliegos para el General en xefe, y con noticias del Capitán Magon sobre Iá expedición de Fuerte-Delfín.-Los negros se opusieron ai desembarco en la ensenada de Manzanilla grit</t>
  </si>
  <si>
    <t>tanta actividad como inteligencia: las tropas se pusieron en marcha hacia Fuerte-Delfin, y las del General Rochambeau tuviéron fieiupo do rodear el castillo de Labouque, y la batería de la Cala, en donde los negros se defendieron con la mayor porfía* Presentóse luego el Capitán Magon delante del</t>
  </si>
  <si>
    <t>y las disposiciones l del General en xefe sirvieron para librar todos los campos. Por su parte el 1 General Rochambeau se apoderó de Limonada y Caracol, y ce todo el i país situado entre el Cabo y Fuerte-Delfín: de suerte que no tenemos que sentir sino la ruina de gran numero de casas del Cabo, en</t>
  </si>
  <si>
    <t>stos del Dondon y de S. Rafael, en los quales no resistiéron Santos ni Christóbal á la división del General Rochambeau , que igualmente los ha arrojado de S. Miguel de la Atalaya. Al mismo tiempo el General Hardy se hacia dueño de la Mermelade y de Ennery, que era el quartel general de los rebelde</t>
  </si>
  <si>
    <t>ho los rebeldes talas considerables, y ocupaban puestos atrincherados que dominaban ei barranco. El General Rochambeau, sin que le arredrase una situación tan formidable, hizo sus disposiciones con pasmosa celeridad, y atacó los atrincheramientos enemigos. Resulto un combate que llegó á ser de hom</t>
  </si>
  <si>
    <t>Expedí órdenes para que se trakese quanto antes de Puerto-Príncipe la artillería. Había llegado el General Rochambeau á Mirabelais^ en donde destruyo todos los almacenes del enemigo, varios repuestos de pólvora , y dispersó las partidas de cultivadores armados. El General halenes se apoderó de un</t>
  </si>
  <si>
    <t>oy salió de la Crete-á-Pierrot el General Hardy para acantonarse en el departamento del Norte; y el General Rochambeau se ha puesto en marcha hácia el distrito de Gonaives, en el qual se halla Santos. Aunque hace 40 dias que estamos en campaña, hémos resuelto continuarla, y no dexar al enemigo tie</t>
  </si>
  <si>
    <t>ra colonial debe ser el triunfo del comercio. He enviado ai General Dugua á la parte del Sur , y al General Rochambeau á la de S. Marcos.” , . A estas noticias añade una carta particular las circunstancias siguientes: „La noticia de la paz ha traído á la razón á Santos. Toda la isla está quieta ,</t>
  </si>
  <si>
    <t>Roco y Massopagano, Miguel</t>
  </si>
  <si>
    <t>Miguel Roco y Massopagano</t>
  </si>
  <si>
    <t>Alcalde ,D. Modesto Ibañéz de Corbera, L&gt;: Pedro de Lamas y la Torre, D. ifulio Róco y Massopagano, D. Miguel Roco y Massopagano , D. Juan Pascual y AyeL, D. Joseph de Posada* y Castilla^ D. MigüeldeVá-^ randicaylX Marcos Betancourt, D. Gerardo Morphry Connan, D. Pedro Fühés V Morillo, D: LoptfFtíúes ^í^íor</t>
  </si>
  <si>
    <t>Rodon, Miguel</t>
  </si>
  <si>
    <t>Miguel Rodon</t>
  </si>
  <si>
    <t>ellanía , vacante en la parroquia de Santa María dei Mar de la ciudad de Barcelona, por renuncia de D. Miguel Rodon , á D. Vicente Casanovas. En América. En el regimiento de infantería de la Corona de NuevaEspaña se ha servido el Rey promover á Capitán al Teniente de granaderos D. Manuel Saenz;</t>
  </si>
  <si>
    <t>, vacante en la parroquia de Sta. María del Mar, de la ciudad de Barcelona, por renuncia también de D. Miguel Rodon, á D. Miguel Casset. S. M. ha nombrado Ingeniero en segundo de sus exércitos, plazas y fronteras á D. Juan Bouligni, Ingeniero ordinario; y para este empleo al extraordinario D. J</t>
  </si>
  <si>
    <t>Rodrigo</t>
  </si>
  <si>
    <t>l y Montoya, D. Ignacio de Lardizabal y Altana, D. Antonio Gilmán, D. Joachín íernandez de Medrano, D. Rodrigo y D. Pedro Tavira, D. Ignacio de Emparan, X). Leopoldo Menendez, D. Joseph de Munive y D. Ramón de Zuloaga. Ln múrica vocal, al cargo de sus maestros D. Joseph Quintana y D. Joseph So</t>
  </si>
  <si>
    <t>Sfe4s^®k^^w g« MitowsmMgmM* D. Rodrigo y D. Pedrc . ..... . .. T ,. u i xr^i de jE&gt;- Domingo Barrera, nd^derLardiMbaV, los Cadetes D. Rodrigo .y D-..Riva^Aguer^ PédjO ?av.ira,yD-, Lardizabal&gt; MaJoaqujn Mjcbano, ÍK-.fé naci</t>
  </si>
  <si>
    <t>ntonio de Calzada, D. Luis Calvo, D; Joseph Astraudi, D. Anselmo Martínez,_D. Rayníundo Carbonell,* D. Rodrigo •Aívarez, D. Ignacio Sandoval, D¿ Nicolás Pastor, D. Joseph Abarca, Don Jdseph Díaz, D. Ignacio Luzon¿ D. Mariano Merchante, D. Christóbal Manzano, D. FranciscoFaxardo, D. Andrés</t>
  </si>
  <si>
    <t>Rodrigo Medrano</t>
  </si>
  <si>
    <t>ro, D. Ramón de la Cuesta, D. Lorenzo Arroyo, D. Manuel Meneos, D. Joseph Imaz, D. Joseph Martínez, D. Rodrigo Medrano, D. Bartolomé Monta! ño, D. Joseph Gómez deLatorre, D. Antonio Sarmiento, D. Antonio Hermosiíla, D. Joseph Bonicelii, D. Joseph de León, D. Patricio Kindélan, D. Ignacio Husey, D.</t>
  </si>
  <si>
    <t>Rodrigo Rodríguez</t>
  </si>
  <si>
    <t>Rodrigo Rodríguez...... . Tomas, Francisca García.. Alija moleros. Za mora......... 450. 17- Muerto. Simón López......... .............. Vitorio, Gregoria Alonso..</t>
  </si>
  <si>
    <t>Rodrigo Tavira</t>
  </si>
  <si>
    <t>ea, y el Subteniente D. Antonio Isidoro de Ojea!,; fuéron examinados de aritmética D. Pedro Tavira, D. Rodrigo Tavira, D. Francisco Traspalados ¿ D. Leopoldo Menendez , D. Manuel de la Riva Agüero, D. Antonio Tavira y D. Ignacio de Emparan: de geometría elemental, hasta los planos exclusive, D. I</t>
  </si>
  <si>
    <t>al cargo de su maestro D. J uan Castro, D. Joseph Kindelan , Don Ignacio Empatan, D. Pedro Tavira, D. Rodrigo Tavira, D. Antonio Gil-, mán, D. Fernando Adan de Yarza, D. Manuel de la Riva Agüero, D. Joseph Cia, D. Leopoldo Menendez, D. Joseph de Torres, D. Joseph Munive, D. Luis Verganza, D. Lui</t>
  </si>
  <si>
    <t>. Blas Lezo, D. Valentín Martinez y D. Antonio Abaxos: de aritmética y parte de geometría elemental D. Rodrigo Tavira, D. Pedro Tavira, D. Francisco Trespaiacios y D. Leopoldo Menendez. De geometría elemental y trigonometría plana D. Antonio Tavira y D. Manuel de ia Riva-Agüero, Cadete de Reales</t>
  </si>
  <si>
    <t>Rodrigo y Ros, Vicente</t>
  </si>
  <si>
    <t>Vicente Rodrigo y Ros</t>
  </si>
  <si>
    <t>buru , D. Joseph de Lama y Montes , D. Joseph Fernandez de las Peñas 9 D. Joseph García de Quesada, D. Vicente Rodrigo y Ros, D. Luis de la Gándara, D. Juan de la Cagiga, D.. Joseph de la Cagiga, T), Vicente de Lama y Montes, D. Francisco Herrera y Bustamante, Don Joseph de Castro :y Pazos , D. Francisc</t>
  </si>
  <si>
    <t>Rodrigo, Francisco Antonio</t>
  </si>
  <si>
    <t>Francisco Antonio Rodrigo</t>
  </si>
  <si>
    <t>leros D. Laureano Miravete: en el batallón de Voluntarios de Valencia a. Xer Subteniente al segundo D. Francisco Antonio Rodrigo; y en el re-; Siento de infantería de Borbon á Subteniente de granaderos al pruner Subteniente D. Toseph Campunot. ' _ t También se ha servido S. M. conferir Compañía en el regime</t>
  </si>
  <si>
    <t>Rodrigue, Mateo</t>
  </si>
  <si>
    <t>Mateo Rodrigue</t>
  </si>
  <si>
    <t>, D. Juan Alabés, D. Juan Macarti, 0. Dionisio Sánchez, D. Joseph Chardenoux, D. Joaquín de la Hoz, D. Mateo Rodrigue?, D. Gervasio Gasea, D. Joseph Metzguer; y áD. Ignacio Paino y Mateos, grado de Milicias. En América, D. Pedro Salcedo, D. Francisco de Torres, D. Cárlos Larras, D. Joseph del Cas</t>
  </si>
  <si>
    <t>Rodríguez Avellan, Manuel</t>
  </si>
  <si>
    <t>Manuel Rodríguez Avellan</t>
  </si>
  <si>
    <t>Pedro Fernandez Palacios y D. Cayetano Miranda : teniendo los tres 2 años v 3 meses de servicio ; y D. Manuel Rodríguez Avellan y D. Francisco de Paula Miranda, 8 meses de servicio. Fueron examinados de todos los títulos de las Reales ordenanzas y quaderno de Reales ordeñes, adición á las leyes penales, conoci</t>
  </si>
  <si>
    <t>Rodríguez Campománes, Pedro</t>
  </si>
  <si>
    <t>Pedro Rodríguez Campománes</t>
  </si>
  <si>
    <t>su piedad. El dia 3 del corriente murió en esta corte á los 78 años y 7 meses de edad el Excmo. Sr. D. Pedro Rodríguez Campománes, Conde de Campománes, caballero Gran Cruz de la Real y distinguida orden española de Carlos ni: habiendo desempeñado sucesivamente por espacio de 47 años los empleos de Asesor gen</t>
  </si>
  <si>
    <t>o. Se hallará á 8 rs. en las librerías de Escribano , Dávila y viuda de Cerro. Retrato del Exc. Sr. D. Pedro Rodríguez Campománes, Conde de Campománes , dibuxado y grabado por D. Joseph Ximeno. Se hallará á 3 rs. en la librería de la viuda de Cerro , red de S. Luis. En la librería de Campo, calle de Alcalá,</t>
  </si>
  <si>
    <t>Rodríguez Conchero, Pedro</t>
  </si>
  <si>
    <t>Pedro Rodríguez Conchero</t>
  </si>
  <si>
    <t>Vicario general de Polonia, Prusia y Lithuania, y Secretario de-S. M. : traducido al castellano por D. Pedro Rodríguez Conchero, presbítero. Es excusado hacer elogio de esta obra á vista de que siempre ha merecido la aprobación y aprecio de las personas timoratas, y lo prueban las 10 copiosas ediciones que</t>
  </si>
  <si>
    <t>Rodríguez de Arella, Vicente</t>
  </si>
  <si>
    <t>Vicente Rodríguez de Arella</t>
  </si>
  <si>
    <t>ente al coliseo de la calle del Príncipe : su precio 4 rs. El Negro y la Blan^a^^pomedia nueva, por D. Vicente Rodríguez de Arella— no. = La Florentina', comedia del mismo autor. Véndese en el puesto de Sánchez, calle del Príncipe, frente al coliseo. -- Estampa que representa la valerosa lid de Inocencio Robl</t>
  </si>
  <si>
    <t>Rodríguez de Arias, Bartolomé</t>
  </si>
  <si>
    <t>Bartolomé Rodríguez de Arias</t>
  </si>
  <si>
    <t>, P. Antonio Castaños, D. Ignacio Acedo, D. Francisco García González, D„ Francisco Xaviejr Pineda, D. Bartolomé Rodríguez de Arias,D. Antonio Miranda y Cosmea, D. Francisco Párraga, D. Vicente de la Torre Puebla ,D. Joseph Pardo y Lama, D. Lorenzo de Toro y Toledo, D. Leandro de Cáceres, D. Juan Izquierdo, D.</t>
  </si>
  <si>
    <t>Rodríguez de Moya, Carlos</t>
  </si>
  <si>
    <t>Carlos Rodríguez de Moya</t>
  </si>
  <si>
    <t>el Munarríz, del Consejo de S. M. , y Alcalde de su Real casa y corte, y escribanía de provincia de D. Carlos Rodríguez de Moya. Por providencia del Sr. D. Juan Antonio Santa María, del Consejo de S. M.‘, primer Teniente Corregidor de esta villa, se han mandado sacar á publica subasta, por término de 30 di</t>
  </si>
  <si>
    <t>Rodríguez de Paterna, Joseph</t>
  </si>
  <si>
    <t>Joseph Rodríguez de Paterna</t>
  </si>
  <si>
    <t>or al Capitán, graduado de Teniente Coronel, D. Joseph María de Ribas , y á Alféreces á los Cadetes D. Joseph Rodríguez de Paterna y D. Pedro de las Gas^s y Ruiz ; y en ei de Numancia á Sargento mayor al Capitán , graduado de Teniente Coronel, D. Francisco de Toro. El ltey se ha servido nombrar Guarda Almacén ord</t>
  </si>
  <si>
    <t>Rodríguez de Ribera, Joaquín</t>
  </si>
  <si>
    <t>Joaquín Rodríguez de Ribera</t>
  </si>
  <si>
    <t>ancisco Riquelme , D. Joseph de la EnoU na, D. Pedro Saenz de la Guardia, D. Salvador del Castillo, D. Joaquín Rodríguez de Ribera, D. Juan Topete, D. Joseph Quevedo y Cheza, D. Lino Truxiilo y Tacón, D. Antonio Miralles, D. Luis María de Salazar, D. Miguel Gastón y Navarrete, D. Antonio de la Torre Puebla, D</t>
  </si>
  <si>
    <t>Rodríguez de Rivera, Antonio</t>
  </si>
  <si>
    <t>Antonio Rodríguez de Rivera</t>
  </si>
  <si>
    <t>r de Córdoba; á D. Joseph Joaquín de Santa María, Alcalde mayor de Ecija, y á D.Antonio Rodríguez de Rivera, Teniente primero de Asistente de la misma ciudad de Sevilla; del Crimen de Extremadura á D. Joseph Manuel Calderón de Guevara, Alcalde mayor de Badajoz ; del Crimen de Aragón á D. Juan Ant</t>
  </si>
  <si>
    <t>Rodríguez del Toro, Fernando</t>
  </si>
  <si>
    <t>Fernando Rodríguez del Toro</t>
  </si>
  <si>
    <t>468 dias Españolas á primer Teniente al segundo de cazadores D. Fernando Rodríguez del Toro; á Tenientes de granaderos y cazadores á los segundos Tenientes de fusileros D. Manuel de Peralta y D. Ramón Despujol, graduado de Teniente Coronel, y a Alférez de cazadores al de</t>
  </si>
  <si>
    <t>Rodríguez García, Francisco</t>
  </si>
  <si>
    <t>Francisco Rodríguez García</t>
  </si>
  <si>
    <t>n reparttSo &lt;lós premios , el »no al mismo ciud. Eel^s, y #tro al ciud. Gaste. v V Moren 7 de Mayo. Don Francisco Rodríguez García « catedrático por S. M. de los Reaíe* «íudics de esta villa, conocido por su zUo í instrucción, y por la contMticfá con que desde su estáMectónto^n este.pueblo sostiene las dos cl</t>
  </si>
  <si>
    <t>Rodríguez Granados, Juan</t>
  </si>
  <si>
    <t>Juan Rodríguez Granados</t>
  </si>
  <si>
    <t>delpartído de Tecoaleya; y para una Media-Radon de la catedral de Durahgo, .vacante por renuncia de D. Juan Rodríguez Granados, á D. Fernando ■ Cortes, " ■ del Rey. ‘ * * i Anales de ciencias, natural^ , núm. ig¡ , ppntiene: nivelación barométrica des* de Cartagena de Indias hasta Ssnta. Fe de Bogotá : de</t>
  </si>
  <si>
    <t>Rodríguez Guerra, Rafael</t>
  </si>
  <si>
    <t>Rafael Rodríguez Guerra</t>
  </si>
  <si>
    <t>rrachaga y Zavala, Don Joseph García Joye, D. Miguel Vaidásano y Ros, D. Joseph de Leyva y. Lerin , D. Rafael Rodríguez Guerra, D. Ramón Ortiz Canela y Esteller, D. Manuel Valcarcel, y Oconri, t). Joachin de Mora; y Duarte ,, D. Diego de Arteaga, D. Alonso Solis y Zurita, D. Joseph Bernaci y Retamar, Don</t>
  </si>
  <si>
    <t>Rodríguez Valderábano, Joseph Manuel</t>
  </si>
  <si>
    <t>Joseph Manuel Rodríguez Valderábano</t>
  </si>
  <si>
    <t>agun á D. Antonio Lorente Ximenez de Castro: para la Vara de Alcalde mayor de la ciudad de Motril á D. Joseph Manuel Rodríguez Valderábano: para la de Algecíras á D. Pedro Benito Vidal: para la de la villa de Medellin á D. Joseph Meliton de Nava: para la de la isla de la Palma , en Canarias, á D. Juan de Mata Franco;</t>
  </si>
  <si>
    <t>Rodríguez, Agustín</t>
  </si>
  <si>
    <t>Agustín Rodríguez</t>
  </si>
  <si>
    <t>, Francisco de Paula Pa^ía, D. Fernando Sandoval, D. Francisco dé Yeste , D. Lorenzo Villavicencio, D. Agustín Rodríguez, D. Juan Bascon , D. Peclro Celés'tino Calvo, D. Henrique Texerizo, D. Benito Tolra Lafita , D. Serafín Alonso, D. Rafael Nestares, D. Joaquín Ruiz, D. Miguel Aguirre, Don JuanNuñ</t>
  </si>
  <si>
    <t>, calografía, ortografía, aritmética, é historia sagrada, á D. Joseph Blanco, Di,Mateo Quintanilla, D. Agustín Rodríguez, D. Juan Grespo y D. Vicente Pérandones. En la clase de menores á D. Manuel García Zorrilla y D. Hipólito Diez Serrano. En ia de sintaxis al seminarista Don Ramón de la Torre, D.</t>
  </si>
  <si>
    <t>... 13. ... Muerto. Agustín Rodríguez......... Josef,Josefa Chaodearrias. Cordisal......... Rozas... 40. 12. Id. Josef Gómez....................... Josef, Romana Puga</t>
  </si>
  <si>
    <t>Rodríguez, Andrés</t>
  </si>
  <si>
    <t>Andrés Rodríguez</t>
  </si>
  <si>
    <t>as cada una, fuéroa examinados por suerte D. Joseph Blanco, D. Agustín Deifez, D. Martin Abel enda, D. Andrés Rodríguez, D« Luis Barrera y D. Joseph Fivadulla, en aritmética: D. Pédro Gómez y D. Rafael Cobian, en aritmética y geometría D. Agustín Mellon, Cadete de carabineros de María Luisa, en geo</t>
  </si>
  <si>
    <t>t¿. 14. Licenciado. Andrés Rodríguez................ Manuel, María Hernández. Rioseco......... Rioseco......... 965. 20. Id. Juan de Soto.......................... Márcos, Teodora Vázquez.. S.TirsoSoeyro. Corufia</t>
  </si>
  <si>
    <t>Rodríguez, Antonio</t>
  </si>
  <si>
    <t>Antonio Rodríguez</t>
  </si>
  <si>
    <t>187. 9. Id. Antonio Rodríguez............. Manuel, Josefa Vázquez... Piñeyro......... Orense.. 103. 23. Id. Manuel Cabezas................ Ramón, Agustina Santos.. Ca</t>
  </si>
  <si>
    <t>Rodríguez, Domingo</t>
  </si>
  <si>
    <t>Domingo Rodríguez</t>
  </si>
  <si>
    <t>72. 17. Licenciado. Domingo Rodríguez........... Manuel, Lorenza González. Gestoso...........León................. Josef de ,1a Villa.................. Josef, María Ruipercz.......... Parroquia de</t>
  </si>
  <si>
    <t>laxara. 94* 15. Id. Domingo Rodríguez....... . Miguel, Ana González....... Castro Calde-las............ Tuy. 4t. a6. Id. Patricio Merino............... Lúeas, Bernarda Perez.... Qu</t>
  </si>
  <si>
    <t>Rodríguez, Esteban</t>
  </si>
  <si>
    <t>Esteban Rodríguez</t>
  </si>
  <si>
    <t>quera, en el obispado de Málaga , que vacó por fallecimiento de D. Francisco Domínguez de Tejada, á D. Esteban Rodríguez ; y para el Beneficio simple servidero de las villas de Castro y Espejo , en la diócesis de Córdoba, vacante por muerte de D. Félix Gil de Olaun y Briones, á D. Román del Rey. S.</t>
  </si>
  <si>
    <t>Rodríguez, Francisco</t>
  </si>
  <si>
    <t>Francisco Rodríguez</t>
  </si>
  <si>
    <t>ernando Bienpica, D. Juan O-Snlivan, í). joseph de la Valle , Don Joseph Alvarez, D. Cárlos Meyner, D. Francisco Rodríguez , D. Tolhas Rocamora, D. Agustín Pinedo, D. Antonio Cordero,. D. Pedro Villaescusa, D. Miguel Emparan , D. Francesco Alburquerque, D. Blas González, D. Juan María de Soto, D. Fran</t>
  </si>
  <si>
    <t>432. 30, Id. Francisco Rodríguez......... . Francisco, María Prieto... Viducira........Galicia............ 908. 12. Id. Cabo 2.0 Melchor Navarro. Miguel, Francisca Vergara. Las Cuevas... Granada......</t>
  </si>
  <si>
    <t>28).. 19. Id. Francisco Rodríguez.......... Juan, Antonia Sánchez.... Sta.Eugenia. Salvatierra... 176. 5* Id. Manuel Pedrosa.................. Toribio, María Dorotea....</t>
  </si>
  <si>
    <t>Rodríguez, Gabriel</t>
  </si>
  <si>
    <t>Gabriel Rodríguez</t>
  </si>
  <si>
    <t>h Gregorio de Toro; á segundo Teniente al Alférez D. Vicente Novoa, y á Portaestandarte al Sargento D. Gabriel Rodríguez: en el de la Reyna á Alférez al Portaestandarte D. Ramón Calderón: en el del Infante á Ayudante al primer Teniente D. Joseph Alarcon: en el de Alcántara á segundo Teniente al Alfé</t>
  </si>
  <si>
    <t>Rodríguez, Ignacio</t>
  </si>
  <si>
    <t>Ignacio Rodríguez</t>
  </si>
  <si>
    <t>r. 7- Licenciado. Ignacio Rodríguez............... Christóbal,Gabriela Capote. Ónzorcilla.... León........ 153- n. Muerto. Martín Bolet....... fT....... Juan, Antonia Echeverrí.. Astoro</t>
  </si>
  <si>
    <t>50. 19. Id. Ignacio Rodríguez... r.... Sítitos, Manuela Gastón... Moral........... Guadalaxara. no. Id. Francisco Sanz.....................</t>
  </si>
  <si>
    <t>Rodríguez, Juan Joseph</t>
  </si>
  <si>
    <t>Juan Joseph Rodríguez</t>
  </si>
  <si>
    <t>gro de capitales en la forma prevenida en la gazeta de 16 de Julio último. Por la audiencia del Dri D. Juan Joseph Rodríguez, Alcalde mayor por S. M. de la villa de la Nava del Rey (en Castilla la vieja, provincia de Valladolid), Juez subdelegado de la ifcesta, montes, plantíos y sementeras de su jurisd</t>
  </si>
  <si>
    <t>Rodríguez, Manuel</t>
  </si>
  <si>
    <t>Manuel Rodríguez</t>
  </si>
  <si>
    <t>22.. 24. Id. Manuel Rodríguez.. Manuel, Josefa Roxo...... Toro......... Toro.............. 31. 8. Id. Matías Crespo........ Geró</t>
  </si>
  <si>
    <t>Rodríguez, Manuel Martín</t>
  </si>
  <si>
    <t>Manuel Martín Rodríguez</t>
  </si>
  <si>
    <t>enera en la iglesia de PP. Premonstratenses de Valladolid , en pliego de marca mayor , dibuxada por Don Manuel Martin Rodríguez, y grabada por D. Manuel Esquivel y Sotomayor. Véndese á 4 rs. en la sacristía de dicha iglesia, y también en la iglesia de S. Norberto de esta corte, vulgo los Mostenses. 4 Minue</t>
  </si>
  <si>
    <t>Rodríguez, Melchor</t>
  </si>
  <si>
    <t>Melchor Rodríguez</t>
  </si>
  <si>
    <t>40. 18. Licenciado* Melchor Rodríguez........... Antonio, Antonia Soto......... Palencia..........Palencia.......... 266. 31. Id. Roque Aleson.......................Manuel, Colonia Rodríguez. Trido...........</t>
  </si>
  <si>
    <t>Rodríguez, Miguel</t>
  </si>
  <si>
    <t>Miguel Rodríguez</t>
  </si>
  <si>
    <t>;; Pedro Muñoz, D, Juán Davadié , D. Agustín Sánchez, I}. Manuel Mo¿ ro, D: EugenioTontas y Alcalá, D. Miguel Rodríguez, D. FranciscO dé Borja , D. Diego; Encina , D. Manuel de la Cruz., D¿ Diego de Mesa , fc)oñ Pedro déPCastillo, D. Joaquín Oquendo, D. Vieente Rosique, D. Cle^* mente Falcon 9 D. F</t>
  </si>
  <si>
    <t>Rodríguez, Sebastián</t>
  </si>
  <si>
    <t>Sebastián Rodríguez</t>
  </si>
  <si>
    <t>. Alezo Ponce de León y Molejón , ,D. "Guillermo Auvarede: y Perez, D. Diego del Castillo y Castro, D. Sebastian Rodríguez de: Arias y la; Puente, D. Juan Barrera y Amiot, D. Rafael de Quésada y Axango, P. Francisco Ponce de León y Morejon, D. Juan Navarro y Pinillos, D. Rafael del Castillo y Rada, D. Ju</t>
  </si>
  <si>
    <t>Rodríguez, Tomás</t>
  </si>
  <si>
    <t>Tomás Rodríguez</t>
  </si>
  <si>
    <t>pesos , creación de j • de Enero, núms. 365,013 , 371,413, 371,414 y 37^354» renovados i nombre de D. Tomas Rodríguez, sin otro endoso ni cesión. Quien los haya hallado ios entregará en la cerería de la plazuela -del Angel. Por providencia dfel Sr. D. Juan Antonio López Aleamirano , caballero de</t>
  </si>
  <si>
    <t>Rodríguez, Vicente</t>
  </si>
  <si>
    <t>Vicente Rodríguez</t>
  </si>
  <si>
    <t>g^t. Id. Vicente Rodríguez............................Ana Josefa de Dios. Villamayor... León................ 240. 15. Id. Santiago Martin.................. Antonio, Josefa Martin.... Ledesma........Ledesma.........</t>
  </si>
  <si>
    <t>...... 3Í0. zo. Id. Vicente Rodríguez,.............. Pedro , María Moran.......... San Juan de Torres....... León.............</t>
  </si>
  <si>
    <t>mpama de Fusileros. Vicente Rodríguez............... Josef, Cecilia González.... Herreros........ Palencia........ 2or. 36. Muerto. ■Remigio Alvarez............. Remigio, María Jáuregui. Anusrio......... Bilbao..</t>
  </si>
  <si>
    <t>Rodulfo Gautier</t>
  </si>
  <si>
    <t>arlos Luxan,D._ Vidal Marín, el Conde de Cotdagués, D. Francisco TefradellasyP. Manuel dé Mi randa, D. Rodulfo Gautier, Marques de CaSteldosrius, D. Juan Manuel de Villeoa, el Marques de Monsalud, D. Francisco Palafox, D. Joseph Ortiz, D. Carlos Aguado, D. Andrés López, D. Pedro Roca, D. Tomas de</t>
  </si>
  <si>
    <t>Roederer</t>
  </si>
  <si>
    <t>olicía, no hallaría ej gobierno otro qué fílese nías digno de su¡ confianza. El ciud. Roederer, señalado ya para ’ individuo del Senado des de la formación de este cuerpo, ha sobresalido siempre en él Consejó de Estado. Sus talentos y su amor á la patria</t>
  </si>
  <si>
    <t>Roger de Caux, Henrique</t>
  </si>
  <si>
    <t>Henrique Roger de Caux</t>
  </si>
  <si>
    <t>..Santiago Noguer; á esta resulta al primer Subteniente D. Joseph Asaillit; á la de este al segundo D. Henrique Roger de Caux, y á segundo Subteniente al Sargento primero I&gt;. Bartolomé Estellez; y en el suizo de Courten á Subteniente al Cadete D. Juan Francisco Rols. Confórmela. lo ofrecido en la gazeta</t>
  </si>
  <si>
    <t>Roldan, Andrés</t>
  </si>
  <si>
    <t>Andrés Roldan</t>
  </si>
  <si>
    <t>• , ' - • ' . - 963 déllái D. Andrés Roldan , Capitán dél regimiento de infantería de Navarra: para el del castillo de Santi Fetri , extramuros de la de Cádiz , al Capitán 1). Matías Pa r din asAyudante mayor del de infante</t>
  </si>
  <si>
    <t>Rolleston</t>
  </si>
  <si>
    <t>erca de la República bátava. ,.Mr. Jackson va con igual carácter á Berlín, y lleva por secretario á Mr. Rolleston. También está nombrado Mr. Juan Hunter para Cónsul general de ía Gran Bretaña en Madrid. Dase por cierto ei* algunas gazetas inglesas, que los puntos principales del tratado de co</t>
  </si>
  <si>
    <t>Rols, Juan Francisco</t>
  </si>
  <si>
    <t>Juan Francisco Rols</t>
  </si>
  <si>
    <t>niente al Sargento primero I&gt;. Bartolomé Estellez; y en el suizo de Courten á Subteniente al Cadete D. Juan Francisco Rols. Confórmela. lo ofrecido en la gazeta de 27 de Octubre ultimo se insertan los artículos . preliminares de paz entre la República francesa v S„. Al. Británica. „El primer Cónsul de</t>
  </si>
  <si>
    <t>Romaguera, Ignacio</t>
  </si>
  <si>
    <t>Ignacio Romaguera</t>
  </si>
  <si>
    <t>...... 479. 30. Id. Ignacio Romaguera............ Ignacio, Josefa Aguirre.... Gandía.......... Valencia........ 40. 10. Id. Pedro Martinez................... Melchor, María Urb</t>
  </si>
  <si>
    <t>Román</t>
  </si>
  <si>
    <t>e bastante resistencia' convino en ello. Murió la muger el 3 dél corriente á las 8 de la noche ;,y. D. Román de la.Plaza cuidó de que la difunta no quedase con la , boca cerrada. Mandó, llamar al Cirujano , al Escribano y uno de los Regidores.;, y hechas las pruebas de qué ía Mariana estaba di</t>
  </si>
  <si>
    <t>Román del Rey</t>
  </si>
  <si>
    <t>stro y Espejo , en la diócesis de Córdoba, vacante por muerte de D. Félix Gil de Olaun y Briones, á D. Román del Rey. S. JVL se ha servido promover en el regimiento de Reales Guardias Walonas á primer Teniente al segundo Teniente de granaderos D. Cárlos de Gravina. En el Real cuerpo de Artillerí</t>
  </si>
  <si>
    <t>Román Matías</t>
  </si>
  <si>
    <t>e Coronel} D, Luis Paulino &lt;i’ Aigremorit; y á segur.dos?Temen:4: tes-á los Alféreces de granaderos D. Román Matías; de rLandaburii* y Doá Luis Marques de Foucaiild. v k «;• '-.«i ov-* 'i ; di 'vr ;v; - sS.- M. se ha servido promover á Ayudante del regimiento de Cazadores de Viilav iciosa á D.</t>
  </si>
  <si>
    <t>Román, Alonso</t>
  </si>
  <si>
    <t>Alonso Román</t>
  </si>
  <si>
    <t>276. 6. Licenciado. Alonso Román..................... Alonso, Tomasa Perez....... Morales......... .Zamora......... 64. 30. Id. Manuel Somalo.................. Manuel, María Cruz López. Batios........ StoDomiogo.</t>
  </si>
  <si>
    <t>Romarota y Salamanca, Jacinto</t>
  </si>
  <si>
    <t>Jacinto Romarota y Salamanca</t>
  </si>
  <si>
    <t>del Castillo y Armenia, D. Antonio Palomar y Arias, D. Manuel de Palacios, D. Henrique O-Dogherti, D. Jacinto Romarota y Salamanca^D. Joseph Corones y Alberola, D. Nicolás dé la Vega y San Julián, D. Manuel Lasqueti y Lasqueti , D. Miguel Pascual y Menocal, Don Ramón Rato y Ramírez, fk Roque Díaz Pardo, D. Mi</t>
  </si>
  <si>
    <t>Romay, Juan</t>
  </si>
  <si>
    <t>Juan Romay</t>
  </si>
  <si>
    <t>D.. Antonio de Lema,D. Joseph López, D, Joseph de Piles,D. Martin de Jáuregui, D. Cayetano Muller, D, Juan Romay, D. Felipe del Saso , D. Carlos Calvo, D. Joaquín Aldecoa, D. Antonio de Rozo, D. Joseph.de la Gceja , P. Juan de Sesma, D. Santiago Aldaó, D. Juan Piñeyro, D, Narciso Llaudes, D.</t>
  </si>
  <si>
    <t>RomerO Alpuéflté, Jüan</t>
  </si>
  <si>
    <t>Jüan RomerO Alpuéflté</t>
  </si>
  <si>
    <t>él Rey éft ñothbrar £ D. Vfééifte Ganó Manuel^ Oidor de lá Cháncillería de ^ f “ :paráestá plaza áí D. Jüan RomerO Alpuéflté^ Fiscal dét crímeh J&gt;; Vícénté Fhfn¿ 'ÁshnwmoLjia vemdo S. M. eiyiibílár á los Oidores de la ]propia Audiencia de Valencia Marqués; de la Térre Carrns, D. Francisco Ximenez de Arr</t>
  </si>
  <si>
    <t>Romero y Uriraiz, Joseph</t>
  </si>
  <si>
    <t>Joseph Romero y Uriraiz</t>
  </si>
  <si>
    <t>Orive, :D. Domingo Sarachaga y Z aval a, D. Gavino de Arana y Arrióla, D. Joseph Obando y Adorno , D. Joseph Romero y Uriraiz , D. Alvaro de la Sema, D. Garlos Rato y Ramírez, D. Ramón Enlate y Tovias, D. Martin Manuel Mathéo, D. Femando Dominicis , y D. Juan de Cárdenas y Cárdenas. A Alféreces de Navio</t>
  </si>
  <si>
    <t>Romero, Antonio</t>
  </si>
  <si>
    <t>Antonio Romero</t>
  </si>
  <si>
    <t>S. M. ha nombrado 2 D. Antonio Ramos para el Deanato de la metropolitana dé Zaragoza, debió decir á D. Antonio Romero. Por el Sr. D. Manuel Vicente de Torres, Teniente Corregidor dé esta viKa, se cita y emplaza por'segundo y último término i los defensores ó administradores del estado de la Conqu</t>
  </si>
  <si>
    <t>dignado el Rey promover á Subtenientes i los Sargentos primeros D. Pedro López, D. Remigio Romero, D. Antonio Romero, D. Esteban Dupré, dé granaderos, y D. Antonio dé Torres; y á los Cadetes D. Fernando Gandía y D. Ramón Quiñones : éri el cíe Milicias dé caballería de la misma plaza ha promovido</t>
  </si>
  <si>
    <t>Romero, Francisco</t>
  </si>
  <si>
    <t>Francisco Romero</t>
  </si>
  <si>
    <t>Lino Garzón, y al de fusileros D. Juan de Lugo; y á Subte-' nientes de granaderos los de fusileros D. Francisco Romero, D. Vicente* Vinegra y D. Eugenio Tarrio. El Rey se ha servido conferir el empleo de Comandante Veterano de la primera división de milicias de la Costa del Norte del Reyno de Nuev</t>
  </si>
  <si>
    <t>ranaderos al de fusileros D. Die^o Antonio de Urrutia: á Tenientes á los Subtenientes de granaderos D. Francisco Romero y D. Vicente Vinegra ; y á esta resulta á los Subtenientes de fulleros D. Rafael García y D. Manuel de Urrutia. También en el de milicias de caballería de la misma plaza ha conferido</t>
  </si>
  <si>
    <t>Romero, Joseph Benito</t>
  </si>
  <si>
    <t>Joseph Benito Romero</t>
  </si>
  <si>
    <t>ema, D. Xavier García Flores, D. Rosendo Abal, D. Juan Joseph. Navajas, D. Juan Patricio Rodríguez, D. Joseph Benito Romero, D. Joaquín de Ponte, D. Joseph Molina, D. Lázaro de Avila, D. Baltasar Calvache, Don Francisco Ruiz, D. Alfonso Ramiro, D. Antonio de la Rocha , D. Juan López de Molina,D. Lucas</t>
  </si>
  <si>
    <t>Romero, Remigio</t>
  </si>
  <si>
    <t>Remigio Romero</t>
  </si>
  <si>
    <t>e Puerto-Rico se ha dignado el Rey promover á Subtenientes i los Sargentos primeros D. Pedro López, D. Remigio Romero, D. Antonio Romero, D. Esteban Dupré, dé granaderos, y D. Antonio dé Torres; y á los Cadetes D. Fernando Gandía y D. Ramón Quiñones : éri el cíe Milicias dé caballería de la misma</t>
  </si>
  <si>
    <t>Romieu</t>
  </si>
  <si>
    <t>maldades. Intentaron estos perversos ganar la voluntad y atraer ¿ su partido al ciud. Romieu^pero este desechó sus proposiciones con el mayor vilipendio y Petersburgo r$ dé Octubre. E 1 día ix tuyo su primera audiencia de este Soberano Mr. J. B. Warren</t>
  </si>
  <si>
    <t>Roncan</t>
  </si>
  <si>
    <t>p útrida , que ep pocos di as Xá iTeduxo á los términos de tener que recibir el viatico. Informado D. Roncan joseph.de la Plaza, Cura párroco, de que la paciente, estaba en 6 mesés^e su embarazo , y cerciorado de que el Cirujano executaria la operación de. extraer la criatura si se verif</t>
  </si>
  <si>
    <t>Ropero, Manuel</t>
  </si>
  <si>
    <t>Manuel Ropero</t>
  </si>
  <si>
    <t>73. 18. Id. Manuel Ropero .... Francisco, María González. S Miguel.... Avila........ 372. 19. Id. Lorenzo Zancada... Manuel 1 M</t>
  </si>
  <si>
    <t>Roque Abarca</t>
  </si>
  <si>
    <t>1023 En América. D. Roque Abarca, D. Joan Leonart,D. Manuel González, D. Ignacio de la Quintana, D. Agustín Lasala, D. Pedro Nolasco dei Rio, Don Joseph Sabido de Vargas, D. Joseph Salvador, D. Francisco Muñoz y</t>
  </si>
  <si>
    <t>Roque Aleson</t>
  </si>
  <si>
    <t>...... 266. 31. Id. Roque Aleson.......................Manuel, Colonia Rodríguez. Trido.............. Sto.Domingo. 371. Id. Domingo Febrero.......... Simón, Sabina Quintani</t>
  </si>
  <si>
    <t>Roque Almansa</t>
  </si>
  <si>
    <t>.. 227. 19. Muerto. Roque Almansa................ . Lorenzo, Bernarda Cordero. Santerbás.... Carrion......... '43. 22. Id. . Pedro Toral.............. . . Santiago, María Bercedo.. Destriana.... León.</t>
  </si>
  <si>
    <t>Roque Álvarez</t>
  </si>
  <si>
    <t>531. 4. Id. Roque Alvarez... .... Gabriel^ ¡colasa Fernandez..Cubillas......... León..,....... 507. 19* Id. Manuel Alonso......... Francú^</t>
  </si>
  <si>
    <t>Roque Antía</t>
  </si>
  <si>
    <t>nes, D. Joseph Ponce de León, D. Francisco Soler, el Conde de Maceda, D. Joseph Bermudez de Castro, D. Roque Antía, D. Antonio Darcourt, D. Tomas Kindelan , D. Juan de Dios Alvarez Ordoño, D. Gabriel Mendizabal, D. Ignacio Martinez Vallejo, D. Matías Piriz, D. Pedro Baylin, D. Bartolomé de Cas</t>
  </si>
  <si>
    <t>Roque Estenaga</t>
  </si>
  <si>
    <t>i86 de las Reales Caicas del puerto dé Truxillo, en el expresado Reyno, vacante por renuncia de D. Roque Estenaga. El Consejo, á consulta de la Comisión gubernativa de consolidación de Vales, y con aprobación de S. M., ha resuelto la trigesimasexta amortizacion de 125 de 600 pesos, y 669 de 3</t>
  </si>
  <si>
    <t>Roque Gil</t>
  </si>
  <si>
    <t>ón veterano de Casvilla, fixo de Campeche : una Tenencia veterana del batallón dé las de Campeche á D. Roque Gil, Sargento priniéfo, Garzón dikfngtíido1 dé lz plana mayor de blancos agregada, a la segunda «hvtsíon dé pardos dé la áiSma plaza: la primera Compama de1 batallón veterano de Casti</t>
  </si>
  <si>
    <t>Roque GWrqceta</t>
  </si>
  <si>
    <t>González Víüamil, D. Francisco-Zapara y:Pa/ra, í&gt;. Joseph Ahtran de la Torre , D. Marcelo Federici, D. Roque GWrqceta , D. Pedro ¿Je PqrfíSr y Escribano, D. Domingo Navarro y Torres , D. Juan Michelena y Moreno, D. Pedro Cortazar y Abarca, D. Isidro Cortazar: y Abarca, y D. Ramón de Salas Boxádor</t>
  </si>
  <si>
    <t>Roque Miguel</t>
  </si>
  <si>
    <t>ro , maestrante de Ronda y socio de la Real Cantábrica de amigos del pais , á imitación de su padre D. Roque Miguel, que dispuso entablar en este pueblo la inoculación de la viruela natural, empezando por los 4 hijos primeros que á la sazón tenia, y fué uno él D. Fermín, ae cuyas resultas el ci</t>
  </si>
  <si>
    <t>Roque Parrada</t>
  </si>
  <si>
    <t>.2024 A grado de Teniente Coronel tos Sargentos mayores y Capitanes: **-■ ' en España.. ■ ;. D. Roque Parrada, D. Joseph Lasala, D. Francisco Oviedo,D. Joseph Jubert, D. Ramón Figueroa, D. Francisco Uztariz, D. Juan de Dios Cabrera, D. Joseph Arredondo, D. Luis María Bonsteten, D. Luis Ay</t>
  </si>
  <si>
    <t>Roque Rioboo</t>
  </si>
  <si>
    <t>Ayudantes D. Miguel Santistébatí y D. Antonio Aragón ; á Tenientes de granaderos i los de fusileros D. Roque Rioboo y D. Bernardo Lorenzo; á Ayudantes á los Tenientes D. Agustín de Leis y D. Bernardíno Ortega; á Tenientes i los Subtenientes de granaderos D. Basilio Irigoyen , D. Bruno Muñoz y D. Ju</t>
  </si>
  <si>
    <t>Ros, Vicente</t>
  </si>
  <si>
    <t>Vicente Ros</t>
  </si>
  <si>
    <t>706. 29. Bclorado. Vicente Ros................... . Vicente, Tomasa Corbiüa.. Museros........ Valencia.......... 773. 9. Inválidos. Juan Pereyra....................... Pedro, Bárbara Lago...... S. Ma</t>
  </si>
  <si>
    <t>Rosales, Mateo Pablo</t>
  </si>
  <si>
    <t>Mateo Pablo Rosales</t>
  </si>
  <si>
    <t>D. Carlos de Preux. El Rey se ha servido conferir la segunda Compañía fixa de la plaza de Melilia á D. Mateo Pablo Rosales. Eri el Real cuerpo de Artillería ha promovido S, M. á Coronel al Teniente Coronel D. Gerónimo Leoni, graduado de Coronel; y á Capitán al Teniente D. Matías Ferraz. S. M. sfe há s</t>
  </si>
  <si>
    <t>Roschlaub</t>
  </si>
  <si>
    <t>dé la Biblioteca médica browniana^germánica: en el i.° de las calenturas de diferente grado por. el Dr. Roschlaub ; en él n.° dé la calentura pútrida por elDr. Malfati, y el de la convale?» cencía por el Dr. Kramer ; en el 3.0, el que se intitula el Dudoso 6 el jQven Browniano á Ja cabecera d</t>
  </si>
  <si>
    <t>Rose, Antonio</t>
  </si>
  <si>
    <t>Antonio Rose</t>
  </si>
  <si>
    <t>Antonio Rose................ . Josef, Josefa Andrade........ S. Salvador de Pazos......... Santiago.... .</t>
  </si>
  <si>
    <t>Rosendo Abal</t>
  </si>
  <si>
    <t>zquez, Don Juan Vázquez, D. Manuel Quiroga y Cornide, D. Gonzalo4H¿1 Lema, D. Xavier García Flores, D. Rosendo Abal, D. Juan Joseph. Navajas, D. Juan Patricio Rodríguez, D. Joseph Benito Romero, D. Joaquín de Ponte, D. Joseph Molina, D. Lázaro de Avila, D. Baltasar Calvache, Don Francisco Ruiz,</t>
  </si>
  <si>
    <t>Rosendo Alinuzarra</t>
  </si>
  <si>
    <t>503- 14. Id. Rosendo Alinuzarra.... ; Tomas, Eugenia Maldonado. Villa m3 ña n.. León.............. 409. 14. Id. Matías Tomé...................... Manuel, Antonia Abad..:: Boa di</t>
  </si>
  <si>
    <t>Rosendo Porlier</t>
  </si>
  <si>
    <t>gata los Tenientes de Navio D. Joseph Meneses, D. Juan Antonio Careaga, D. Vicente Foxa y Montúfar, D. Rosendo Porlier, D. Joseph Iturrigaray, D. JuanBernazi y Retamar, D. Ramón Blanco Criado, D. Pedro Valencia, D. Tomas rando, D. Antonio Aguirre y Villalba, D. Joseph González y Ortiz, D. Antonio.</t>
  </si>
  <si>
    <t>Rosi y Rubí, Joseph</t>
  </si>
  <si>
    <t>Joseph Rosi y Rubí</t>
  </si>
  <si>
    <t>los ni V ';Á¡Í&gt;.-'Pedro Yangnas ; á D. Pedro y D. Joaquín Cornel ; á D. Manuel dé Herédia y Hore; á D. Joseph Rosi y Rubí» y á D. Manuel dé Fuero wHevía¿ 7 r 7'/ '7; ? 7',: -7 -7 7;77' 7/" 7-‘::;‘'-; -c\j hov- . ' Lld‘óé&gt; i;_cvn Exercicio* 7 '7- : 7 7.7 í : ..r\ r lauque de Sóttímáyór; Conde dé Rivad</t>
  </si>
  <si>
    <t>Rosselly, Pedro</t>
  </si>
  <si>
    <t>Pedro Rosselly</t>
  </si>
  <si>
    <t>a y D. Candido Failde; á segundos Tenientes de granaderos á los de fusileros D» Salvador de Molina, D. Pedro Rosselly y D. Pedro Beltran*; á segundos Tenientes á los Subtenientes de granaderos D. Rafael Pavía, D. Antonio Fortun y Don Francisco Plasencia; á Subtenientes de granaderos á los primeros Su</t>
  </si>
  <si>
    <t>Rosso y González, Bartolomé</t>
  </si>
  <si>
    <t>Bartolomé Rosso y González</t>
  </si>
  <si>
    <t>MoredletáyD.' Manuel Nuñez de Prados- JDÚ Joseplií V’illena y Porlier fDc&gt;Pedro AfecaTale y Sano , Don Bartolomé Rosso y González, D. BartolomóíMo^qinecholy Martinez^ Don Hilarlo Artacho y Torre, EL^Jdftn FranciscalBerininghan^ D- Juan Odohérti y Broun, D- Andrés Mioño y.Quevedoy DvRaihoii Bardo Hefeon, f&gt;.</t>
  </si>
  <si>
    <t>Rotsmann, General</t>
  </si>
  <si>
    <t>General Rotsmann</t>
  </si>
  <si>
    <t>ombres con un tren de artillería volante , se acantonó el día 7 en las cercanías de Woifahagen*. £1 General Rotsmann» que le manda^tiene su quartel en Doernberg. Esperábase el día 21 en. Freudenstadt un destacamento de tropas dfe Badén , que de allí habrá ido: á ocupar los páises adjudicados al</t>
  </si>
  <si>
    <t>Rouville</t>
  </si>
  <si>
    <t>cionado país. Desde la partida del General Walter manda las tropas francesas el ciud. Rouville, xefe de brigada. Londres 23? de Abril. S e sostienen las voces de que no hay artículos secretos en el tratado definitivo de paz; pero parece que se han ajusta</t>
  </si>
  <si>
    <t>Roverella, Cardenal</t>
  </si>
  <si>
    <t>Cardenal Roverella</t>
  </si>
  <si>
    <t>o dél propio Colegióla! Cardenal Vincenti; y el de Superior de la casa y de la iglesia de Jesús, al Cardenal Roverella. Igualmente ha conferido S. S. al Cardenal Caraccióló la Prefectura de la Sta. Congregación de indulgencias y de las santas reliquias. Avisan de Nápoles que se hallan en aquel pue</t>
  </si>
  <si>
    <t>Rovira y Mico, Joseph</t>
  </si>
  <si>
    <t>Joseph Rovira y Mico</t>
  </si>
  <si>
    <t>tiz Canela, D.-FelicianoMallen y Ramos, D. Francisco Tamariz y Moure, D. Gregorio A'guádo'y Payan * D. Joseph Rovira y Mico rD. Francisco Lazarte y A-valf, Antonio Pardo de Andrade, D. Bernardo de Eguia y Sanz, Don Joseph*García Güitléfmi, D. Pedro Vázquez deVelasco, D. Joseph Abreu y Orta', Ií Joseph</t>
  </si>
  <si>
    <t>RoW, Joseph</t>
  </si>
  <si>
    <t>Joseph RoW</t>
  </si>
  <si>
    <t>s de Guardas- de la Factoría en Apan, a J°ffP , Toseoh Toaqnin de Aguilár y D. Matías de .Ojede! Í 'D. Joseph RoW y cía: las de ^ P , r ias ia Factoría de la misma renta, en Vallado lid y Guadalaxara á Mel° vgual n iu át Jto«arío ^d * SieWsT'de*Praos y Ma«U González.Islas■: las plazasde rad MÍ</t>
  </si>
  <si>
    <t>Roxas y Melis, Mateo</t>
  </si>
  <si>
    <t>Mateo Roxas y Melis</t>
  </si>
  <si>
    <t>rogresiva de la servidumbre.” Santa Cruz de Múdela, partido de Almagro 12 de Julio. H 3 abia notado D. Mateo Roxas y Melis., Médico de esta villa, que se repetían en las gazetas experimentos favorables dél uso de la vacuna, dirigido á preservar do,viruelas naturales, que tantos estragos han causado án</t>
  </si>
  <si>
    <t>Roxas, Francisco</t>
  </si>
  <si>
    <t>Francisco Roxas</t>
  </si>
  <si>
    <t>eros al de fusileros D. Tomas Alvarez Cienfuegcs, y á segundo Teniente al Subteniente de granaderos D. Francisco Roxas: en ei de Toledo á Subteniente de granaderos al primer Subteniente D. Joaquin dé Soto , y á¡segundo Teniente de granaderos al de fusileros D. Joseph Sánchez: en el de Murcia á Cap</t>
  </si>
  <si>
    <t>Roxas, Rafael</t>
  </si>
  <si>
    <t>Rafael Roxas</t>
  </si>
  <si>
    <t>adores Don Francisco Antonio Tirado; á segundos Tenientes á los Alféreces de cazadores y granaderos D. Rafael Roxas y D. Manuel Zorrilla; y en el!de Reates Guardias Walonas á primer Teniente de granaderos al pi-imer Teniente y primer; Ayudante mayor D. Pedro Armando Duhart, y á Alférez de granadero</t>
  </si>
  <si>
    <t>Royo, Joaquín</t>
  </si>
  <si>
    <t>Joaquín Royo</t>
  </si>
  <si>
    <t>os granos; D. Ildefonso González, sobre la preferencia de la agricultura á las artes y ei comercio; D. Joaquín Royo, D. Juan Joseph Iranzu y D. Felipe Aner, sobre otros varios puntos rurales.__ Acreditaron después en sus respuestas el mayor lucimiento con aplauso de los exáminadores y concurren</t>
  </si>
  <si>
    <t>Royo, Vicente</t>
  </si>
  <si>
    <t>Vicente Royo</t>
  </si>
  <si>
    <t>, y su cultivo; D. Salvador Sobrevilia» de varios medios de.fomentar y perfeccionar la agricultura; D. Vicente Royo, sobre los abonos en general; D. Juan Antonio Comat, de los graneros y conservación de los granos; D. Ildefonso González, sobre la preferencia de la agricultura á las artes y ei c</t>
  </si>
  <si>
    <t>Royó, Vicente</t>
  </si>
  <si>
    <t>Vicente Royó</t>
  </si>
  <si>
    <t>D. Escolástico Laviila, D. Ramón Mateo, Don Pedro Alfaro, D. Benito de Ribera, D. Agustín Alcayde, D. Vicente Royó , D; Jacinto Munárriz ^ D. Juan Antonio Coijiat, D. Joseph Fortuno, D. Joaquín Ollés de Regales; y en la clase de buenos, D. Fabian Lorenté', D. Joseph Ramón dé Andraca, D. Benito</t>
  </si>
  <si>
    <t>Ruano, Antonio</t>
  </si>
  <si>
    <t>Antonio Ruano</t>
  </si>
  <si>
    <t>ma compañía D. Joseph Espejo,.y al Cadete de ella Marques de Palacios, y á Brigadier al Sübrigadier’D. Antonio Ruano. S. M. ser.ha dignado promover en la Real compañía* de Alabarderos á</t>
  </si>
  <si>
    <t>Rubiano, Manuel</t>
  </si>
  <si>
    <t>Manuel Rubiano</t>
  </si>
  <si>
    <t>álaga........... D.Antonio Mariano. En Murcia............Sres. Moreda y Ladalld. En Oviedo......... D. Manuel Rubiano. En Falencia.......... D. Nicolás Calonge. En Palma.............. D.Martin Mayol. En Pamplona....... Sres. viuda de Barbería é hijos. En Salamatica......Sres. Urrero y Casaseca. E</t>
  </si>
  <si>
    <t>.... D. Antonio Mariano. En JMitrcia.............. Sres. Moreda y Ladalid. En Oviedo............... D. Manuel Rubiano. En Palenda........... D. Nicolás Calonge. En Palma............... D. Martin Mayoi.. En Pamplona........ Sres. viuda de Barbería é hijos^ En Salamanca...... Sres. Urrero y Casasec</t>
  </si>
  <si>
    <t>...... . D. Antonio Mariano. En Murcia............. Sres. Moreda y Ladalid. En Oviedo.............. D. Manuel Rubiano. En Palencia.......... D. Nicolás Calonge. En Palma............. D. Martin Mayol. En Pamplona........ Sres. viuda de Barbería é hijos. En Salamanca..... Sres. Urréro y Casaseca. E</t>
  </si>
  <si>
    <t>a.......... D. Antonio Mariano. En Murcia............Sres. Moreda y Ladalid. En Oviedo............. D. Manuel Rubiano. En Falencia....... D. Nicolás Calonge. En Palma............. D. Martin Mayol. En Pamplona....... Sres. viuda de Barbería é hijos* En Salamanca..... Sres. Urrero y Casaseca. En Sa</t>
  </si>
  <si>
    <t>lag * • •••••• D. Antonio Mariano. En Murcia..... ..... Sres. Moreday Ladalid. En Oviedo........... D. Manuel Rubiano. En Patencia........ D. Nicolás Calonge. En Palma..... ........D. Martin Mayol. En Pamplona..... . Sres. viuda de Barbería é hijos. En Salamanca......Sres. Urreto y Casaseca. En S</t>
  </si>
  <si>
    <t>ga........... D. Antonio Mariano. En Murcia.......... Sres. Moreda y Ladalid. En Oviedo..... ...... D. Manuel Rubiano.</t>
  </si>
  <si>
    <t>.......... D. Antonio Mariano. En Murcia.............Sres. Moreda y Ladalid. En Oviedo............. D. Manuel Rubiano. En Patencia.......... D. Nicolás Calonge. En Palma.............. D. Martin Mayol. En Pamplona........Sres. viuda de Barbería é hijos» En Salamanca...... Sres. Urrero y Casaseca.</t>
  </si>
  <si>
    <t>. D. Antonio Mariano.. r ;* kl Én Mtircia.......... Sres. Moreda y Xadalid.. f En Oviedo........... D. Manuel Rubiano. En Falencia........ D. Nicolás Calongc. En Palma..i... ..... D. Martin Mayol. :Í En Pamplona..*,.... Sre$. viuda de Barbería é hijos. En Salamanca......Sre$. Urrero y Casaseca. ?</t>
  </si>
  <si>
    <t>Rubín de Barrio, Nicolás</t>
  </si>
  <si>
    <t>Nicolás Rubín de Barrio</t>
  </si>
  <si>
    <t>oseph Delgado y Guerra, D. Joaquín Mioño y Quevedo, Don Diego Ponce dé León, D. Rufino Torrcntcgui, D. Nicolás Rubín de Barrio, D. Isidro Gago y Abarca, D. Pablo de Villa y Gutiérrez, D. Joaquín Sanchiz Verenguer, D. Rafael de Lobo y Campo, D. Francisco Leceta y la Iglesia, D. Manuel Ocarol y Fuertes, D.</t>
  </si>
  <si>
    <t>Rubín de Célis, Manuel</t>
  </si>
  <si>
    <t>Manuel Rubín de Célis</t>
  </si>
  <si>
    <t>rcito de Extremadura D. Francisco, Alvarez Caballero} al Contador principal de la provincia de León D. Manuel Rubín de Célis, y al Comisario honorario de Guerra D. Juan Joseph Marcó del Pont. * Honores de Contador de exército A D. Santiago Terreros, Oficial mayo/ de la Contaduría de exército de Aragón;</t>
  </si>
  <si>
    <t>Rubio de Celis, Felipe</t>
  </si>
  <si>
    <t>Felipe Rubio de Celis</t>
  </si>
  <si>
    <t>nombrar para el Priorato de la Real casa y monasterio dé Roncesvalles, vacante por fallecimiento de D. Felipe Rubio de Celis, á D. Joaquín Xavier de Uriz, Arcediano dé Tabla ¿ Dignidad de la catedral de Pamplona: para la Dignidad de Arcediano de Velez de la ca-, tedral de Málaga, vacante por muerte de D</t>
  </si>
  <si>
    <t>Rubio, Francisco</t>
  </si>
  <si>
    <t>Francisco Rubio</t>
  </si>
  <si>
    <t>Cura de Castilnova, de aquel obispado: para otra de la misma iglesia, vacante por fallecimiento de D. Francisco Rubio, á D. Tomas Martínez Peña, Cura de la Torre y Val de S. Pedro, del mismo obispado : para otra de la propia catedral, vacante por muerte de D. Joseph Burgos , á D. Juan Manuel Fern</t>
  </si>
  <si>
    <t>Rubio, Manuel</t>
  </si>
  <si>
    <t>Manuel Rubio</t>
  </si>
  <si>
    <t>al segundo D„ Joseph Erenas r en el de la Corona á segundo Teniente de granaderos, al de fusileros :D. Manuel Rubio: en el de Guadaíaxara á segundo Teniente de granaderos al de fusileros Don Joseph. Cardona; en el de Mllaga á segundo Subteniente ai Cadete D. Joseph Díaz Ramírez de Arellano: en</t>
  </si>
  <si>
    <t>Rubio, Pedro</t>
  </si>
  <si>
    <t>Pedro Rubio</t>
  </si>
  <si>
    <t>172. 12. Id.., Pedro Rubio......................... «rui \v4v*«*v | ...... -— __ , Cañamero.... Plasencia....</t>
  </si>
  <si>
    <t>Rueda, Miguel</t>
  </si>
  <si>
    <t>Miguel Rueda</t>
  </si>
  <si>
    <t>. 1 ss» *5. Muerto. Miguel Rueda...................... Domingo, Manuela Blanco. Morales del.. Rey................... 206. Id. Francisco Jorge.................. Antonio, María Domínguez. Rubios........ . Salvatierra</t>
  </si>
  <si>
    <t>Ruffin</t>
  </si>
  <si>
    <t>ntre los muchos partidarios que tienen aquí. El xefe de brigada Sebastian! y el ciud. Ruffin dieron al instante quejas de ello á la Sublime Puerta; y el Lord Elgin, Ministro ingles, y Mr. de Tamara, Embaxador ruso, hicieron también representaciones por</t>
  </si>
  <si>
    <t>nueva providencia del Gran Señor dé motivo á un cisma en la iglesia armenia. El ciud. Ruffin, Encargado de Negocios de la República francesa, mando abrir la capilla*de su embaxada el dia dé‘*Navidad para celebrar los oficios divinos, á los quales asist</t>
  </si>
  <si>
    <t>e ceremonia al Capitán Baxá, quien le dio varios regalos de precio. Ya ocupa el ciud. Ruffin la casa de los Embajadores de Francia, y ha puesto encima de la puerta el emblema de la República con una gran inscripción___ El palacio que se está edificando pa</t>
  </si>
  <si>
    <t>antiles entre este gobierno y los comerciantes de su nación. Aun no ha hecho el ciud. Ruffin su visita de ceremonia como Ministro de Francia ai Lord Elgin, Enviado ingles ; pero parece que no hay para esta dilación ningún motivo político. Con un mes de</t>
  </si>
  <si>
    <t>on todos ai entierro de sus comoañeros. . . Constantinopla 27 de Febrero. E til ciud. Ruffin , Encargado de Negocios de la República francesa, ha recibido estos dias un correo de París con pliegos que según dicen son de la mayor importancia. Jasib- Eif</t>
  </si>
  <si>
    <t>relativos al próximo ajuste del tratado de paz. Pocos dias después despachó el ciud. Ruffin otro extraordinario para Francia, el qual corrió Grandes peligros en el camino de Warna. . Se ha descubierto una quadrilla de marineros, que por un precio muy</t>
  </si>
  <si>
    <t>:.V:.:l«q.-í- ‘ ;' -&amp;óñsÍaú?inojpl&amp;jifcdei&amp;et£iirm&amp;fe.. * r •, 'vxi E I ciud. Ruffin, Encargado de Negocios dé la República francesa, recibió de su gobierno la noticia de la perpetuidad de la magistratura dei pri-: raer Cónsul; y cnona'audienci</t>
  </si>
  <si>
    <t>RufFo, Cardenal</t>
  </si>
  <si>
    <t>Cardenal RufFo</t>
  </si>
  <si>
    <t>proposiciones que ha hecho por intervención del Hospodar de Valaquia. Vierta 2 8 de Noviembre. E 1 Cardenal RufFo, Nuncio Apostólico cerca del Emperador, tuvo ayer su última audiencia de S. M. , y luego . se despidió de los Archiduques y de la Rey na de Ñapóles. Se detendrá aquí sin carácter</t>
  </si>
  <si>
    <t>Ruffo, Cardenal</t>
  </si>
  <si>
    <t>Cardenal Ruffo</t>
  </si>
  <si>
    <t>mayor, con todos los demas cargos que exercia en la corte de Florencia. Ha regalado el Emperador al Cardenal Ruffo una caxa de oro con su retrato guarnecido de diamantes, valuada en 18® florines; y al Sr. Vejluti Ghini, Auditor del mismo Purpurado, otra rica caxa con la cifra de S. M. Imperial</t>
  </si>
  <si>
    <t>ropas que vuelven 4 Francia. * : Florencia a ae Mayo. H a! pasado por aquí yendo dé Viena á Roma el Cardenal RufFo. : En la gazeta de esta ciudad se ha publicado ahora la siguiente carta escrita por el primer Cónsul de la República francesa al gobierno de la de Luca.: París io de Febrero. ,,Po</t>
  </si>
  <si>
    <t>Rufino Torrcntcgui</t>
  </si>
  <si>
    <t>nio Villaviqencio, D. Joseph Delgado y Guerra, D. Joaquín Mioño y Quevedo, Don Diego Ponce dé León, D. Rufino Torrcntcgui, D. Nicolás Rubín de Barrio, D. Isidro Gago y Abarca, D. Pablo de Villa y Gutiérrez, D. Joaquín Sanchiz Verenguer, D. Rafael de Lobo y Campo, D. Francisco Leceta y la Iglesia, D.</t>
  </si>
  <si>
    <t>Ruftin</t>
  </si>
  <si>
    <t>mismo dia el Reis-Effendi envió á cumplimentar por este feliz acontecimiento al ciud. Ruftin, Encargado de Negocios de la República francesa; y el dia 9 le remitió una copia de los preliminares en lengua turca, pidiéndole otra en lengua francesa. El ci</t>
  </si>
  <si>
    <t>Ruga</t>
  </si>
  <si>
    <t>pas, y después de las evoluciones pasó también á palacio y se incorporó con los ciudadanos Somtneriva y Ruga, y con la Consulta legislativa, á la que el primer Cónsul tenia cometida la instalación del gobierno constitucional. Juntos todos en la gran sala de audiencia,</t>
  </si>
  <si>
    <t>Ruífó, Cardenal</t>
  </si>
  <si>
    <t>Cardenal Ruífó</t>
  </si>
  <si>
    <t>omé f ácca, preconizó varias mitras de la christiandad; entre ellás la de N¡po4 fes éii el referido Cardenal Ruífó. fih seguida proclamó S.S* tres Cardenal fes reservados in pectore en e\ consistorio de Febrero de *^02 : y son Monseñores Miguel de Pietro, Patiiarca .de Jerusalen , y Fr. Franci</t>
  </si>
  <si>
    <t>Ruigomez, Francisco</t>
  </si>
  <si>
    <t>Francisco Ruigomez</t>
  </si>
  <si>
    <t>ldp de Coup'igni, D. Joseph Lebrun, D. Manuel la Barre, D. Juan Bernardo Laporte, Don Felipe Crame, D. Francisco Ruigomez, D. Cándido Higuera, D. Diego Navarro , D. Bernardo Luque, D. Rafael Pezzino, D. Luis Ranea ño, Don Juan Meric, D. Antonio Bocarro, D. Juan Feliu, D. Juan Desnaux, Don Manuel Vigi</t>
  </si>
  <si>
    <t>Ruiz Blanco, Bernardo</t>
  </si>
  <si>
    <t>Bernardo Ruiz Blanco</t>
  </si>
  <si>
    <t>....... $04. 6. Id. Bernardo Ruiz Blanco....... Manuel, Catalina................. Carrizo........... León............. S07. 17* Id. Manuel del Campo............. Vicente, María Pestaña... Viñales.......... L</t>
  </si>
  <si>
    <t>Ruiz de Adorno, Rafael</t>
  </si>
  <si>
    <t>Rafael Ruiz de Adorno</t>
  </si>
  <si>
    <t>ervido S. M. promover á Capitán al Teniente D¿ joseph González Priorioj á Tenientes á los Alféreces D. Rafael Ruiz de Adorno y D. Mariano Bustos ; á Alféreces á los Portaguiones D. Pedro Pascual de la, Rosa y D. Juan Urrutia, y i Portaguiones al Sargento distinguido D. Joseph Soane y á D. Mariano Yurre&gt; Por</t>
  </si>
  <si>
    <t>Ruiz de Castilla, Conde</t>
  </si>
  <si>
    <t>Conde Ruiz de Castilla</t>
  </si>
  <si>
    <t>mérica. - C D. Juan Bautista VaUlant, D. Pedro Garibay, D. Miguel de Tejada, P. Antonio Narvaez, el Conde Ruiz de Castilla, 0. Joaquín .Cabrera, Do? Rafael María Aguilar, D. Joseph Montero, D. Isidro jLimonta, tD; Joá-1 quin de Zubillága, D. Joseph Fernando Abascai, D. Benito Perez, y él Conde de Mopo</t>
  </si>
  <si>
    <t>Ruiz de Castro, Gerónimo</t>
  </si>
  <si>
    <t>Gerónimo Ruiz de Castro</t>
  </si>
  <si>
    <t>ena D. Narciso Cerrera y Calvbt; del Crimen de la Audiencia de Sevilla al del departamento de Cádiz D. Gerónimo Ruiz de Castro; del Crimen de la Chancillería de Valladolid al de la Dirección general, de la Armada D. Ramón Pisón y Vargas;, del Crimen de Valladolid á D. Juan Antonio Bringas López de Sagredo</t>
  </si>
  <si>
    <t>Ruiz de España, Francisco</t>
  </si>
  <si>
    <t>Francisco Ruiz de España</t>
  </si>
  <si>
    <t>ntaduría de la de Pueblaá D. Anastasio Alarcon : para la de Tesorero de la Factoría de Valladolid á D. Francisco Ruiz de España: para la de Administrador del partido de S., Juan de' Coscomatepeque á D~ Joseph de Leyva : para la de Oficial, último de la. Contaduría general de la citada Renta á D. Manuel Jos</t>
  </si>
  <si>
    <t>Ruiz de la Escalera, Francisco</t>
  </si>
  <si>
    <t>Francisco Ruiz de la Escalera</t>
  </si>
  <si>
    <t>. Pedro Iriarte y Zerezera, D. Joseph Sáavedra y Chaves, D. Miguel Basabru, £&gt;. Ramón Pardo y Lama, D. Francisco Ruiz de la Escalera, D. Juan Venéro y Senli, D. Francisco Lasqueti y Lasqueti, DI Joseph de Castró y Navarro, D. Ramón Saavedra y Guiralde, D. Juan de Castro Gómez, D. Manuel Uliente y Gabilla , t).</t>
  </si>
  <si>
    <t>Ruiz de la Madrid, Joseph</t>
  </si>
  <si>
    <t>Joseph Ruiz de la Madrid</t>
  </si>
  <si>
    <t>vedra y Guiralde, D. Juan de Castro Gómez, D. Manuel Uliente y Gabilla , t). Pedro Quevedo y Hoyos, D. Joseph Ruiz de la Madrid, D. Agustín Wauters y Donesteves, D. Vicente Guillen y Busaran, D. Antonio Leal de Ibarra, D. Juan de Vivero y Silva, D. Angel Texeyro y Zafra, D. Joseph María Autran, D. Joseph d</t>
  </si>
  <si>
    <t>Ruiz de Raboso, Tomás</t>
  </si>
  <si>
    <t>Tomás Ruiz de Raboso</t>
  </si>
  <si>
    <t>mió al citado Benedicto con una medalla de plata alusiva al asunto, y hecha á sus expensas. El Lie. D. Tomas Ruiz de Raboso, Alcalde mayor actual, premió igualmente con exemplares de dichas tabulas, del Pintón y del Padre Isla á D. B1 as Castro de Gistau, D. Joseph Marín y Andreu, D. Fernando y D, Bart</t>
  </si>
  <si>
    <t>Ruiz del Burgo, Bernardo</t>
  </si>
  <si>
    <t>Bernardo Ruiz del Burgo</t>
  </si>
  <si>
    <t>ce su memoria recomendable. El 15 de Febrero falleció en esta corte, á los 86 años de edad , el Sr. D. Bernardo Ruiz del Burgo , caballero de la Real distinguida órde» española de Carlos 111 ,*y Ministro de capa y espada en el Consejo Real dife Hacienda, habiendo servido al Rey Ntro. Sr. 50 años, empezand</t>
  </si>
  <si>
    <t>Ruiz'Huidobrq, Joseph</t>
  </si>
  <si>
    <t>Joseph Ruiz'Huidobrq</t>
  </si>
  <si>
    <t>D.Francisco Lafita, D.:Francisco Benitez y Antunez, Don Joaquín Gómez García, D.Pablo de la Puerta, D. Joseph Ruiz'Huidobrq, Di Francisco Sotómaycr, D. Matías- Bayoti; y Rayón, D. Juáp de $als¿ Bcxadórs J D. Manuel Nuñez Portocarrero, D; Ramón Losada y QuíVos, D. Joaquín Goñi y&gt; San Juan ¿D. Mahuel Agü</t>
  </si>
  <si>
    <t>Ruiz, Ángel Francisco</t>
  </si>
  <si>
    <t>Ángel Francisco Ruiz</t>
  </si>
  <si>
    <t>40. 3. id. Angel Francisco Ruiz......... Francisco, Maria Gómez. . Rabanal........ León...............</t>
  </si>
  <si>
    <t>Ruiz, Blas</t>
  </si>
  <si>
    <t>Blas Ruiz</t>
  </si>
  <si>
    <t>compañías; Tenientes al Subteniente D. Domingo Barrantes y á D. A gustin Córdoba, y Subtenientes á D, Blas Ruiz y D. Gregorio Celis de Saldaña. Por el juzgado del Sr. D. Manuel Perez de Rozas, caballero de la orden de* Carlos ni , del Consejo de 5. M., su Alcalde de casa y corte, se está subast</t>
  </si>
  <si>
    <t>Ruiz, Francisco</t>
  </si>
  <si>
    <t>Francisco Ruiz</t>
  </si>
  <si>
    <t>eph Benito Romero, D. Joaquín de Ponte, D. Joseph Molina, D. Lázaro de Avila, D. Baltasar Calvache, Don Francisco Ruiz, D. Alfonso Ramiro, D. Antonio de la Rocha , D. Juan López de Molina,D. Lucas Salazar, D. Ramón Serrano, D. Juan Joseph Martínez, D. Joseph María Cano, D. Francisco Real,-D. Vícéf</t>
  </si>
  <si>
    <t>Ruiz, Ignacio</t>
  </si>
  <si>
    <t>Ignacio Ruiz</t>
  </si>
  <si>
    <t>a, y el de Guarda Almacén ordinario de artillería de la plaza del Peñón al Sargento del propio ramo D. Ignacio Ruiz. En el Real cuerpo de Ingenieros del exército ha promovido S. M. á Director al en xefe D. Fausto Caballero; y á ordinarios á los extraordinarios D. Joseph Joachin.de Pineda, D. Al</t>
  </si>
  <si>
    <t>Ruiz, Joaquín</t>
  </si>
  <si>
    <t>Joaquín Ruiz</t>
  </si>
  <si>
    <t>s'tino Calvo, D. Henrique Texerizo, D. Benito Tolra Lafita , D. Serafín Alonso, D. Rafael Nestares, D. Joaquín Ruiz, D. Miguel Aguirre, Don JuanNuñez , D. Juan Navarro , D. Anselmo Plaza , D. Francisco González de la Vega, D. Joseph Antonio de Terán, D. Vicente Vázquez, Don Juan Vázquez, D. Man</t>
  </si>
  <si>
    <t>Ruiz, Joseph</t>
  </si>
  <si>
    <t>Joseph Ruiz</t>
  </si>
  <si>
    <t>icente Heras y D. Valentín Gutiérrez. Y en la tercera D. Valentín Sa^ cristas, D. Manuel Arjumariz, D. Joseph Ruiz y D. Estiban de Estefanía. Barcelona zp de Setiembre. . : P ^ E 124 de este por la mañana estuvo el Rey Ntro. Sr. en la marina ; y por la tarde paseáron SS. MM. y A A. por * el anden</t>
  </si>
  <si>
    <t>Ruiz, Matías</t>
  </si>
  <si>
    <t>Matías Ruiz</t>
  </si>
  <si>
    <t>385. 7- Id. Matías Ruiz.......... Celestino, Teresa Martínez. Villabedon... Búrgos........... 341. 36. Id. Francisco Gordo......... Juan, María</t>
  </si>
  <si>
    <t>Ruiz, Nicolás</t>
  </si>
  <si>
    <t>Nicolás Ruiz</t>
  </si>
  <si>
    <t>771. 24. Id. Nicolás Ruiz....................... Christobal,Antonia Soto... Bríones......... Búrgos.......... 51. 13. Licenciado. Francisco Mateo.................. Francisco, María Domíng</t>
  </si>
  <si>
    <t>Ruiz, Ramón</t>
  </si>
  <si>
    <t>Ramón Ruiz</t>
  </si>
  <si>
    <t>ectores de la Real Caxa de Descuentos á favor de D. Luis de Arguedas. Quien supiere de él avisará á D. Ramón Ruiz,calle de la Sal, en Madrid. A virtud de providencia del limo. Sr. Conde de S. Christóbal , del supremo Consejo de la Guerra, honorario del de la Cámara de Castilla , como Asesor g</t>
  </si>
  <si>
    <t>Ruiz, Vicente</t>
  </si>
  <si>
    <t>Vicente Ruiz</t>
  </si>
  <si>
    <t>n al primer Teniente de granaderos D. Pascual Real; ¿ primer Teniente de granaderos ai de fusileros D. Vicente Ruiz, y á primer Teniente al segando de granaderos D. Francisco Priego: en el de Granada á segundos Subtenientes á ios Cadetes D. Pedro María Martin y D. Joseph. de- ia Pena; y en el d</t>
  </si>
  <si>
    <t>Ruizjy de Fortuny, Juán</t>
  </si>
  <si>
    <t>Juán Ruizjy de Fortuny</t>
  </si>
  <si>
    <t>principales del pueblo, y de un numeroso concurso de todas clases. Abrió la función el primer, dia D. Juán Ruizjy de Fortuny con una canción real, á qué siguió él exámén de geometría jalapa y sólida, del círculo, de trigonometría &amp;c. con sus demostraciones y már riiobras. En el segundo dia dixo D. Salva</t>
  </si>
  <si>
    <t>Rünler</t>
  </si>
  <si>
    <t>g ha de tomar eomo Elector del Imperio. La investidura de esta dignidad sé le dará en Viena, y será Mr. Rünler quien represente al nuevo Elector en aquel acto. ■ t ? 1 Lóñdres de Setiembre. La venido de Windsor el Rey j. y ha habido corte con motivo del cumplíanos de su' coronación. Ésta t</t>
  </si>
  <si>
    <t>Ruperto Calderón</t>
  </si>
  <si>
    <t>Cáceres, D. Juan Izquierdo, D. Manuel de Lobo y Campo, D. Carlos Sellery, D. Lorenzo de la Puente, D, Ruperto Calderón,D. Pedro de Toro y Toledo, D. Carlos Engracia Carrasco , D. Felipe Uriarte y Erquizia, D. Joaquín Delgado Fernandez, D.Francisco Xavier Radillo, D» Benito Basabe y UJente, Dón Fra</t>
  </si>
  <si>
    <t>Rusca, General</t>
  </si>
  <si>
    <t>General Rusca</t>
  </si>
  <si>
    <t>-Longone para comunicar la partida de las tropas británicas al Comisario del gobierno francés y .al General Rusca, el qual fué el mismo dia á .Porto-Ferrayo, en donde le recibiéron con aclamaciones de todo el pueblo. • * Según noticias de Mesina , á fines del mes último entró allí una fragata</t>
  </si>
  <si>
    <t>nción. Portofcrrayo 2 de Julio. D esde que los ingleses evacuaron esta ciudad ha sentado en ella el General Rusca su quarrel que estaba en Longone. Como los piratas continúan infestando estos mares, y han cometido recientemente robos y crueldades cerca del canal de Piombino, ha resuelto dicho</t>
  </si>
  <si>
    <t>.ioí: /-m Oigue la causa ¡cóntra los piratas ^e se J&gt;»*endi¿ron en fuei^a de las dispó^ sudones del General Rusca * comandante; de esta! isla- de^Elba. Parece ^ipóé Xas declaraciones de uno deellosquc/ef atefe principal es un f$l Bienve</t>
  </si>
  <si>
    <t>Russei, Juan (lord)</t>
  </si>
  <si>
    <t>Lord Juan Russei</t>
  </si>
  <si>
    <t>s y riquezas en beneficio de la agricultura y de todos los ramos de economía rústica. Su hermano el Lord Juan Russei, vocal de la Cámara de los Comunes, es su heredero. Mr. R. Curtís, comandante del apostadero del cabo de Buena Esperanza , recibió el 14 de Diciembre la noticia del ajuste de los</t>
  </si>
  <si>
    <t>Ruttiman</t>
  </si>
  <si>
    <t>Landammann; pero quedará como individuo del Senado, y lo mismo han ofrecido los ciudadanos Ruttiman y</t>
  </si>
  <si>
    <t>las quaies acude con la mayor ansia casi todo el pueblo dei cantón de Vaud. Los ciudadanos Ruttiman, Staihalter, y Mesmer, Senador, saliéron el dia 27 para el exercito. Este Ministro de Francia no quiso dar audiencia á los diputados de Berna que 1 legaron aqu</t>
  </si>
  <si>
    <t>Ruttimann</t>
  </si>
  <si>
    <t>su empleo, y en conseqiiencia ha nombrado primer Landammann á su Teniente, el ’ciud. Ruttimann. * Genova jo de Abril. I Ll ciud. Bodard, Comisario de relaciones mercantiles de Francia, ha comunicado á este gobierno el ajuste de los tratados definitivos c</t>
  </si>
  <si>
    <t>Sáavedra y Chaves, Joseph</t>
  </si>
  <si>
    <t>Joseph Sáavedra y Chaves</t>
  </si>
  <si>
    <t>na y Ximenez, D. Francisco Meñaca y Arechaga, D. Justo Arison yRooaud, D. Pedro Iriarte y Zerezera, D. Joseph Sáavedra y Chaves, D. Miguel Basabru, £&gt;. Ramón Pardo y Lama, D. Francisco Ruiz de la Escalera, D. Juan Venéro y Senli, D. Francisco Lasqueti y Lasqueti, DI Joseph de Castró y Navarro, D. Ramón Saa</t>
  </si>
  <si>
    <t>Saavedra y Guiralde, Ramón</t>
  </si>
  <si>
    <t>Ramón Saavedra y Guiralde</t>
  </si>
  <si>
    <t>Escalera, D. Juan Venéro y Senli, D. Francisco Lasqueti y Lasqueti, DI Joseph de Castró y Navarro, D. Ramón Saavedra y Guiralde, D. Juan de Castro Gómez, D. Manuel Uliente y Gabilla , t). Pedro Quevedo y Hoyos, D. Joseph Ruiz de la Madrid, D. Agustín Wauters y Donesteves, D. Vicente Guillen y Busaran, D. A</t>
  </si>
  <si>
    <t>Saavedra y Jofre, Antonio</t>
  </si>
  <si>
    <t>Antonio Saavedra y Jofre</t>
  </si>
  <si>
    <t>y Valdes, D. Femando Becerra .y Solis, D. Rafael Bobadilla y Pery, D. Joseph Mendivil y Castañeda, Don Antonio Saavedra y Jofre, D. Vicente Valcarcel y Qconri, D. Joseph Primo de Rivera, D. Salvador Ortuño-y Castañon , D. Antonio Villaviqencio, D. Joseph Delgado y Guerra, D. Joaquín Mioño y Quevedo, Don Di</t>
  </si>
  <si>
    <t>Saavedra, Fernando</t>
  </si>
  <si>
    <t>Fernando Saavedra</t>
  </si>
  <si>
    <t>. Joaquín Ferrandiz, el Marqués de Lazan, D. Juan Magín, el Conde Colona, D. Antonio García Conde , D. Fernando Saavedra, D. Juan Amiant, D. Baltasar de Béllét * 0. Joseph Craiwinckel, D. Joseph Augusto S e la Porte, D. Juan Chrisóstomo de la Llave, el Condé de Castroterreño* D. Joseph de Vargas, D.</t>
  </si>
  <si>
    <t>Sabater y Anglada, Joseph Antonio</t>
  </si>
  <si>
    <t>Joseph Antonio Sabater y Anglada</t>
  </si>
  <si>
    <t>iuda de Cerro. Cartas- físico-químicas escritas en italiano por el Sr. Compagncui, y traducidas por D. Joseph Antonio Sabater y Anglada. Estaébrita,á la, qué e) auteir «fió el título de Química para dámas, está escrita enqartasdirigida$ iupaseñora con, estilo familiar y entretenido; explica perfectamente los rprio</t>
  </si>
  <si>
    <t>Sabau, Agustín</t>
  </si>
  <si>
    <t>Agustín Sabau</t>
  </si>
  <si>
    <t>a, á D. Liborio Tudela y Ramos; y para la de la villa de Monhlanch, en el principado de Cataluña, ¿ D. Agustín Sabau. En América. El Rey se ha dignado conceder el empleo dé Coronel del batallón dé milicias disciplinadas de Lima al Conde de Premio Real, Coronel graduado de exército y agregado al</t>
  </si>
  <si>
    <t>Sábé</t>
  </si>
  <si>
    <t>. El General Bóudet , quando;llegó *la esquadra á Puerto-Republicano , envió al ciud. Sábé, su Ayudante como parlamentario. Los negros te hicieron prisionero u le llevaban siempre consigo de. morro en morro y de bosque en bosque ; y mil veces ha esta</t>
  </si>
  <si>
    <t>Sabido de Vargas, Joseph</t>
  </si>
  <si>
    <t>Joseph Sabido de Vargas</t>
  </si>
  <si>
    <t>Leonart,D. Manuel González, D. Ignacio de la Quintana, D. Agustín Lasala, D. Pedro Nolasco dei Rio, Don Joseph Sabido de Vargas, D. Joseph Salvador, D. Francisco Muñoz y San Clemente , D. Juan Antonio de laMata,D. Alexo García Condes Don Antonio Alvarez Ximenez, y D. Manuel Salcedo. A grado de Coronel los</t>
  </si>
  <si>
    <t>Sabiñon, Francisco Xavier</t>
  </si>
  <si>
    <t>Francisco Xavier Sabiñon</t>
  </si>
  <si>
    <t>i : para la plaza de Oficial 6.° de la Tesorería general- de la Renta del tabaco del mismo Reyno á -D. Francisco Xavier Sabiñon : para la de 7.° de la misma Tesorería á B. Joseph Manuel Betancourt; y para la de 8.° á D. Joseph Mariano deSierra: para Administrador de Tamiahua á D. Joseph Bernardino de Herre</t>
  </si>
  <si>
    <t>Sacristán, Tomás María</t>
  </si>
  <si>
    <t>Tomás María Sacristán</t>
  </si>
  <si>
    <t>Rey , en la diócesis de Cuenca, vacante por renuncia que ha hecho de ella D. Joseph de Iriberri, á D. Tomas María Sacristán; y para la Capellanía tercera, baxo la invocación de Ntra. Señora, vacante en la parroquia de Sta. María del Mar, de la ciudad de Barcelona, por renuncia también de D. Miguel Rodo</t>
  </si>
  <si>
    <t>Sadcetti</t>
  </si>
  <si>
    <t>del nuevo Dux Gerónimo Durazzo en el salón del palacio nacional á presencia del ciud. Sadcetti, Ministro plenipotenciario francés, de los demas individuos del Cuerpo diplomático, délos Generales Gardanne y Spínola, de los oficiales de nuestras tropas, y</t>
  </si>
  <si>
    <t>Sáenz de la Guardia, Pedro</t>
  </si>
  <si>
    <t>Pedro Sáenz de la Guardia</t>
  </si>
  <si>
    <t>iago Irrisarri y Sarti, D. Joaquín: dé Castañeda , D. Francisco Riquelme , D. Joseph de la EnoU na, D. Pedro Saenz de la Guardia, D. Salvador del Castillo, D. Joaquín Rodríguez de Ribera, D. Juan Topete, D. Joseph Quevedo y Cheza, D. Lino Truxiilo y Tacón, D. Antonio Miralles, D. Luis María de Salazar, D. M</t>
  </si>
  <si>
    <t>Sáenz, Joseph</t>
  </si>
  <si>
    <t>Joseph Sáenz</t>
  </si>
  <si>
    <t>da-Almacén de artillería de la plaza de Puerto Rico ai Ayudante de Guarda-Almacén de la misma plaza D. Joseph Saenz; y para esta resulta á D. Joseph Domingo de Madinabeitia. Continuación del tratado de paz con S. JM. Británica. ■ Art. iii. S. M. Británica restituye á la República francesa y á s</t>
  </si>
  <si>
    <t>Sáenz, Manuel</t>
  </si>
  <si>
    <t>Manuel Sáenz</t>
  </si>
  <si>
    <t>tería de la Corona de NuevaEspaña se ha servido el Rey promover á Capitán al Teniente de granaderos D. Manuel Saenz; á Teniente de granaderos al de fusileros D. Ambrosio Echevar. ía ; á esta Tenencia al Subteniente de granaderos D. Francisco Arana y Bustamante; á Subteniente de granaderos al de</t>
  </si>
  <si>
    <t>Sáenz, Pedro</t>
  </si>
  <si>
    <t>Pedro Sáenz</t>
  </si>
  <si>
    <t>n de Sequera, D. Joseph Graulle, D. Gerónimo Valladares, D. Rafael Cravallo, D. Guillermo Chicheri, D. Pedro Saenz, D. Angel de Lana, D. Felipe de la Mar, D. Angel Mijáres, D. Gerónimo Marco , D. Francisco Marcó del Pont, D. Juan Martí Mofa, D. Alonso Morales, D. Nicolás de Mora, D. Fermín Rom</t>
  </si>
  <si>
    <t>Saez, Andrés</t>
  </si>
  <si>
    <t>Andrés Saez</t>
  </si>
  <si>
    <t>Id. Andrés Saez....... ................. Manuel, Josefa López...... Cenicero.......... Sto.Domingo. 182. 16. Id. Manuel del Rio.. .............. Antonio, Ana</t>
  </si>
  <si>
    <t>Saez, Lorenzo</t>
  </si>
  <si>
    <t>Lorenzo Saez</t>
  </si>
  <si>
    <t>94. *4-, Id. Lorenzo Saez...........'.......... . Lúeas, Ines del Rio...........Auñon............. Madrid......... lao. a.3. Id.'. Antonio de los Toyos......... . Antonio, Joaquina Marrón. Villala</t>
  </si>
  <si>
    <t>Saez, Santiago</t>
  </si>
  <si>
    <t>Santiago Saez</t>
  </si>
  <si>
    <t>...... 112. 26. Id. Santiago Saez....................... Manuel, Maria Plaza.:... Briones....... Sto.Domingo. 112. 17! Id. Andrés Oter......................... Tomas ,Isabel Oter........ Villaverde... Soria..........</t>
  </si>
  <si>
    <t>Saint Hilaire, General</t>
  </si>
  <si>
    <t>General Saint Hilaire</t>
  </si>
  <si>
    <t>erto de St. Ouen el Ministro de lo Interior, el Prefecto del departamento, el Arzobispo de Rúan, el General Saint Hilaire, Comandante de la división, y el General Moncey, primer Inspector general de los Gensdarmes, al frente de las tropas de esta guarnición. Aquel dia comiéron con el primer Cónsul el</t>
  </si>
  <si>
    <t>Saint, Claudio</t>
  </si>
  <si>
    <t>Claudio Saint</t>
  </si>
  <si>
    <t>perentorio término de j¿ dias comparez-f can por sí ó por apoderados ante S. S. y por* el oficio de D. Claudio Saint, Escribano, del número, que despacha en virtud de Real habilitación la escribanía dé 3&gt;. Joseph Mateo y Aguado, que lo es en propiedad , á deducir y exponer el que vieren convenir</t>
  </si>
  <si>
    <t>Saint-Heiens, Lord</t>
  </si>
  <si>
    <t>Lord Saint-Heiens</t>
  </si>
  <si>
    <t>ue se oponían á su ajuste , debe considerarse como la acción mas grande de Bonaparte.,, El referido Lord Saint-Heiens ha concluido cbn el ministerio ruso ün tratado de comercio que consta de cerca de 40 artículos , y es muy ventajoso para los ingleses. En Moscow recibió el Emperador la accesión d</t>
  </si>
  <si>
    <t>Saint-Helens, Lord</t>
  </si>
  <si>
    <t>Lord Saint-Helens</t>
  </si>
  <si>
    <t>de Sousa Bombelle, Embajador de S. M. Fidelísima en esta corte; Con fecha de 28 de Octubre avisa-el Lord Saint-Helens desde Moscow que Alexandro. i*. supo' con la mayor satisfacción la noticia de haberse firmado los preliminares entre'Francia é Inglaterra. La gazeta de Moscow, Hablando de-ellos dice</t>
  </si>
  <si>
    <t>En la gazeta de la corte de antes de ayer se incluyen dos cartas del Lord Saint-Helens al Ministro de Negocios extrangeros con las ratificaciones de las cortes de Dinamarca y Suecia, que por medio de sus Ministros plenipotenciarios han accedido finalmente al conveni</t>
  </si>
  <si>
    <t>pasarse en silencio, y cuya manifiesta falsedad merece ser refutada. Se ha citado un oficio del Lord Saint-Helens i su corte, en que después de informarla del acto de accesión de la de Suecia al convenio de 17 de Junio de 1801, añade como por via de, reflexión: ,,Que para manifestar que la co</t>
  </si>
  <si>
    <t>acercándose mas que ella al sol en^u perihelio, y alejándose mas en su aphelio. &lt; Se asegura que el Lord Saint-Helens presenciará la conferencia que efc Emperador de Rusia y S. M. Prusiana tendrán en Memel. Haya 14 de Junio. H a decretado el Cuerpo legislativo que en toda la extensión de la Repúb</t>
  </si>
  <si>
    <t>Sainz, Salvador</t>
  </si>
  <si>
    <t>Salvador Sainz</t>
  </si>
  <si>
    <t>ra la Prestamera de Enguídanos y la Pesquera, en la misma diócesis de Cuenca, vacante por muerte de D. Salvador Sainz, á D. Basilio Angel Cabeza, Capellán del regimiento de infantería de Zamora. En el regimiento de Reales Guardias Españolas se ha servido el Rey promover á Capitán al primer Tenien</t>
  </si>
  <si>
    <t>Sainz, Tomás</t>
  </si>
  <si>
    <t>Tomás Sainz</t>
  </si>
  <si>
    <t>27. Licenciado, Tomas Sainz.................. Olmillos.......... Búrgos............. 271. 21. Id. Rafael García....................... G</t>
  </si>
  <si>
    <t>Saivador López</t>
  </si>
  <si>
    <t>... .. 602. 26. Id. Saivador López.... Josef, Josefa Chover. Alcira.......... Valencia........ 386. 2. Id.</t>
  </si>
  <si>
    <t>Saiz de Villegas, Benito</t>
  </si>
  <si>
    <t>Benito Saiz de Villegas</t>
  </si>
  <si>
    <t>ciudad de Baeza á D. Pedro Sotero Casado de Alviz: para la Vara de Alcalde mayor de la de Málaga á D. Benito Saiz de Villegas: para la primera de la de Córdoba, que este dexa, á D. Diego Merino y Zapata: para la de Murcia á D. Joseph Ximenez de Cenarve: para la de la villa de Don Benito á D. Ramón Satué;</t>
  </si>
  <si>
    <t>Sala y Gil, Antonio</t>
  </si>
  <si>
    <t>Antonio Sala y Gil</t>
  </si>
  <si>
    <t>Zaragoza, á D. Francisco Gazuila: para una Doma de la parroquia de Vulpellach,obispado de Gerona, á Don Antonio Sala y Gil; y para un oficio de Regidor de laclase de nobies.de la ciudad de Valencia á D. Pedro Caíala de Monsonis. La Real academia.de Derecho español, titulada de,Santa:Bárbara, celebró j</t>
  </si>
  <si>
    <t>Salagof, Príncipe</t>
  </si>
  <si>
    <t>Príncipe Salagof</t>
  </si>
  <si>
    <t>a de segunda clase, y ha conferido las insignias de la primera clase de la misma al Auditor general Príncipe Salagof. También ha regalado S. M. una preciosa sortija de diamantes al Canciller de corte por lá traducción que ha hecho de una obra latina del poeta Calpurnio. Stockolmo 21 de Mayo. A l</t>
  </si>
  <si>
    <t>Salamanca Cubi, Miguel</t>
  </si>
  <si>
    <t>Miguel Salamanca Cubi</t>
  </si>
  <si>
    <t>asueco, en el obispado de Salamanca, vacante por dimisión que ha hecho de él D. Francisco Mendez, á D. Miguel Salamanca Cubi ano , con la obligación de precisa y personal residencia; y para otro de Vúlamieva del Arzobispo, en la diódesis de Jaén, vacante por muerte de D. Juan Marañe- , á D. Antonio Ibañ</t>
  </si>
  <si>
    <t>Salamanca y Morillo, Manuel</t>
  </si>
  <si>
    <t>Manuel Salamanca y Morillo</t>
  </si>
  <si>
    <t>Ip4¿ D. Domingo de Federici, D. Manuel Salamanca y Morillo , D. Francisco Echavarría y Chacón, D. Tomas Blanco Cabrera, D: Felipe Bausá,:0on Favio Aliponzoni, .D. Jacobo Morfi, D. Madano Isazbinbil, D. Joseph Dionisio: de Rivera, D. André</t>
  </si>
  <si>
    <t>Salazar y Rodríguez, Joseph</t>
  </si>
  <si>
    <t>Joseph Salazar y Rodríguez</t>
  </si>
  <si>
    <t>nia , &lt;D.j6sephBrandaTÍs ,D. igna.cio Meftdizafcaí, D. Fernando Noguera, D. Pedro Agar y Bustiilos, D. Joseph Salazar y Rodríguez, D. Joseph Laguna Calderón,: D. Diego Ochando, D. Ramón De. loves, D. Joseph Sartorio, D. Juan Desloves, D.: Bernardo González, D. Joaquín Guzman, D. AntOnio Guzmaa^y Cárrion j D.</t>
  </si>
  <si>
    <t>Salazar, Ignacio</t>
  </si>
  <si>
    <t>Ignacio Salazar</t>
  </si>
  <si>
    <t>ro Salas- , 0. Joseph Foraster, D. Francisco de PaulaiZayas, D. Francisco Tórdi, I&gt;. Joaquiti Ruiz, Don Ignacio Salazar , 0* Martin Boneo , D. CáriosDominieh , D.í Manuel de los Ríos , y Di Mariano Julián. : :... : Jl-r: ) » &gt;&gt;: . ^ . -.T ¡; i úEn.-segunMa fecfttá . r: . ...-i , Dv Miguel de la Pue</t>
  </si>
  <si>
    <t>Salazar, Joseph</t>
  </si>
  <si>
    <t>Joseph Salazar</t>
  </si>
  <si>
    <t>ustamante, D. Joaquín del Pollo Sagasú, D. Pedro Negrete y Talla , Don Antonio Veguér' y Martiller, D. Joseph Salazar: jr. Ayendelagua, D. Ma-, nuel Abreu y Orta, D. Ignacio del Valle y ¡Máttmon , D. Manuel Primo de Ribera , D. Joseph de Santiago; y.García, D. Manuel de Clemente y&gt; Miro, D. Joaqu</t>
  </si>
  <si>
    <t>Salazar, Julián</t>
  </si>
  <si>
    <t>Julián Salazar</t>
  </si>
  <si>
    <t>icadas al intento, y una aguja para executar la operación , que se encomendó á D. Miguel Bobela y á D. Julián Salazar, Médico y Cirujano titulares. Ambos la han practicado observando el método señalado , y los efectos han sido muy felices. y conformes enteramente á los caractéres de la vacuna ver</t>
  </si>
  <si>
    <t>Salazar, Lucas</t>
  </si>
  <si>
    <t>Lucas Salazar</t>
  </si>
  <si>
    <t>r Calvache, Don Francisco Ruiz, D. Alfonso Ramiro, D. Antonio de la Rocha , D. Juan López de Molina,D. Lucas Salazar, D. Ramón Serrano, D. Juan Joseph Martínez, D. Joseph María Cano, D. Francisco Real,-D. Vícéfíté Salcedo, D. Lúeas de Mena, D. Joseph Viladomar, D. Juan de Álbarrilla, D. Gonzalo</t>
  </si>
  <si>
    <t>Salazar, Ramón</t>
  </si>
  <si>
    <t>Ramón Salazar</t>
  </si>
  <si>
    <t>sexto batallón D. Martin García Loigorri, graduado de Teniente Coronel; y á Teniente al Subteniente D. Ramón Salazar. Continuación del tratado de paz con S. JVf. Británica. Art. xiii. En todos los casos de restitución convenidos por el presente tratado, las fortificaciones se entregarán en el es</t>
  </si>
  <si>
    <t>Salceda, Joseph María</t>
  </si>
  <si>
    <t>Joseph María Salceda</t>
  </si>
  <si>
    <t>rventor v,i.*_______ _ _ co Xavier V altejo; y. la de Administrador de rentas unidas de Maravatío £ D. Joseph María Salceda. &lt; - y Fin del tratado de paz con S. M. Británica. Art. xviií. A la rama de la casa de Nassau, que se hallaba establecida en la República que fué de los Estados-Unidos, actualment</t>
  </si>
  <si>
    <t>Salcedo, Antonio</t>
  </si>
  <si>
    <t>Antonio Salcedo</t>
  </si>
  <si>
    <t>Francisco Sánchez, D. Juan Sayers, D. Ignacio Guarda, D. Joseph ParboyD. Pedro Joseph de Benavente, D. Antonio Salcedo-, D. Gregorio Escamilla, D. Joaquín Velazqyez, D. Manuel</t>
  </si>
  <si>
    <t>Salcedo, Joáchín</t>
  </si>
  <si>
    <t>Joáchín Salcedo</t>
  </si>
  <si>
    <t>fe de sus exércitos ,• plazas y fronteras al en segundo D. Felipe de Paz; y Ayudante de Ingeniero a Don Joáchín Salcedo, segundo Subteniente del regimiento de infantería de León. También en el regimiento de caballería de España ha promovido el Rey á Capitán al Ayudante D. Pedro de Cárdenas; y en. e</t>
  </si>
  <si>
    <t>Salcedo, Manuel</t>
  </si>
  <si>
    <t>Manuel Salcedo</t>
  </si>
  <si>
    <t>oz y San Clemente , D. Juan Antonio de laMata,D. Alexo García Condes Don Antonio Alvarez Ximenez, y D. Manuel Salcedo. A grado de Coronel los Tenientes Coroneles! en España. D. Mateo Iruegas, D. Narciso Belloc, D. Agustra del Campo, Don Pedro Darsens, D. Francisco Tirado, D. Diego María Fiballer,</t>
  </si>
  <si>
    <t>Salcedo, Pedro</t>
  </si>
  <si>
    <t>Pedro Salcedo</t>
  </si>
  <si>
    <t>D. Gervasio Gasea, D. Joseph Metzguer; y áD. Ignacio Paino y Mateos, grado de Milicias. En América, D. Pedro Salcedo, D. Francisco de Torres, D. Cárlos Larras, D. Joseph del Castillo, D. César Baibiam, D. Bartolomé Arguelles, D. Casimiro Montero, D. Antonio Montaña, D. Joseph S?avedra, D. Joseph</t>
  </si>
  <si>
    <t>Salcedo, Tomás</t>
  </si>
  <si>
    <t>Tomás Salcedo</t>
  </si>
  <si>
    <t>onio Franchi,D. Rafael de Zuniga, D. Gerónimo Martin Cortés, D. Ramón Bétes, D. Francisco Portillo, D. Tomas Salcedo, D. Fernando Moyano, D. Juan Alabés, D. Juan Macarti, 0. Dionisio Sánchez, D. Joseph Chardenoux, D. Joaquín de la Hoz, D. Mateo Rodrigue?, D. Gervasio Gasea, D. Joseph Metzguer; y</t>
  </si>
  <si>
    <t>Salens, Ignacio</t>
  </si>
  <si>
    <t>Ignacio Salens</t>
  </si>
  <si>
    <t>é Navarrete, D. Santiago Fernandez, D. Felipe López de Arjona, D. Joseph Rivera, D. Joseph Cabrera, D. Ignacio Salens , D. M.a-. nuel Vázquez, D. Juan Vidaror, D. Joseph Anillo, D. Mauricio Alva-, rez, D, Manuel Hinojosa, D. Joaquín Luyando, D. Juan Bosa, D. Bas^ cual Martinez, D. Juan Menendez,'</t>
  </si>
  <si>
    <t>Salgado, Miguel</t>
  </si>
  <si>
    <t>Miguel Salgado</t>
  </si>
  <si>
    <t>ay: para el Beneficio Sacristía del lugar de Acebo, en la diócesis de Coria , vacante por muerte de D. Miguel Salgado , á D. Antonio Martin Escudero; y para el Beneficio simple de la parroquial de Sobradillo , en la diócesis de Ciudad-Rodrigo, vacante por fallecimiento de D. Pablo Melgarejo, a D.</t>
  </si>
  <si>
    <t>Saliceti</t>
  </si>
  <si>
    <t>iempre la ha habido. Nizza 22 de Diciembre. D e Paris llegó á Lúea el dia 19 el ciud. Saliceti en calidad de Comisario de ia República francesa. Por ahora no se sabe el encargo que lleva. En Genova ha entrado un barco liguriano mandado por el Capitán Arcán</t>
  </si>
  <si>
    <t>tro cisalpino, presentó el 29 de Diciembre sus credenciales á este gobierno. El ciud. Saliceti, Enviado extraordinario del gobierno francés en Lúea, recien llegado á aquella ciudad, se presentó á la diputación del gran Consejo de la República , y pronunc</t>
  </si>
  <si>
    <t>Salicetti</t>
  </si>
  <si>
    <t>retirará en breve por tierra. Crénova ¡¡ de Diciembre. A yer llego de París el ciud. Salicetti. Dícese que va á Toscana con un encargo del primer Cónsul, y quizá irá también á Lúea. Lía nombrado este gobierno al ciud. Benito Pareto para Ministro extra-*</t>
  </si>
  <si>
    <t>Salido, Joseph</t>
  </si>
  <si>
    <t>Joseph Salido</t>
  </si>
  <si>
    <t>l primer Teniente de granaderos D. Fernando Martínez: en el de Jaén á primer Subteniente al segundo D. Joseph Salido ; y en el batallón de cazadores Voluntarios de Barbastro á Capitán primero al primer Ayudante D. Ramón de Alburtpierque; á Capitán segundo al primer Teniente D. Isidro Azcura, y á</t>
  </si>
  <si>
    <t>Salinero, Tomás</t>
  </si>
  <si>
    <t>Tomás Salinero</t>
  </si>
  <si>
    <t>tamente este preservativo de las viruelas á quantos gusten venir á esta villa___Don Tomas Salinero, Cirujano de la de Pedrezuela, traxo el 27 de Diciembre un hijo suyo á vacunarle ; y luego que le salieron, inoculó á casi todos los que no habían tenido viruelas en Pedrezuela; y no obstan</t>
  </si>
  <si>
    <t>Salm, General</t>
  </si>
  <si>
    <t>General Salm</t>
  </si>
  <si>
    <t>n retirada á la hacienda de Bayonnai, de donde el dia siguiente fueron arrojados por la brigada del General Salm, que halló en aquel puesto un botin crecidísimo, como que era uno de los repuestos de los rebeldes. Los dos dias siguientes adelantaron su marcha las divisiones, y un cuerpo enemi</t>
  </si>
  <si>
    <t>Salomón, Joseph</t>
  </si>
  <si>
    <t>Joseph Salomón</t>
  </si>
  <si>
    <t>y Quiutano, D. Jo•seph Pascual de Vivero ,- D..t Francisco Mlllau y Merlo, D« Manuel Díaz Herrera, D. Joseph Salomón, D. Joseph de Llano Garay, D. J« st*ph Ig¿. nado del Camino', D. Vicente de Boz y Cafi^* v D« JCsev*h Meñaca, Don Jfcleph Herediá y Hore, D. Nicolás de Cea , D.DiegoButron y Corté</t>
  </si>
  <si>
    <t>Salomón, Pedro</t>
  </si>
  <si>
    <t>Pedro Salomón</t>
  </si>
  <si>
    <t>.. 143. 27. Id. Pedro Salomón.................... Juan , Joaquina Portilla.... Arroyo.......... Plasencia.... 333. 3- Id. Francisco Molaguero.......... Manué^ Jacinta Lozano... Bustillo</t>
  </si>
  <si>
    <t>Salsas y Trillas, Pedro</t>
  </si>
  <si>
    <t>Pedro Salsas y Trillas</t>
  </si>
  <si>
    <t>IT 40 cosas mas notables. Esta obra del Dr, D. Pedro Salsas y Trillas, a precia ble por su erudición , unción y estilo, se hallará completa con e! retrato del autor en las iibrerías de Barco, carrera de S. Gerónimo,.y de Arribas, calle de Jas Carret</t>
  </si>
  <si>
    <t>Salvador'Perellós</t>
  </si>
  <si>
    <t>Fita, el Sr, Dó Joseph MariáPuig, D. Salvador'Perellós, -D.’! Jijan del Cas^ tillo y Carróz, Barón de Casa-Ddvalillo, D. Joseph Company, D. Joseph Antonio Cavanilles, D. Joseph Chaix, D. Joseph Ortizf y D. Joaquín de la Croix, secreta</t>
  </si>
  <si>
    <t>Salvadores, Juan</t>
  </si>
  <si>
    <t>Juan Salvadores</t>
  </si>
  <si>
    <t>21. 13. Id. Juan Salvadores................ . Torijbio, Juana Valboa....... Hervedo........ Ponferrada...</t>
  </si>
  <si>
    <t>Samper, Antonio</t>
  </si>
  <si>
    <t>Antonio Samper</t>
  </si>
  <si>
    <t>El Rey se ha servido conferir el gobierno militar y político de la plaza de Tarragona al Brigadier D. Antonio Samper, electo Capitán general de Puerto-Rico. $. M, ha nombrado Guarda Almacén provincial de artillería de las islas de Canaria á D. Domingo Perdomo, Teniente de las milicias de artille</t>
  </si>
  <si>
    <t>Don Mateo Perez, D. Francisco Réqu'ená, D. Antonio Parxearroyo, 0; Joseph Molina* 0. Joseph Urbtua, D. Antonio Samper, D, Joaquín dé Mendoza* D. Fernando • Gaver, D. Mannel Andrade, D. Antonio;Diez dé4,Riv¿rí¿ P; Antonio Galiano, el Matques dé Mos, D¿ António Arce * D. Gerónimo Cifuentes, y D. An</t>
  </si>
  <si>
    <t>San Juan</t>
  </si>
  <si>
    <t>masiUa*. Alcázar de San Juan... 3«. Muerto. Julián Valles....... 43. 34. Id. Ant</t>
  </si>
  <si>
    <t>San Juan, Felipe</t>
  </si>
  <si>
    <t>Felipe San Juan</t>
  </si>
  <si>
    <t>48 r parolas á segundos Tenientes á los Alféreces de granaderos D. Felipe San Juan y D. Juan Francisco Terrazas; y á Alférez al Cadete D -Rafael Pinos. En el regimiento de infantería del Príncipe se ha servido el Rey promover á segundo Subteniente al Cadete D. Anton</t>
  </si>
  <si>
    <t>San Juan, Manuel Ignacio</t>
  </si>
  <si>
    <t>Manuel Ignacio San Juan</t>
  </si>
  <si>
    <t>. Juan Maduit, D. Juan O-Donojú y O-Rian, D. Joseph Valmaseda, D. Manuel Rizo, D. Francisco Pastor, D. Manuel Ignacio San Juan, D. Juan Senen de Contreras , D. Pedro Lobo y Arjona, D. Diego Orbaneja, D. Joseph Medrano, D. Joaquín de la Chica, D. Agustín Cabrera, D. Antonio Franchi,D. Rafael de Zuniga, D.</t>
  </si>
  <si>
    <t>San Lucar de Barrameda</t>
  </si>
  <si>
    <t>ro, Comendador de Hornachos en lpide Santiago, Regidor perpetuo de la ciudad de San Lucar de Barrameda, Teniente General dé los' Reales exércitos, y Consejero de.Estada de S.M. Empezó su carrera en i.°. de Marzo de 1759 4e Cadete en el Real cuerpo de-Artillería , del qual siendo ya Subtenien</t>
  </si>
  <si>
    <t>San Martín, Joseph María</t>
  </si>
  <si>
    <t>Joseph María San Martín</t>
  </si>
  <si>
    <t>xía: para la Chantría ai Maestrescuela Don Francisco Xavier López: para la Dignidad que este dexa á D. Joseph María San Martin, Tesorero de la propia ; y para esta al Canónigo Penitenciario D. Diego Vidaurre. S. M. se ha dignado conferir el Gobierno militar y político de la provincia de Cuenca, en el Vire</t>
  </si>
  <si>
    <t>San Martín, Miguel</t>
  </si>
  <si>
    <t>Miguel San Martín</t>
  </si>
  <si>
    <t>5.'ai. Id. Miguel San Martin............. Pedro, María Pardioas.... Azares.............León.................</t>
  </si>
  <si>
    <t>San Payo, Bartolomé</t>
  </si>
  <si>
    <t>Bartolomé San Payo</t>
  </si>
  <si>
    <t>.. iss. 13. Muerto. Bartolomé San Payo......... &lt; Josef, Dominga Fermosa... R¡obodas.... Galicia...... 141. 13. Id, Miguel Maestro................ . Juan, Manuela Castro..,.. Melgar...... Búrgos....... 338</t>
  </si>
  <si>
    <t>San Pedro, Diego</t>
  </si>
  <si>
    <t>Diego San Pedro</t>
  </si>
  <si>
    <t>ori Francisco Zayas y ademas de las 6 de arkmética^débaostnDr dbsícfelm® y a.° libro de -geometría; D. Diego San Pedro fué examinado der.áritmé^ tica, álgebra, geometría especulativa y práctica, y el¿Mentos.Bei.'fóhiií cacion ; ID*. ÁndrCSí J Machado de ¿ ordenanzas yy ■ las quatro primeras! regía</t>
  </si>
  <si>
    <t>San Tuan, Francisco</t>
  </si>
  <si>
    <t>Francisco San Tuan</t>
  </si>
  <si>
    <t>4. 47. Muerto. Francisco San Tuan........... Antonio,Joaquina Escarpia. Bañeza..... Bañeza...... 63. 26. Id. Antonio Lagranja .............. Nicolás, María de Dios....... Robedich</t>
  </si>
  <si>
    <t>Sánchez Ambriz, Francisco</t>
  </si>
  <si>
    <t>Francisco Sánchez Ambriz</t>
  </si>
  <si>
    <t>da Renta á D. Manuel Joseph de Ilzarve: para: B de Escribiente provisional de La misma Contaduría á D. Francisco Sánchez Ambriz ; para la de Guarda, patricio del departamento de Huexutla-¿</t>
  </si>
  <si>
    <t>Sánchez Arjona, Manuel</t>
  </si>
  <si>
    <t>Manuel Sánchez Arjona</t>
  </si>
  <si>
    <t>e|!bri’áe. Rqxas &gt; y Ariés^ D. Pascual i Ruiz „de Huidob.ro» Aotpnio Boneo ,D.' Nicolás Ma.yér,gst% D. Manuel Sánchez Arjona, D. Joaquut de ;MoUu^^D.v^rahdscoíVaz^</t>
  </si>
  <si>
    <t>Sánchez Cidras, Bernardo</t>
  </si>
  <si>
    <t>Bernardo Sánchez Cidras</t>
  </si>
  <si>
    <t>n de la de Tuy , vacante por promoción de D. Joseph de Turnes á una Canongía de la misma iglesia, á D. Bernardo Sánchez Cidras: para la Prestamera de Beteta, en la diócesis de Cuenca , vacante por renuncia de D. Mateo de Luna, á D. Antonio Friay: para el Beneficio Sacristía del lugar de Acebo, en la dióce</t>
  </si>
  <si>
    <t>Sánchez de Casahonda, Ramón</t>
  </si>
  <si>
    <t>Ramón Sánchez de Casahonda</t>
  </si>
  <si>
    <t>dron de dragones de América fixo de la plaza de la Havana ha promovido el Rey á Teniente ai Alférez D. Ramón Sánchez de Casahonda; á Altéreces al Portaguión D. Eugenio Fernandez, y al Soldado</t>
  </si>
  <si>
    <t>Sánchez de Sandino, Rafael</t>
  </si>
  <si>
    <t>Rafael Sánchez de Sandino</t>
  </si>
  <si>
    <t>onio Manrique, D. Antonio Garzón, D. Juan Muñoz, D. Alfonso de Ortega, Don Juan Bautista del Caño , D. Rafael Sánchez de Sandino, Juan de Roxas, Francisco de Yera, Pedro Martin, Francisco de Montes y Juan Cobo; y atendiendo dicho Sr. Corregidor á la pobreza de algunos jóvenes que también habían manifestado</t>
  </si>
  <si>
    <t>Sánchez Griñan, Juan</t>
  </si>
  <si>
    <t>Juan Sánchez Griñan</t>
  </si>
  <si>
    <t>deros los de fusileros D. Luis Arnaiz y D. Manuel Alonso; á Subtenientes de compañía los de bandera D. Juan Sánchez Griñan y D. Manuel de Vera , y á Subtenientes de bandera al Sargento primero de granaderos D. Bernardo Espert, y los Cadetes D. Joseph Chamizo y D. Antonio Nuñez: en el de Cuba á Capitán de</t>
  </si>
  <si>
    <t>Sánchez Ibáñez, Ignacio</t>
  </si>
  <si>
    <t>Ignacio Sánchez Ibáñez</t>
  </si>
  <si>
    <t>pia iglesia: para esta Ración al Medio-Racionero D. Juan Manuel de España: para esta Media-Ración á D. Ignacio Sánchez Ibañez, Capellán de las monjas de Sta. Ines de la Puebla; y para otra Media-Ración en la reterida catedral á D. Pedro Joseph de Herrera, Cura de Papascuaro, del obispado de Durango. Tamb</t>
  </si>
  <si>
    <t>Sánchez, Agustín</t>
  </si>
  <si>
    <t>Agustín Sánchez</t>
  </si>
  <si>
    <t>S. M. el empleo Je Sargento mayor del regimiento de dragones de Pavía al Capitán del propio cuerpo D. Agustín Sánchez. S. M. se ha servido nombrar para una plaza de Oidor de lá Real Au* diencia de Aragón á D. Rafael Joseph de Arnandi; y para la del Crimen, que este obtiene en la propia Audiencia,</t>
  </si>
  <si>
    <t>Díaz, D. Martilel Fprcarda, I&gt;. Manuel Teran, D. Joaquín Ribera^ D;; Pedro Muñoz, D, Juán Davadié , D. Agustín Sánchez, I}. Manuel Mo¿ ro, D: EugenioTontas y Alcalá, D. Miguel Rodríguez, D. FranciscO dé Borja , D. Diego; Encina , D. Manuel de la Cruz., D¿ Diego de Mesa , fc)oñ Pedro déPCastillo, D</t>
  </si>
  <si>
    <t>Sánchez, Antonio</t>
  </si>
  <si>
    <t>Antonio Sánchez</t>
  </si>
  <si>
    <t>xo de la plaza de Vera—; cruz se ha servido el Rey promover á Teniente de cazadores al de fusileros D. Antonio Sánchez ; á Teniente de fusileros al Subteniente de cazadores Dom Basilio de la Chica; a Subteniente dé cazadores al dé fusileros D. Francisco Valdez ; á Subteniente de fusilecosaL segund</t>
  </si>
  <si>
    <t>60. 49. Id. Antonio Sánchez................. Bernardo; Maria Martinez. Orihuela........ Murcia....... 31. 10. Id. Francisco Carro................... Salvador, Juliana Va</t>
  </si>
  <si>
    <t>Sánchez, Benito</t>
  </si>
  <si>
    <t>Benito Sánchez</t>
  </si>
  <si>
    <t>Joaquín Ollés de Regales; y en la clase de buenos, D. Fabian Lorenté', D. Joseph Ramón dé Andraca, D. Benito Sánchez, D. Manuel Ased, D. Manuel Garcés y D¿ Liborio Mirálles. ’_-Se distribuyéron premios á todos los alumnos de ambas cátedras que quedan nombrados, conforme á su respectivo mérito y</t>
  </si>
  <si>
    <t>Sánchez, Francisco</t>
  </si>
  <si>
    <t>Francisco Sánchez</t>
  </si>
  <si>
    <t>. 7/; y Rúan con 4. . , Cascante, en Navarra de Abril. I _ ntroducida la vaccina en esta ciudad por D. Francisco Sánchez en su hijo Nicasio, ze.loso D. Manuel Gil y Alheniz , su médico titular, de propagar-' la al resto de Us criaturas que no habían: tenido viruela natural ó inoculada, no, perdió tiem</t>
  </si>
  <si>
    <t>n Lorenzo Burgos^, D. .Joseph Arata,p. Ildefonso Larrauri ,D. Tomas ligarte, D. Ignacio de; la Luz, D. Francisco Sánchez, p. Joseph Aymericb, D. Jacobo Dubrevil , D. Francisco Robles; D. Angel Fuentes, Di Diego Escovar, D. Bartolomé Cucalón, D. Diego:Niet&lt;&gt;,D. Manuel de Muro, D. Francisco Ixart ,¿0.</t>
  </si>
  <si>
    <t>Sánchez, Joaquín</t>
  </si>
  <si>
    <t>Joaquín Sánchez</t>
  </si>
  <si>
    <t>Juan Vianqui, D. Miguel Celada, D. Cosme Ramírez de Arellano y D. Isidro Mendez, y á los Sargentos D. Joaquín Sánchez, D. Antonio Cermeño y D. Juan González. El Consejo, á consulta de la Comisión gubernativa de consolidación de Vales, y con aprobación de S.M., ha acordado la trígesimaprima amorti</t>
  </si>
  <si>
    <t>Sánchez, Joseph</t>
  </si>
  <si>
    <t>Joseph Sánchez</t>
  </si>
  <si>
    <t>al supernumerario D. Joseph Losada, y á Cadetes supernumerarios á los Guardias de la misma Compañía D. Joseph Sánchez y D. Juan Saavedra. En el regimiento de Reales Guardias Españolas se ha servido promover el Rey á Capitán al primer Teniente y Comandante de cazadores D. Sebastian Díaz de Perea. S. M</t>
  </si>
  <si>
    <t>deros al primer Subteniente D. Joaquin dé Soto , y á¡segundo Teniente de granaderos al de fusileros D. Joseph Sánchez: en el de Murcia á Capitán ai primer Teniente D. Juan Irisarri: en el de Amé•rica á Cap-tan al Ayudante D. Venceslao Prieto-: en el de Málaga al empleo de Teniente Coronel al Coma</t>
  </si>
  <si>
    <t>promovét en eí regimiento de infantería de Toledo á segundo Teniente de granaderos al de fusileros D. Joseph Sánchez: léase ZX Juan Joseph Margado. jíviso al público de drden del ministerio de Hacienda. ,,D. Antonio García de Roa, Contador honorario de exércitó, y .Administrador general de todas</t>
  </si>
  <si>
    <t>Sánchez, Juan</t>
  </si>
  <si>
    <t>Juan Sánchez</t>
  </si>
  <si>
    <t>rin; y en el batallón de infantería de Canarias á primer Teniente al segundo Teniente de granaderos D. Juan Sánchez. En los regimientos de milicias provinciales de Canarias ha promovido el Rey á Coronel del de Telde al Teniente Coronel del mismo cuerpo D. Tomas Eduardo\ á Coronel del de Guia al</t>
  </si>
  <si>
    <t>nombrar Sargentos mayores de las milicias disciplinadas de infantería de Goatemala á Tos Capitanes D. Juan Sánchez, D. Simón de Ubau y D. Andrés Gil Taboada, y á D. Juan Manuel Gil, Ayudantes que eran de las propias milicias; y Sargentos mayores de las de dragones á los Capitanes D. Alexandro</t>
  </si>
  <si>
    <t>74 Id. Juan Sánchez........................ Ignacio, Ana Antón........... Ambrona................................... 39. zo. Id. Francisco Lobo.................... Tomas, María Vaquero....</t>
  </si>
  <si>
    <t>94- 15. Id. Juan Sánchez...................... Marcelino, Ana López....... Fresno......... . Toro.............. 16. 32. Id. Francisco Martínez.......... Nicolás, María Martínez... Villacast</t>
  </si>
  <si>
    <t>Sánchez, Juan Francisco</t>
  </si>
  <si>
    <t>Juan Francisco Sánchez</t>
  </si>
  <si>
    <t>Quevedo, Don Juan de Villanueva, D. Domingo.de Aragón , D. Andrés Ximenez, Doti Tomas de Figueroa, D. Juan Francisco Sánchez, D. Juan Sayers, D. Ignacio Guarda, D. Joseph ParboyD. Pedro Joseph de Benavente, D. Antonio Salcedo-, D. Gregorio Escamilla, D. Joaquín Velazqyez, D. Manuel</t>
  </si>
  <si>
    <t>Sánchez, Juan Joseph</t>
  </si>
  <si>
    <t>Juan Joseph Sánchez</t>
  </si>
  <si>
    <t>, y le desagravia del deshonor y perjuicios que le han causado erradas opiniones é imposturas ; por D. Juan Joseph Sánchez, Escribano de S. M. en el colegio de Valencia: tres tomos en 4.0 Se hallará en la librería de Ximenez , cafios del Peral, y en Valencia en la de Minguet, junto al colegio de Corpu</t>
  </si>
  <si>
    <t>Sánchez, Ramón</t>
  </si>
  <si>
    <t>Ramón Sánchez</t>
  </si>
  <si>
    <t>41. 25. Licenciado. Ramón Sánchez................... Pedro, Josefa Hernández... Vitoria....... . Salamanca... 13, 13. Id. Estéban Gómez................... Josef,Francisca Albarran... Madrid........ Madrid......</t>
  </si>
  <si>
    <t>Sanchiz Verenguer, Joaquín</t>
  </si>
  <si>
    <t>Joaquín Sanchiz Verenguer</t>
  </si>
  <si>
    <t>no Torrcntcgui, D. Nicolás Rubín de Barrio, D. Isidro Gago y Abarca, D. Pablo de Villa y Gutiérrez, D. Joaquín Sanchiz Verenguer, D. Rafael de Lobo y Campo, D. Francisco Leceta y la Iglesia, D. Manuel Ocarol y Fuertes, D. Antonio Magadan y Entrenos, D. Norberto de Mella-y Barbeyto, I&gt;. Juan de Bustamante y</t>
  </si>
  <si>
    <t>Sancho Ponce de León y Morejon</t>
  </si>
  <si>
    <t>n de Santiago y García det Viso, D. Manuel Am* bulodi y Calvo,/ D. Jóseph POnc¡e de León y Morejon, D. Sancho Ponce de León y Morejon, D-. Joaquín Lobo .de Verseó y Mehdieta, D. Antonio Carvajal y Salamanca $ i). Jbsephi de Mesa y Figueroa, D. Eusebio de Tispar y 'Pedrosa v D^iGaspár Romero y Díaz de Herrera, D.</t>
  </si>
  <si>
    <t>Sandoval, Bartolomé</t>
  </si>
  <si>
    <t>Bartolomé Sandoval</t>
  </si>
  <si>
    <t>rilla, D. Juan Antonio Cosío , D. Joseph Vaca, D. Francisco Man glano, D. Miguel García Sacristán , D. Bartolomé Sandoval, D. Rafael Tavira, D. Manuel de la Isla, D, Félix Pérez Vidal, Francisco de Paula Pa^ía, D. Fernando Sandoval, D. Francisco dé Yeste , D. Lorenzo Villavicencio, D. Agustín Rodrígu</t>
  </si>
  <si>
    <t>Sandoval, Fernando</t>
  </si>
  <si>
    <t>Fernando Sandoval</t>
  </si>
  <si>
    <t>é Sandoval, D. Rafael Tavira, D. Manuel de la Isla, D, Félix Pérez Vidal, Francisco de Paula Pa^ía, D. Fernando Sandoval, D. Francisco dé Yeste , D. Lorenzo Villavicencio, D. Agustín Rodríguez, D. Juan Bascon , D. Peclro Celés'tino Calvo, D. Henrique Texerizo, D. Benito Tolra Lafita , D. Serafín Alo</t>
  </si>
  <si>
    <t>Sandoval, Ignacio</t>
  </si>
  <si>
    <t>Ignacio Sandoval</t>
  </si>
  <si>
    <t>Luis Calvo, D; Joseph Astraudi, D. Anselmo Martínez,_D. Rayníundo Carbonell,* D. Rodrigo •Aívarez, D. Ignacio Sandoval, D¿ Nicolás Pastor, D. Joseph Abarca, Don Jdseph Díaz, D. Ignacio Luzon¿ D. Mariano Merchante, D. Christóbal Manzano, D. FranciscoFaxardo, D. Andrés Orozco, D. Miguel Duran, D. Cá</t>
  </si>
  <si>
    <t>Sanfa MáHa, Antonio</t>
  </si>
  <si>
    <t>Antonio Sanfa MáHa</t>
  </si>
  <si>
    <t>riente, entre doce y usa de su mafiana , en te aud'iénéiadcl mismoSt. B; |fain 'Antonio Sanfa MáHa, Teniente Corregidor de esta villa y escribanía de su número que exerce D. Tomas de Sancha y pra&gt; dó, actída á#ita dlchb Sri júea poriia citada escribíanía; • s; * La R caf dirección desbas</t>
  </si>
  <si>
    <t>Sanponts, Francisco</t>
  </si>
  <si>
    <t>Francisco Sanponts</t>
  </si>
  <si>
    <t>emorias escritas en español ó en latín, se dirigirán francas de porte ai Dr. D. Francisco Sanponts , secretario primero de la Real academia de medicina práctica de Barcelona-----En esta misma junta el Dr. D. Vicente Mitjavila, segundo profesor del Real estudio de clínica establecido por S.</t>
  </si>
  <si>
    <t>Sansaber, Francisco</t>
  </si>
  <si>
    <t>Francisco Sansaber</t>
  </si>
  <si>
    <t>48. 8. Id. Francisco Sansaber.............. Josef, |María Roncal ..... Otero........ Zaragoza....... 4^* 8« Id« Christóbal Andrés............... Mateo ^Catalina Llamas... S P</t>
  </si>
  <si>
    <t>Santa Alaría, Juan Antonio</t>
  </si>
  <si>
    <t>Juan Antonio Santa Alaría</t>
  </si>
  <si>
    <t>Consejo de las Ordenes, que resulta vacante por jubilación del Conde de Roche, ai Teniente de Villa D. Juan Antonio Santa Alaría; y para una plaza supernumeraria del Crimen de la Audiencia de Valencia á D. Fermín Nehot. íil Rey se ha servido expedir al Consejo y Cámara de Indias el decreto del tenor siguien</t>
  </si>
  <si>
    <t>Santa María</t>
  </si>
  <si>
    <t>■. ... . ... ' 547 diencia del Sr. D. Juan Antonio. Santa María, teniente Corregidor de esta vllla^ y escribanía-de número , que exerce B. Tomas de Sancha y . Prado. Para el remate de dos casas contiguas, sitas en la calle del Ayuntamiento del lugar, de</t>
  </si>
  <si>
    <t>Santa María, Basilio</t>
  </si>
  <si>
    <t>Basilio Santa María</t>
  </si>
  <si>
    <t>3. Licenciado. Basilio Santa María.......... Padres incógnitos................ Búrgos........... Búrgos........... 449. &lt;7. Id. Manuel Martinez................ Matías, María Gil..............Bureta.......</t>
  </si>
  <si>
    <t>Santa María, Francisco</t>
  </si>
  <si>
    <t>Francisco Santa María</t>
  </si>
  <si>
    <t>ales Guardias Españolas se ha servido promover el Rey á Alféreces á los Cadetes D. Joseph Quintana» D. Francisco Santa María y D. Antonio María Moxó. Los botánicos de la expedición del Pera acaban de recibir por el Ministerio de Gracia y Justicia de Indias cinco caxones de productos naturales» que para aume</t>
  </si>
  <si>
    <t>Santa María, Juan Antonio</t>
  </si>
  <si>
    <t>Juan Antonio Santa María</t>
  </si>
  <si>
    <t>á la memoria que fundó Agustin Rodríguez, se ha señalado el dia 4 de Enero en la audiencia del Sr. D. Juan Antonio Santa María,del Consejo de S. M., primer Teniente Corregidor de esta villa , á la hora de medio dia, por ante el Escribano del numero D. Vicente de la Costa. El Sr. Intendente de esta provinc</t>
  </si>
  <si>
    <t>iere hacer mejora acuda ante su Señoría por la citada escribanía V En virtud de providencia del Sr, D. Juan Antonio Santa María, Teniente Cor regidor de esta villa, y para pago de un acreedor, por la escribanía de num»ro d¡ D. Antonio López de balazas, se ha mandado sacar á publica subasta-un ¿dazo de nerr</t>
  </si>
  <si>
    <t>del quarto acuda .cn el término de 30 dias, qne empezarán á correr el referido dia iÓ, ante el Sr. D. Juan Antonio Santa María, Teniente Corregidor de esta villa, por la escribanía del número de D. Antonio Fernandez.~— Para el remate de otra casa* en la calle del Rosario,barrios de S. Francisco, núm. aa,</t>
  </si>
  <si>
    <t>ovincia de D, Juan Antonio Díaz Noriega. Se ha señalado el dia 3 de Febrero en la audiencia del Sr. D. Juan Antonio Santa María , Teniente Corregidor de esta villa, á la hora de medio dia, para el remate de 3 casas sitas en esta corte, una en la baxada de los Angeles , núm. 9, manz. 399 , que tiene de siti</t>
  </si>
  <si>
    <t>memoria que fundó Agustin Rodríguez, se ha señalado el dia 8 ■ de este mes en la audiencia del Sr. D. Juan Antonio Santa María, del Consejo de S. M. , primer Teniente de Corregidor de esta villa, ante B. Vicente de la. Costa, Escribano del número de ella. =r Asimismo se ha señalado el propio dia para el r</t>
  </si>
  <si>
    <t>fincas acuda ante el citado Sr. Alcalde y por la misma escribanía. En virtud de providencia del Sr. D. Juan Antonio Santa María, del Consejo t]e S M. primer Teniente Corregidor de esta villa, se ha mandado volver a sacar 4 pública* subasta por término de 9 dias dos casas sitas, la una en la plazuela de Tru</t>
  </si>
  <si>
    <t>D. Juan Antonio Díaz Noriega. En virtud de las órdenes de S. M. se ha pedido en el juzgado del Sr. D. Juan Antonio Santa María, y escribanía del numero de D. Joseph Mateo y Aguado, la venta en subasta publica de un censo de 30^ ducados de principal , y réditos de dos y medio por ciento , perteneciente á u</t>
  </si>
  <si>
    <t>de este mes , que por tres términos y el último perentorio se les seííala, comparezcan ante el Sr. D. Juan Antonio Santa María , del Consejo de S. M. , Teniente Corregidor de esta villa., y por la escribanía del número que exerce D. Antonio Fernandez, con presentación de los documentos que califiquen sus</t>
  </si>
  <si>
    <t>eal casa y corte, y escribanía de provincia de D. Carlos Rodríguez de Moya. Por providencia del Sr. D. Juan Antonio Santa María, del Consejo de S. M.‘, primer Teniente Corregidor de esta villa, se han mandado sacar á publica subasta, por término de 30 dias , las tierras sitas en el término del lugar de Bal</t>
  </si>
  <si>
    <t>y se señalan 30 dias de término para la mejora dej quarto. Quien quisiere hacerla acuda ante el Sr. D. Juan Antonio Santa María, Teniente Corregidor de esta viila, y escribanía de D. Tomas de Sancha y Prado. En la Subdeiegacion general de bienes mostrencos , vacantes y abintestatos se están siguiendo autos</t>
  </si>
  <si>
    <t>sponda , y les parará ei perjuicio que haya lugar. A voluntad de su dueño y por providencia del Sr. D. Juan Antonio Santa María, Teniente Corregidor de esta villa , y escribanía de su número que sirve Don Tomas de Sancha y Prado, se han puesto en subasta, por término de 30 dias contados desde 4 del present</t>
  </si>
  <si>
    <t>es. Romero, hermanos y sobrino, ó en la de los Sres. Galarza y Goycoechea. Por la audiencia del Sr. D. Juan Antonio Santa María, Teniente Corregidor de esta villa , y por la escribanía del número de D. Gervasio Fernandez Izquierdo, se es'tá subastando una casa sita en esta corte en la calle del Escurial ,</t>
  </si>
  <si>
    <t>el, á las que está hecha postura en la cantidad de su tasacion en Tales Reales. Por mandado del Sr. D. Juan Antonio Santa María, primer Teniente Corregidor de esta villa, se ha mandado sacar á pública subasta por término de 30 dias las :fincas sitas en el lugar de Ballécas siguientes.,Una tierra, que fué m</t>
  </si>
  <si>
    <t>acer postura á él acuda ante dicho Sr. Alcalde y escribanía de D. Juan Antonio Diaz Noriega. El Sr. D. Juan Antonio Santa María, primer Teniente Corregidor de esta villa, ha señalado el dia 5 de Abril á ias 12 de su mañana, á Jas puertas de la audiencia de S. S. para el remate de un oficio de Regidor perpe</t>
  </si>
  <si>
    <t>s; sin contar otros destinos y acciones en que se hallo. En virtud de Real facultad cometida al Sr. D. Juan Antonio Santa María, del Consejo de S. M., Teniente Corregidor de esta villa, se ha mandado vender á pública subasta un título de Castilla, con Ja denominación de Marques de Ja Nava de Barcinas, regu</t>
  </si>
  <si>
    <t>pagar de ellos 3qOO en moneda metálica. Quien quisiere hacer postura acuda por la audiencia del Sr. D. Juan Antonio Santa María, Teniente Corregidor de esta villa, y escribanía del número de D. Gervasio Fernandez Izquierdo. Se abre subscripción á la Historia de los caballeros hospitalarios de S. Juan de Te</t>
  </si>
  <si>
    <t>Santa Maria, Juan Antonio</t>
  </si>
  <si>
    <t>Juan Antonio Santa Maria</t>
  </si>
  <si>
    <t>ematada en 46,400, pagaderos en papel moneda. Quien quisiere hacer, dicha, mejora acuda ante el Sr. Don Juan Antonio Santa Maria, del Consejo de S. M., Teniente Corregidor de esta villa, por la escribanía del numero que exerce D. Antonio Fernandez.</t>
  </si>
  <si>
    <t>do término sin haber comparecido , les parará el perjuicio que haya lugar. Por la audiencia del Sr. D. Juan Antonio Santa María , Teniente Corregidor de esta villa , y escribanía del número que exerce D. Tomas de Sancha y Prado, se subasta una casa sita en esta Corte y calle de Toledo, mím. 9, mauz. 99, pe</t>
  </si>
  <si>
    <t>en la frontera, quarto a.° , núm. 8, á dinero ó vales guardada proporción. Por la audiencia del Sr. D. Juan Antonio Santa María , Teniente Corregidor de esta villa, y escribanía del número de X). Gervasio Fernandez Izquierdo , se vende á voluntad de su dueño una casa sita én la calle de Joanelo, núm. 17, m</t>
  </si>
  <si>
    <t>, .está señalado el día 16 del corriente á las doce y media de su Oiafiana .en la audiencia del Sr. D. Juan Antonio Santa María, Teniente Corregidor, de. está vilhu Quien ¡quisiere hacer .postura acuda ante dicho Sr. Teniente, y escribanía de numero de D. Tomás de Sancha y Prado, t , Por-el mismo Sr. JD. J</t>
  </si>
  <si>
    <t>beneficio de los navegantes qué se dirijan ¿ dicho puerto, L - . "" ' T ■ Por la audiencia del Sr. D. Juan Antonio Santa María , del Consejo de^S? M., Teniente Corregidor de esta villar y escribanía del número de D. Antonio Fernandez, se han sacado*á subasta, en virtud de orden de la Comisión gubernativa,</t>
  </si>
  <si>
    <t>tura á ella acuda ante el citado Sr. Alcalde y por la dicha escribanía. -■ Por la audiencia dél Sr. D. Juan Antonio Santa María y escribanía déf número de D. Tomas de. Sancha y Prado , sé subasta una casa sita en la calle de las Carretas y plazuela del Angel, núm. , manz. 206,7 propia del patronató y^ me^; mor</t>
  </si>
  <si>
    <t>sin el epítome á 50 en el despacho de la calcografía de la imprenta Real. Por la audiencia del Sr. D. Juan Antonio Santa María, Teniente Corregidor de esta.villa, y escribanía del número de D. Gervasio Fernandez Izquierdo, se está subastando una casa sita en esta corte , calle del Escurial, núm. ig, raasz</t>
  </si>
  <si>
    <t>astejon, Grande de España de primera clase, Gentilhombre de Cámara de S. M. con exercicio &amp;c. ElSr. D. Juan Antonio Santa María,Teniente Corregidor de esta villa, hasefiliado el dia primero del próximo mes de Setiembre en su audiencia, por ante el Escribano del número D. Antonio Fernandez, para el remate d</t>
  </si>
  <si>
    <t>m. g , mana. 30, para cuyo remate se señaló el dia aó de Abril de este afia en la audiencia del Sr. D. Juan Antonio Santa María, y no se verificó por falta de postores , estaba tasada en 130,176$ rs. ¿ se mandó retasar , y se ha retasada en rs. Quien quiera hacer postura í ella acudirá i la escribanía deí</t>
  </si>
  <si>
    <t>orrespondiente anticipación para que alcancen á la citada fragata. En,virtud de.providencia del Sr. D. Juan Antonio Santa María, del Consejo de S. M. en el Real de las Ordenes , siendo Teniente Corregidor de esta villa, se han vuelto á sacar á subasta por i£ dias las fincas que en la población y término de</t>
  </si>
  <si>
    <t>Santa Marte, Juan Antonio</t>
  </si>
  <si>
    <t>Juan Antonio Santa Marte</t>
  </si>
  <si>
    <t>sobre el o, sino sufrirán irremisiblemente la pena impuesta en la expresada Real cédula. Por el Sr. D. Juan Antonio Santa Marte, caballero de la Orden de Carlos m, del Conseio de S. M., Teniente Corregidor de esta villa, y Juez comisionado por el Conseio para el conocimiento de la quiebra de D. Manuel Gard</t>
  </si>
  <si>
    <t>Santacilia, Benito</t>
  </si>
  <si>
    <t>Benito Santacilia</t>
  </si>
  <si>
    <t>Felipe Tcurneil, D. Pedro Esquível, D. Pedro de Mesa, D. Ignacio Olaeta, D. Joaquín Gómez Barreda, D. Benito Santacilia, D. Cosme- Carranza, D. Joseph Melendez, D. Antonio Pareja, D. Francisco Piedrola, D. Fernando Bustillo Cuéva,' D. Francisco Vízcarrondo, D. Santiago Irrisarri y Sarti, D. Joaquín</t>
  </si>
  <si>
    <t>Santas, Joseph</t>
  </si>
  <si>
    <t>Joseph Santas</t>
  </si>
  <si>
    <t>y bueno. En Febrero de este año vacunó á úna niña de quatro años y un niño de uno y medio, hijos de D. Joseph Santas, vecino de esta ciudad, los que se habían criado enfermizos, sin que hasta entonces ningún medio hubiese sido poderoso á corregir un vicio que habían adquirido en los primeros mes</t>
  </si>
  <si>
    <t>Santiago Martín</t>
  </si>
  <si>
    <t>...... 240. 15. Id. Santiago Martin.................. Antonio, Josefa Martin.... Ledesma........Ledesma.......... 537. 8. Id. Domingo de Dios............... Juan, GerónimaRodríguez. Olivares............ Cuenca....</t>
  </si>
  <si>
    <t>Santistéban, Gaspar</t>
  </si>
  <si>
    <t>Gaspar Santistéban</t>
  </si>
  <si>
    <t>574 ralo, en el distrito de la Audiencia dé Quito, á D. Gaspar Santistéban, Subteniente de las Compañías íixas de dicha ciudad. i Para noticia y gobierno del público se inserta aquí el siguiente decreto del Emperador de Alemania : ^Francisco u &amp;c. Nuestr</t>
  </si>
  <si>
    <t>Santistébatí, Miguel</t>
  </si>
  <si>
    <t>Miguel Santistébatí</t>
  </si>
  <si>
    <t>anes á los Tenientes de granaderos D. Leori Ortiz de Rozas y D. Manuel de Salas , y á los Ayudantes D. Miguel Santistébatí y D. Antonio Aragón ; á Tenientes de granaderos i los de fusileros D. Roque Rioboo y D. Bernardo Lorenzo; á Ayudantes á los Tenientes D. Agustín de Leis y D. Bernardíno Ortega; á Teni</t>
  </si>
  <si>
    <t>Santos Fernández Vidal</t>
  </si>
  <si>
    <t>para otra titulada de S. Marcelo de la catedral de León, vacante por muerte de D. Pedro Valbuena, á D. Santos Fernandez Vidal, Sacristán mayor de* la propia catedral, r o ,. _ , En el regimiento de Reales Guardias Walonas se ha servido promover ei Rey á primer Teniente aí segundo Teniente de granaderos D</t>
  </si>
  <si>
    <t>Santos Ferrero</t>
  </si>
  <si>
    <t>ii5* Id* Santos Ferrero....... Brazuelo........ Astorga......... 60. 6* Id. Pedro Guisado...........</t>
  </si>
  <si>
    <t>Santos García</t>
  </si>
  <si>
    <t>54*. *5. Id. Santos García................. Manuel ( María Blanco.... León......... León......... 570. 20. Td. Francisco- Loredo............ Vicente ( Antonia Díaz.</t>
  </si>
  <si>
    <t>Santos Louverture, General</t>
  </si>
  <si>
    <t>General Santos Louverture</t>
  </si>
  <si>
    <t>e Diciembre se hallaba en la isla de Sto. Domingo, y que entonces reynaba allí el mayor sosiego. El General Santos Louverture, noticioso de la salida de la esquadra de Brest, estaba disponiendo quarteles y alojamiento para la tropa. Según gazeras recientes de los .Estados-Unidos, que trae el mismo Capitá</t>
  </si>
  <si>
    <t>do las dos cartas siguientes: „Quartel general del Cabo, r.° de Mayo. El General en xefe Leclerc al General Santos Louverture , en nombre del gobierno francés. Veo con gusto, ciud. General, el partido que tomáis de someteros á las armas de la República. Los que han tirado, á engañaros en orden á las verd</t>
  </si>
  <si>
    <t>Santos Rodríguez</t>
  </si>
  <si>
    <t>ios. tt. Id. Santos Rodríguez................ Benito, María Erbella..... S. Miguel Sobrado......... Tuy.................. 66. 4* Id. Luis Fernandez........... . Josef, Antonia del Rio.......</t>
  </si>
  <si>
    <t>Santos, Andrés</t>
  </si>
  <si>
    <t>Andrés Santos</t>
  </si>
  <si>
    <t>4* Id. Andrés Santos........ .. Alexo, Juana Turienzo...... Isla Palacios.. León............... 60. 22. Id. Lúeas Gómez................... Juan, Ines Crespo.</t>
  </si>
  <si>
    <t>Santos, Antonio</t>
  </si>
  <si>
    <t>Antonio Santos</t>
  </si>
  <si>
    <t>99. 31. Licenciado. Pífano i.* Antonio Santos.. Bernardo, María Apia..... Ciudad-Rodri-Ciudad-Rodri- Inválidosde</t>
  </si>
  <si>
    <t>Santos, General</t>
  </si>
  <si>
    <t>General Santos</t>
  </si>
  <si>
    <t>para desprenderse abiertamente de la metrópoli. Ya se han manifestado sus pérfidas intenciones, El General Santos me envió sus hijos con una carta en que aseguraba que su mayor deseo era la felicidad de la colonia, y que estaba pronto á obedecer todas mis órdenes. Le mandé que viniera á verme</t>
  </si>
  <si>
    <t>s en ei campo. La división de Rochambeau entró el 23 en el barranco de la Culebra, que era donde el General Santos esperaba defenderse con sus guardias, compuestas de un cuerpo de i^co granaderos, 1200 hombres escogidos, y 400 dragones. Aquel barranco es sumamente estrecho, flanqueado de montes</t>
  </si>
  <si>
    <t>Cabo, 11 de Junio. En uno de mis últimos plieos os di cuenta del perdón que tuve á bien conceder al General Santos f .ouvertülfe. Este hombre ambicioso no cesó de conspirar cautelosamente desde el instante en que le perdonó. Si se entregó, fué porque los Generales Christóbal y Dessalines le de</t>
  </si>
  <si>
    <t>Santos, Miguel</t>
  </si>
  <si>
    <t>Miguel Santos</t>
  </si>
  <si>
    <t>31. Id. Miguel Santos....................... Domingo, María Alonso... Falces.............. Zamora....... Juan Doral............................ Francisco , María López... CotoValboa.. León.............</t>
  </si>
  <si>
    <t>Sántps Bembiela y Ricpjp</t>
  </si>
  <si>
    <t>tiz Llagu-r ¿o, D, Antonio Caípptiz3no , D. Joaquín,íalite Diáz,;X). Miguel Dominfi¿ii4ez y Vargas, D. Sántps Bembiela y Ricpjp. Manuel Solís y.Sovia, Don Braulio Otálora , D. Francisco-Alvarez Sotomayor , D. Joaquín Bóupmaii y Román, D. Agustín; Mqnzon,D. Francisco deja Torre, D. Joseph deí Camino,D. Fran</t>
  </si>
  <si>
    <t>Sanz de Velasco, Isidoro</t>
  </si>
  <si>
    <t>Isidoro Sanz de Velasco</t>
  </si>
  <si>
    <t>ia de Sevilla, vacante por promoción de D. Joseph María Perez Valiente á Alcalde de casa y corte, á D. Isidoro Sanz de Velasco: para la de Alcalde del crimen de la de Galicia, que este dexa, á D. Joseph Joachín de Iriberri: para otra de Alcalde mayor de la Audiencia de Asturias, vacante por jubilación de</t>
  </si>
  <si>
    <t>Sanz, Francisco</t>
  </si>
  <si>
    <t>Francisco Sanz</t>
  </si>
  <si>
    <t>Id. Francisco Sanz.................................................................... .............................................. . 63. 30. Muerto. Diego Cisoeros. Diego,Manuela Abastas... Cisneros..</t>
  </si>
  <si>
    <t>Sanz, Manuel</t>
  </si>
  <si>
    <t>Manuel Sanz</t>
  </si>
  <si>
    <t>ué fiéhe afiiéxó: para Una Media- Rácioh de la catedral dé Salamanca, vacante por fatlecimíénto 'Bé D. Manuel Sanz, á D. Joséph Dííz , Cura párrocq dél lugar de Má^tin AmbVi'obispado de Salamanca: para una Media-Ración de la Catedral dé; Onhueia j-vacante por muerte dé IX Antonio Áznar*, á D.</t>
  </si>
  <si>
    <t>Sapiéha, Príncipe</t>
  </si>
  <si>
    <t>Príncipe Sapiéha</t>
  </si>
  <si>
    <t>por las antíguas provincia1 de Polonia. En Decrezyn, ciudad pequeña de Lithüania, en que reside el Príncipe Sapiéha, visitó el Emperador su palacio y la preciosa colección de pinturas y estatuas -9 como también el jardín, que es muy hermoso. Los irlandeses, que como reos de estado estuvieron 60</t>
  </si>
  <si>
    <t>Saravia, Francisco Xavier</t>
  </si>
  <si>
    <t>Francisco Xavier Saravia</t>
  </si>
  <si>
    <t>Assua, D. Ramón de Móyua y Mazarredo, D. Francisco Tamayo y Reynalte, D. Joseph Carássa y Figueroa, D. Francisco Xavier Saravia, D. Ramón Torre y Pellicer, D. Manuel Bernal y Petriz, D. Antonio Nuñez Fálcon, D. Joaquín Elgueta y Hernández , D.Francisco Sarrachaga y Zavala, Don Joseph García Joye, D. Miguel</t>
  </si>
  <si>
    <t>Sardana, Vicente</t>
  </si>
  <si>
    <t>Vicente Sardana</t>
  </si>
  <si>
    <t>nuel López j á esta resulta al primer Subtenlente D. Manuel Cines; á. primer Subteniente al segundo D. Vicente Sardana, y á segundo Subteniente al Cadete D. Luis López $ en el de España á Teniente Coronel al Coronel D. Francisco Fulgosío , Comandante del tercer batallón del de Saboya; y en el de s</t>
  </si>
  <si>
    <t>Sarletom Igualmente</t>
  </si>
  <si>
    <t>ieni Consejeros de Estado; y para Secretario general de laypropía dirección el: ciud. Sarletom Igualmente , los ciudadanos Franqais de Nántes, y Roederer, ambos Consejeros de Estado, están nombrados adjuntos del Ministro de lo Interior; el primero tendrá á su cargo</t>
  </si>
  <si>
    <t>Sarmiento, Antonio</t>
  </si>
  <si>
    <t>Antonio Sarmiento</t>
  </si>
  <si>
    <t>ph Imaz, D. Joseph Martínez, D. Rodrigo Medrano, D. Bartolomé Monta! ño, D. Joseph Gómez deLatorre, D. Antonio Sarmiento, D. Antonio Hermosiíla, D. Joseph Bonicelii, D. Joseph de León, D. Patricio Kindélan, D. Ignacio Husey, D. Ignacio Maraver, D. Manuel Eligió, D. Antonio Mayone, D. Ramón Gómez, D.</t>
  </si>
  <si>
    <t>Sartorio, Andrés</t>
  </si>
  <si>
    <t>Andrés Sartorio</t>
  </si>
  <si>
    <t>granaderos al de fusileros D. Juan Fernandez; Tenientes de fusilero$““al Subteniente de granaderos D. Andrés Sartorio, y á los de fusileros D. Joseph María Chiarri y D. Felipe Fabrega; Subteniente de granaderos al de fusileros D. Joseph María dé A y ala» y Subteoicñres de fusileros á los Cadetes</t>
  </si>
  <si>
    <t>Sartorio, Joseph</t>
  </si>
  <si>
    <t>Joseph Sartorio</t>
  </si>
  <si>
    <t>s, D. Joseph Salazar y Rodríguez, D. Joseph Laguna Calderón,: D. Diego Ochando, D. Ramón De. loves, D. Joseph Sartorio, D. Juan Desloves, D.: Bernardo González, D. Joaquín Guzman, D. AntOnio Guzmaa^y Cárrion j D. Alonso Maiin Navarro, 0. .Diego dé'AléssonyBueno, D* BernarddBosco,D. Felipe de Borja</t>
  </si>
  <si>
    <t>Sastre, Joseph</t>
  </si>
  <si>
    <t>Joseph Sastre</t>
  </si>
  <si>
    <t>César Baibiam, D. Bartolomé Arguelles, D. Casimiro Montero, D. Antonio Montaña, D. Joseph S?avedra, D. Joseph Sastre, D; Francisco Nuñez, D. Maximiliano Saut Maxent, D. Tadeo Muniesa, D. Fernando Bienpica, D. Juan O-Snlivan, í). joseph de la Valle , Don Joseph Alvarez, D. Cárlos Meyner, D. Franc</t>
  </si>
  <si>
    <t>Satué, Ramón</t>
  </si>
  <si>
    <t>Ramón Satué</t>
  </si>
  <si>
    <t>ino y Zapata: para la de Murcia á D. Joseph Ximenez de Cenarve: para la de la villa de Don Benito á D. Ramón Satué; y para la de Alcalde mayor de la villa de Socuéllamos, territorio de la orden de Santiago, de primera clase ó entrada, á D. Joseph de Abreu y del Moral. También ha concedido S. A</t>
  </si>
  <si>
    <t>Saturnino de Vicuña</t>
  </si>
  <si>
    <t>alle de la Luna, núm. 5, quarto principal ,ó al mencionado D. Joseph , en S. Sebastian. La viuda de D. Saturnino de Vicuña,y D. Sebastian de Urrutia, como testamentarios de dicho Vicuña, dirigieron desde la ciudad de S. Sebastian el 14 de Setiembre de 1801 á D. Juan Francisco deLezeta,de Cádiz,un vale</t>
  </si>
  <si>
    <t>Saturnino García de Arazuri</t>
  </si>
  <si>
    <t>la Dignidad de Dean de la catedral de Arequipa , vacante por fallecimiento de D. Joseph RicCorvi, á D. Saturnino García de Arazuri , Arcediano de la misma iglesia : para dicho Arcedianato al Chantre D. Francisco Xavier de Echevarría : para la Chantría al Maestrescuela D. Simón Ximenez de Villalba ; para la Ma</t>
  </si>
  <si>
    <t>Saturnino Samaniego</t>
  </si>
  <si>
    <t>uel del Corral: en el de infantería de la Corona de Nueva-España á Subteniente de bandera al Cadete D. Saturnino Samaniego ; y en el de dragones de España á Capitán al Teniente D. Mariano Miranda; á Teniente al Alférez Don Francisco Izquierdo; á Alférez al Portaguión Marques de Apartado, y á Portaguió</t>
  </si>
  <si>
    <t>SaÜcetti</t>
  </si>
  <si>
    <t>ív Sé ha celebrado aquí una junta pubhca de,'sqrd^mrifQat;a cu¡e asistíérron él ciud. SaÜcetti,c;Ministro de la RepdbUca/rancesa, ;^ muchos magis-; tfadpaIspp^fee^: dutó 4 hojras cuelas Pias.-Se pueden, comparar los 'te^;$|pg| conseguido el ilustre Abate</t>
  </si>
  <si>
    <t>Saumarez, Almirante</t>
  </si>
  <si>
    <t>Almirante Saumarez</t>
  </si>
  <si>
    <t>franceses que salieron de Brest. Se han destacado para América 4 navios de línea de la esquadra del Almirante Saumarez, y otros 5 de la de la Mancha. El Lord Brome , hijo del Marques de Cornwallis, ha llegado de Amiens á Douvres con dos correos ingleses y dos franceses. Estos traian pliegos para e</t>
  </si>
  <si>
    <t>los nuevos ministros del al^ far, sin recurrir á los antiguos. - ’ .; Según cartas de Gibraltar el Almirante Saumarez salió de Menorca el 8 de Mayo para encargarse del mando de la esquadra del Mediterráneo. El Lord Keyth había entrado en Gibraltar con 4 navios de guerra y varias fragatas. Añaden</t>
  </si>
  <si>
    <t>Saurau</t>
  </si>
  <si>
    <t>lva se convocará la diputación ¿el Imperio.----Apenas llegó de Petersburgo otro correo expedido por Mr. Saurau, Ministro austnacó cerca del Emperador de Rusia, hubo en la secretaría del Conde de Cobentzel una junta de Ministros imperiales, d la que asistió Mr. de Hugel. Créese que en aquel</t>
  </si>
  <si>
    <t>Sauz, Ramón</t>
  </si>
  <si>
    <t>Ramón Sauz</t>
  </si>
  <si>
    <t>anaderos p. Carlos Barón D’horst; y á segundos Tenientes á los Alféreces D. Joacliín de Estreniera, D. Ramón Sauz y- D. Bernardino Conde de Haro, el primero y segundo de granaderos. El Rey se ha servido conceder el empleo de Capitán de Artillería al Teniente, graduado de Capitán, y Ayudante seg</t>
  </si>
  <si>
    <t>Sayers, Juan</t>
  </si>
  <si>
    <t>Juan Sayers</t>
  </si>
  <si>
    <t>nueva, D. Domingo.de Aragón , D. Andrés Ximenez, Doti Tomas de Figueroa, D. Juan Francisco Sánchez, D. Juan Sayers, D. Ignacio Guarda, D. Joseph ParboyD. Pedro Joseph de Benavente, D. Antonio Salcedo-, D. Gregorio Escamilla, D. Joaquín Velazqyez, D. Manuel</t>
  </si>
  <si>
    <t>Scalmz</t>
  </si>
  <si>
    <t>r la inoculación de la vaccina en la casa de expósitos de esta capital, ha venido aquí de Berlín el Dr. Scalmz, y ha ofrecido encargarse de dicha operación. Antes de confiársela ha mandado S. M. que el colegio de medicina examine á este facultativo.</t>
  </si>
  <si>
    <t>Scazza</t>
  </si>
  <si>
    <t>l ;de los Comerciantes por .Presidente al^iud-.:Bogara, ¡y por Secrétanos á lps ciudadanos Zuccoli y Scazza. El-dia que se abriéron los colegios dio él Vice-Presidente de la República un ¿rart banquete en ,el palacip nacional, y luego hpbo juego. $ehan expedido ,Qfdé</t>
  </si>
  <si>
    <t>Schaeffer</t>
  </si>
  <si>
    <t>como se completarán 'sus resarcimientos : entre tanto las tropas bávaras marchan hacia Nuremberg, y Mr. Schaeffer, Comisario del Elector, pasa á la misma ciudad con el encargo de tratar con el magistrado sobre úna comisión secreta. . Desde i.° de Diciembre próximo tomará el Elector de Magunci</t>
  </si>
  <si>
    <t>Schaub</t>
  </si>
  <si>
    <t>tiempo éntre los labradores dél Ducado dé HoUttin, los quales tienen crecidas vacadas. 1 ^ r* 1 J ^ Mr. Schaub»1 profesor en Cassél, ha curado con él galvanismo^ dos sordos; y Mr. Sprenger, boticario de Iever, haucurado con el propio medio 11 sordos de nacimiento dándoles el cido , y por c</t>
  </si>
  <si>
    <t>Schimmeípenninck</t>
  </si>
  <si>
    <t>tres de la tarde dió el primer Cónsul una audiencia diplomática, en la qual el ciud. Schimmeípenninck, Emhaxador de la República bátava , entregó sus récredenciales; y el ciud. Van-Stenvick , que le reemplaza con el mismo carácter, presentó sus credenciales. Ha</t>
  </si>
  <si>
    <t>Schimmelpenninck</t>
  </si>
  <si>
    <t>nes exteriores, y hoy ó mañana se presentará al gobierno. Ha vuelto de Paris el ciud. Schimmelpenninck, Ministro que ha sido de esta República cerca de los Cónsules. Ha ido á ver á su familia en el departamento del Overyssel; y así que vuelva le dará el minister</t>
  </si>
  <si>
    <t>erpo legislativo las sesiones de este año. Ya ha salido de aquí para Francia el ciud. Schimmelpenninck,, que á principios de Noviembre sé transferirá de París á Londres, donde residirá en calidad de Ministro plenipotenciario de Holanda. En junta pública del gobi</t>
  </si>
  <si>
    <t>Schmid</t>
  </si>
  <si>
    <t>es una carta al ciud. Monod, Prefecto del cantón de Vaud, en que le dicen: ,,E1 ciud. Schmid, Secretario de Estado de la Guerra, me encarga os informe de que el 15 por la noche llegó por Lucerna un correo del quartel general con pliegos en que avisan q</t>
  </si>
  <si>
    <t>inistro de Justicia; Koch, ex-Legislador, y al Sesador Pfauder.__ Basilea á los ciudadanos Schmid, Ministro de Guerra, y Berrard-Sarrzin___ Fr i burgo al Senador Leglist, y á los ciudadanos Blanc y Affry. Este último Alé Capitán de guardias suizas en Franci</t>
  </si>
  <si>
    <t>Schneiber</t>
  </si>
  <si>
    <t>iputación de los magistrados salió á cumplimentar al General Mylius. El Senador Schaiunen-Kesseí, y Mr. Schneiber que acababa de llegar de París, fuéron á Luisbourgt, residencia del Duque, para recomendar la dudad le Heilbron á su nuevo Soberano. Este admitió con el mayor afecto á los diputad</t>
  </si>
  <si>
    <t>Schnernaver, Francisco</t>
  </si>
  <si>
    <t>Francisco Schnernaver</t>
  </si>
  <si>
    <t>Joaquín Regnart y Pont, D. Domingo Larripa, £&gt;. Juan Rayberte, D. Juan Borlasca, D. Víctor Wirtz , D. Francisco Schnernaver, Don Jayme Stóffel, D. Joseph Chaqué, D. Jayme Steudinger, D. Juan Cristiano Bagnioud, D. Francisco Zey, D. Ghristóbal Fohn, D. Joséph Trax* ler, D. Francisco Joseph Márcos de Cou</t>
  </si>
  <si>
    <t>Schnuriger, Francisco</t>
  </si>
  <si>
    <t>Francisco Schnuriger</t>
  </si>
  <si>
    <t>, Comandante del tercer batallón del de Saboya; y en el de suizos de Reding á Subteniente al Cadete D. Francisco Schnuriger. ■En América. El R¿y se ha servido promover en el regimiento de infantería de Buenos-Ayres á Capitanes á los Tenientes de granaderos D. Leori Ortiz de Rozas y D. Manuel de Salas ,</t>
  </si>
  <si>
    <t>Schraut</t>
  </si>
  <si>
    <t>ia 5 llego un correo de Viena con pliegos para el Barón de Hugel, Plenipotenciario imperial, y para Mr. Schraut, Subdelegado de Bohemia. Ambos Ministros tuviérpn el mismo dia largas conferencias con el ciad. Laforet, con el Barón de Buhler, el Conde de Goertz y el Barón de Albinia A Carlsru</t>
  </si>
  <si>
    <t>Schrotter</t>
  </si>
  <si>
    <t>eben mirarse como de una especie intermedia entre los cometas y los planetas: especie desconocida * Mr. Schrotter , de tilíenthal , ha hallado con telescopios semejantes al de Herschel, el diámetro de Céres de $29 millas geográficas, ó 0308 del diámetro de la tierra.</t>
  </si>
  <si>
    <t>Schubart</t>
  </si>
  <si>
    <t>está bordado de plata ó de oro. ^ Copenhague 2 de Marzo. or resolución del Rey correrá desde ahora Mr. Schubart. nuestro Em</t>
  </si>
  <si>
    <t>Schwetschm, General</t>
  </si>
  <si>
    <t>General Schwetschm</t>
  </si>
  <si>
    <t>iempo á esta parte sigue subiendo el precio de Xa harina en esta ciudad9 ha mandado el Emperador al General Schwetschm haga un viage al canal de Ladogaisch y á otros que comunican con Petersburgo, pata que averigüe las causas que impiden la llegada de las embarcaciones con granos. Dos oficiales de</t>
  </si>
  <si>
    <t>Scio, Felipe</t>
  </si>
  <si>
    <t>Felipe Scio</t>
  </si>
  <si>
    <t>explicación sola para los que tengan, el plano, que se dió con la Biblia traducida por el limo. Sr. D. Felipe Scio, á i o rs. en pasta. En la librería de Ranz, calle de la Cruz , se venden abecedarios de letra mayúscula y minúscula, dispuestos en forma de baraja para enseñar á los niños el con</t>
  </si>
  <si>
    <t>Scott</t>
  </si>
  <si>
    <t>o para esta dignidad á Mr. Abbot, que ya ja obtuvo otra vez.. Apoyó Mr, Lascelles la proposición dé Mr. Scott»: y.quedó elegido. Mr. Abbot por unanimidad de votos. Pronunció el discurso de gracias, y luego fue conducido á su asiento por los dos vocales. qp£ le propusieron. ?&gt; - - • Ayer r</t>
  </si>
  <si>
    <t>Scuffert</t>
  </si>
  <si>
    <t>El Obispo de Wurtzburgo ba despachado a "Viena á Mr. Scuffert para oroDoner á S. M. Imperial se transfiera la dignidad elecroral de Tréveris á fos obispados de Wurtzburgo y Bamberg, y se nombre un Principe austríaco por coadjutor del Elector</t>
  </si>
  <si>
    <t>Scuifett</t>
  </si>
  <si>
    <t>enteró á la diputación el referido subdelegado direetoriaL del contenido de una nota presentada por Mr. Scuifett, Consejero áulico y diputado de Wurzburgo y Bamberg, la qual contiene substaneialinente: ,, Que han visto cori mucho gusto los estados eclesiásticos del Imperio la abertura de la</t>
  </si>
  <si>
    <t>Se, Conde</t>
  </si>
  <si>
    <t>Conde Se</t>
  </si>
  <si>
    <t>ian las virtudes y el verdadero mérito. En la gazeta ultima-, capitulo.de Barcelona, donde dice Sr. Conde Se/TUttico^ léase Salvatico. - ' Con fecha de 14 de Setiembre remitió D. Gabrielde Echagoyen, de Cádiz, áDon. Joseph Agustín de Átalay , de S. Sebastian ,-diez vales de á 300 pesos y</t>
  </si>
  <si>
    <t>Se, Tadeo</t>
  </si>
  <si>
    <t>Tadeo Se</t>
  </si>
  <si>
    <t>D. Manuel de Echeverría» D. Antonio Ranz Romanillos y D. Rodrigo Zorrilla y Monroy; y para Fiscal á D. Tadeo Se*, guñdo Gómez: y conviniendo al Real servicio restablecer la tercera Fiscal lía del mismo Consejo, ha nombrado S. M. para ella á D. Pedro Florea Quevedo. v* T':ji--:&gt; . &gt; ;;r„ v-</t>
  </si>
  <si>
    <t>Seáis, Rafael</t>
  </si>
  <si>
    <t>Rafael Seáis</t>
  </si>
  <si>
    <t>e Lara,Dori' Manuel Fernandez Cortacero, D. Manuel Barrientos, D. Nicolás Povil, D, Juan de Robles, D, Rafael Seáis, D. Joseph Sotolongo, D. Juan Cirera, D. Joseph de la Cuesta, D. Francisco Quesada, D. Joseph Domeneo ,;D. Joaquín de Rayas?, P. Nicolás Guascoñi, D. Mariano Vives, Don Juan de la</t>
  </si>
  <si>
    <t>SebaFtiaci</t>
  </si>
  <si>
    <t>legación francesa , y fué saludada con 21 cañonazos por fa plaza. Manifestó el ciud. SebaFtiaci ló mucho que se interesa el primer Cónsul en que los esclavos cbristiános sean tratados conforme á los principios de Humanidad, y su gran deseo de que por ning</t>
  </si>
  <si>
    <t>Sebastiaiii, Coronel</t>
  </si>
  <si>
    <t>Coronel Sebastiaiii</t>
  </si>
  <si>
    <t>„ Copia del tratado de paz entré S. M. Sueca y su Séñm ía el Baxd de Trípoli. Baxo la mediación del Coronel Sebastiaiii, Enviado del primer Cónsul en el Levánte,Mr. el Barón de Gedestfom, Contra-Almirante, comandante de las fuerzas navales de S. M. Sueca en el Mediterráneo, con plenes poderes para;</t>
  </si>
  <si>
    <t>Sebastiani</t>
  </si>
  <si>
    <t>VIERNES 12 DE FEBRERO DE 1802. . ( Cqn^taruinopLi,2$ de Noviembre de 1.80r. Cd ciud. Sebastiani, xefe de brigada., ha.llegado aquí de Francia por Buchárest con la ratificación de aquel gobierno.al .tratado concluido cc con la Sublime Puerta, la qual lo ha</t>
  </si>
  <si>
    <t>e la Sublime Puerta le tenia dispuesta casa, y que podia ocuparla. El 29 fue el ciud. Sebastiani conducido al canal , en donde tuvo audiencia del Reis Eifendi. Le vistieron con la pelliza de martas cebellinas,y recibió los demas honores acostumbrados. Prop</t>
  </si>
  <si>
    <t>165 Strasburgo 2$ de Enero. H .a llegado aquí hace dos dias el ciud. Sebastiani, que vuelve de Constautinopla con la ratificación del tratado recien concluido entre Francia y la Puerta otomana. Antes de su partida le regaló el Gran Señor u</t>
  </si>
  <si>
    <t>ue se quitase dicha bandera, la qual no permaneció puesta mas que 5 minutos. El ciud. Sebastiani, sumamente agradecido á la atención y á la amable solicitud del Soberano, pasó á la mañana siguiente á ver al Kaymacan para darle gracias: y el valeroso Capitá</t>
  </si>
  <si>
    <t>Sebastiani, Coronel</t>
  </si>
  <si>
    <t>Coronel Sebastiani</t>
  </si>
  <si>
    <t>es al parecer merecen mas crédito que las que se han divulgado últimamente en otras gazetas : ,, El Coronel Sebastiani llegó á Constantinopla el 27 de Noviembre. Al dia siguiente el Príncipe Calimaco , primer Dragomán de la Puerta, le envió á decir por un secretario, de parte del Reís EfFendi, que</t>
  </si>
  <si>
    <t>Secretario de Estado, Cardenal</t>
  </si>
  <si>
    <t>Cardenal Secretario de Estado</t>
  </si>
  <si>
    <t>legó aquí de París como correo un oficial de la guardia de los Cónsules : presentóse desde luego al Cardenal Secretario de Estado , y después tuvo audiencia del Sto. Padre , acompañándole el ciud. Cacault, Embaxador de Francia. La pensión que el Duque de Aost, nuevo Rey de Cerdeña, ha señalado ú su Real herm</t>
  </si>
  <si>
    <t>Sedeño, Tomás</t>
  </si>
  <si>
    <t>Tomás Sedeño</t>
  </si>
  <si>
    <t>erife. En el Real cuerpo de Ingenieros del exército ha promovido S. M. á en xefes á los en segundos D. Tomas Sedeño y D. Ramón de Villalonga: á en segundo al ordinario D. Miguel Rengel: á ordinario á D. Fernando Pirez, extraordinario; y á este empleo al Ayudante D. Luis Veyan. En América. El Rey se</t>
  </si>
  <si>
    <t>Segura, Vicente</t>
  </si>
  <si>
    <t>Vicente Segura</t>
  </si>
  <si>
    <t>seph María de la Sota y Riva: para ías de Guardas de la Factoría de Puebla á D. Manuel Larra-zabal, D. Vicente Segura y D. Ramón Tapia: para Administrador del partido deTlapa á Don Joseph Antonio Gortázar: para la de Cabo del Resguardo de la Factoría de Puebla á D. Joseph María Pazos: para la' plaza</t>
  </si>
  <si>
    <t>Seidel, Tomás</t>
  </si>
  <si>
    <t>Tomás Seidel</t>
  </si>
  <si>
    <t>atíaís Aldao,D.Josep]iZapiota, D. Ramón de Londoño, D. Ramón de Novoa, D. Francisco García Señeris, D. Tomas Seidel, D. Antonio Moragues, D. Gines Marsilia, D. Isidro Suquilvide , 0. Nicolás Angelí. Radovani, 0. Pedro Salas- , 0. Joseph Foraster, D. Francisco de PaulaiZayas, D. Francisco Tórdi,</t>
  </si>
  <si>
    <t>Selle</t>
  </si>
  <si>
    <t>de Castillo. Introducción al estudio de la naturaleza y de la medicina : obra escrita en alemán por Mr. Selle , primer médico de Federico 11 de Prusia : traducido por Don Francisco Bonafon, profesor de medicina en esta corte. Se hallará en las librerías 'de Castillo y Escribano, y en Burg</t>
  </si>
  <si>
    <t>ir en carta. Introducción al estudio de la naturaleza y de la medicina: obra escrita en aleasen por Mr. Selle , primer médico de Federico ix de Prusia, y miembro de la Real academia de ciencias de Berlín: traducido del francés por D. Francisco Bonafon, profesor de medicina en esta corte.</t>
  </si>
  <si>
    <t>Sellery, Carlos</t>
  </si>
  <si>
    <t>Carlos Sellery</t>
  </si>
  <si>
    <t>, D. Lorenzo de Toro y Toledo, D. Leandro de Cáceres, D. Juan Izquierdo, D. Manuel de Lobo y Campo, D. Carlos Sellery, D. Lorenzo de la Puente, D, Ruperto Calderón,D. Pedro de Toro y Toledo, D. Carlos Engracia Carrasco , D. Felipe Uriarte y Erquizia, D. Joaquín Delgado Fernandez, D.Francisco Xavi</t>
  </si>
  <si>
    <t>Selvático, Conde</t>
  </si>
  <si>
    <t>Conde Selvático</t>
  </si>
  <si>
    <t>cana una robusta Princesa el 2 dé este mes. Al dia siguiente llegó aq^i á dar cuenta de ello el Sr. Conde Selvático, que había desembarcado en Mataré. La esquadra en que navegáron estos Soberanos se avistó ántes de ayer; pero la contrariedad de los vientos la impidió dar fondo en esta rada hast</t>
  </si>
  <si>
    <t>Semoaville</t>
  </si>
  <si>
    <t>gocios en París , con pliegos cuyo contenido era igual al de los que recibió el ciud. Semoaville., _ &gt; Los Generales Daendels y Desmonceaux remitieron el dia 7 al gobier-, no una declaración en que afirman que no tienen ninguna parte en los es-* critos sed</t>
  </si>
  <si>
    <t>Semonville</t>
  </si>
  <si>
    <t>rg, que está nombrado Ministro de Rusia para residir cerca de este gobierno. El ciud. Semonville , Embaxador de Francia , ha ido con licencia á Paris.</t>
  </si>
  <si>
    <t>s exteriores presentó luego al General Macdonald, que vuelve de Copenhague ; al ciud. Semonville, que viene del Haya con licencia, y al ciud. Meyner, nombrado Ministro plenipotenciario de la República bátava para residir en Madrid. Ha llegado á París la Pr</t>
  </si>
  <si>
    <t>Senadores</t>
  </si>
  <si>
    <t>ixado gloriosamente sobre los mas firmes fundamentos. Os ruego, ciudadano Dux y ciudadanos Senadores, que siempre me consideréis, no solo como pastor de esta mi muy amada grey, sino también como ciudadano de esta República; y debéis estar bien seguros de que s</t>
  </si>
  <si>
    <t>Senadores de la República</t>
  </si>
  <si>
    <t>a.” ' La respuesta de Bonaparte á la carta del Senado es del tenor siguiente: ,,Ciudadanos Senadores de la República ligústica. H1 ínteres que vuestra nación inspira al pueblo de Francia, y la confianza particular .que siempre la he debido, me imponen la obligación de contrib</t>
  </si>
  <si>
    <t>Senen de Contreras, Juan</t>
  </si>
  <si>
    <t>Juan Senen de Contreras</t>
  </si>
  <si>
    <t>ojú y O-Rian, D. Joseph Valmaseda, D. Manuel Rizo, D. Francisco Pastor, D. Manuel Ignacio San Juan, D. Juan Senen de Contreras , D. Pedro Lobo y Arjona, D. Diego Orbaneja, D. Joseph Medrano, D. Joaquín de la Chica, D. Agustín Cabrera, D. Antonio Franchi,D. Rafael de Zuniga, D. Gerónimo Martin Cortés, D. R</t>
  </si>
  <si>
    <t>Seoane y Torres y IX Joseph María Gómez Eguíarte, Joseph</t>
  </si>
  <si>
    <t>Joseph Seoane y Torres y IX Joseph María Gómez Eguíarte</t>
  </si>
  <si>
    <t>Resguardo unido de Guanaxuato á D. Joseph de Silva: para 1 as de Guarda de la Factoría de Oaxaca á D. Joseph Seoane y Torres y IX Joseph María Gómez Eguíarte: para la de Visitador del Resguardo de la misma Factoría á D. Bartolomé Esparza: para Oficial 3.0 de la Contaduría de dicha Factoría á D. Joseph María de la Sota y Riva: para ías</t>
  </si>
  <si>
    <t>Séoane, Joseph Manuel</t>
  </si>
  <si>
    <t>Joseph Manuel Séoane</t>
  </si>
  <si>
    <t>ta Cruz de ia Sierra, vacante por ascenso de D. Pedro Joseph Valdivieso á otra de la de Truxillo, á D. Joseph Manuel Séoane t Vieeré Rector y catedrático de Morál del colegio* seminario de dicha ciudad; y jtará^:uiia^edia-Racioní deiá ide Santa Fe, vacante por promoción de Dbii Manuel Valenzuela á una</t>
  </si>
  <si>
    <t>Sepa, Juan</t>
  </si>
  <si>
    <t>Juan Sepa</t>
  </si>
  <si>
    <t>en la de Cerro, red de S. Luis, historia delluxó y de las ley'.s suntuarias de Espáfiá, pqr el Sr. D. Juan Sepa-^ pére y Guárinos , del Consejo de S.M. y ;sú Fiscal en; la Real CbancilléHa de Gra-' nada. Se trata delluxó dé los españoles en 'los tiempos primitivos, en‘ el de los ro-&gt; manós,o</t>
  </si>
  <si>
    <t>Septien y Salinas, Juan</t>
  </si>
  <si>
    <t>Juan Septien y Salinas</t>
  </si>
  <si>
    <t>tamante y Bustamante, D. Adrián Morqúecho, D. Mateo Vicente y Crespo, Don Joseph Bazan y Villaroel, D. Juan Septien y Salinas , D. Domingo^ Pavía y Seix, D. Bartolomé Arguelles y Valdes, D. Femando Becerra .y Solis, D. Rafael Bobadilla y Pery, D. Joseph Mendivil y Castañeda, Don Antonio Saavedra y Jofre,</t>
  </si>
  <si>
    <t>Sequeira, Rafael</t>
  </si>
  <si>
    <t>Rafael Sequeira</t>
  </si>
  <si>
    <t>aquín Goñi y&gt; San Juan ¿D. Mahuel Agüero y Ruiz, D.'Joaquín de Salas y Falces, D. Marcos Gtirnceta, D. Rafael Sequeira, 0. Migsel Moreno y $abét¡a v D¡¡Ratael SetsaíFe, í). Frátórscó beránje^^D^.Miguel '«ardo.de' Lopezde [uéz de Figueroa,</t>
  </si>
  <si>
    <t>Serafín Alonso</t>
  </si>
  <si>
    <t>ríguez, D. Juan Bascon , D. Peclro Celés'tino Calvo, D. Henrique Texerizo, D. Benito Tolra Lafita , D. Serafín Alonso, D. Rafael Nestares, D. Joaquín Ruiz, D. Miguel Aguirre, Don JuanNuñez , D. Juan Navarro , D. Anselmo Plaza , D. Francisco González de la Vega, D. Joseph Antonio de Terán, D. Vice</t>
  </si>
  <si>
    <t>Serafín del Rincón</t>
  </si>
  <si>
    <t>D. Lúeas de Mena, D. Joseph Viladomar, D. Juan de Álbarrilla, D. Gonzalo Martínez, D. Cosme Marín, D. Serafín del Rincón, D. Mariano Carrasco, D. Vicente Pico, í). Antonio Arias , D. Joseph Espinosa, D. Miguel de Gerona, D. Manuel Henriquez, D. Francisco Xavier de Mendíri, D. Bartolomé Ladrón de Gue</t>
  </si>
  <si>
    <t>Seratton</t>
  </si>
  <si>
    <t>iieateídpciiinénto oficial.c^jííMitineo , ; * -■ iiNota=entrega^.et2^Jde^^ulm&gt;porleiiiReis^E^ndÍ£id Mr. Seratton durante una cónftrehcia celebrada en el falacio de ■ dicho Minisiró otomano* Es muy correspondiente á los sentimientos dé la sincera amistad-y del verdádcroaprecioyelacelérarconbuena</t>
  </si>
  <si>
    <t>Serbelloni</t>
  </si>
  <si>
    <t>tado Diego Guieciarai á la plaza de Consultor de Estado, vacante por muerte del ciud. Serbelloni. Por decreto del Presidente se manda que se acuñe una medalla para transmitir á la posteridad la época de la primera reunión de los tres colegios electorales d</t>
  </si>
  <si>
    <t>Serdá, Joseph</t>
  </si>
  <si>
    <t>Joseph Serdá</t>
  </si>
  <si>
    <t>n motete que cantó la música, y de una poesía que én ho-^ ñor y elogio de la religión católica dixo D. Joseph Serdá, colegial, se adjudicáron premios ¿ los 3 niños que nías se señalaron, y se coronó como presidente á D. Joseph Antonio Gari, que llevó lá ventaja entré sus compañeros.</t>
  </si>
  <si>
    <t>Sergée Kuschnikow</t>
  </si>
  <si>
    <t>e cambio. Para Gobernador civil de Petersburgo ha nombrado S. M. I. al Consejero de Estado efectivo Mr. Sergée Kuschnikow, que era V ice -Gobernador de Moskow. A la ciudad de Pultowa le ha concedido el Emperador todos los derechos y prerogativas de-ciudad de gobierno; y en ia llanura que hay delante</t>
  </si>
  <si>
    <t>Seriziat, General</t>
  </si>
  <si>
    <t>General Seriziat</t>
  </si>
  <si>
    <t>rá quanto antes la corbeta Diligente para las colonias : tocará en la Guadalupe, en donde dexará ai General Seriziat, que reemplaza en aquel mando al General Battincourt; y de allí seguirá á Santo Domingo para incorporarse con la esquadra grande, de la qual es parte , y por esto lleva á bordo mu</t>
  </si>
  <si>
    <t>s extremado. Convencidos de esto, nos determinamos á tomar posesión de la isla de María Galante. El General Seriziat , al frente de los oficiales y de otros mozos que se habían reunido en las Santas y en la Dominica, auxiliados por 45 hombres de ,1a guarnición de la fragata Pensamiento, y proteg</t>
  </si>
  <si>
    <t>Serondo, Joseph</t>
  </si>
  <si>
    <t>Joseph Serondo</t>
  </si>
  <si>
    <t>arque5 de Tabalosos, D. Joseph del Hoyo González, D.Manuel Reviray Almunia, D. Manuel Reyna y Alor, D. Joseph Serondo y¡ IMlde, D. Pedro'de la Cueva, D..Antonio de Medina y Miranda,* Don; Joseph Doronzoro Parra, DI Nicolás de Meñaca, D. Vicente CaamañoyPardo , D. Pddro Cbntreras, D. Pedro Costales</t>
  </si>
  <si>
    <t>Serquellaparau, Jóséph</t>
  </si>
  <si>
    <t>Jóséph Serquellaparau</t>
  </si>
  <si>
    <t>onacal de lá y illa de Bañólas-, obispado de Cierona i vacánt»! pbr muerte dé í&gt;- Juan Cástellar, í D. Jóséph Serquellaparau otroJ-dé 4auparroquia dé Calamocha, diócesis del Zaragoza, á D. Ramón -Serráno^ y para* él Ofició regular de Enfermero del monasterio de Bésala, dé la: Congregación Benedictina Cl</t>
  </si>
  <si>
    <t>Serra</t>
  </si>
  <si>
    <t>tracción está prohibida. Crénova 22 de Octubre, H abiendo pedido su dimisión el ciud. Serra, que estaba nombrado para Ministro plenipotenciario en París, ha elegido .el Senado en su legar al Senador Honorato Fe¡rurt; y para Secretario de legación al c</t>
  </si>
  <si>
    <t>Ministro de esta República en la corte de España acaba de.nombrar el Señado al ciud. Serra; y para ir con igual destino á Viena al ciud. Boccardi. Malinas II de Noviembre, E 1 limo. Roquelare, nuestro Arzobispo, acaba de recibir de S. S. el palio, si</t>
  </si>
  <si>
    <t>Serrano de Abarca, Ambrosio</t>
  </si>
  <si>
    <t>Ambrosio Serrano de Abarca</t>
  </si>
  <si>
    <t>unmente por Malteses : escrita en francés por el Abad Vertot del hábito de S. Juan, y traducida por D. Ambrosio Serrano de Abarca, Abobado de los Reales Consejos , é individuo de la Real academia de derecho español y publico. El aprecio que ha merecido esta obra á los sabios de Europa se comprueba con las in</t>
  </si>
  <si>
    <t>Serrano de Revenga-en, Antonio</t>
  </si>
  <si>
    <t>Antonio Serrano de Revenga-en</t>
  </si>
  <si>
    <t>4 leguas de distancia, que se hallaba rématada por ante la Justicia Real de dicha ciudad á favor de D. Antonio Serrano de Revenga-en la cantidad de 431§ rA. á pagar en vales Reales; y aprobado el remate por él Sr. Intendente de ia misma ciudad, se volvió á sacar al público para la mejora del quarto por 30 dias que</t>
  </si>
  <si>
    <t>Serrano Mañero, Juan Antonio</t>
  </si>
  <si>
    <t>Juan Antonio Serrano Mañero</t>
  </si>
  <si>
    <t>e la metropolitana de Santiago: para una Canoneía de la citada metropolitana, vacante por muerte de D. Juan Antonio Serrano Mañero , a D. Fstéban Carracedo y Quíntela, Cura de la parroquia de San Pedro de Bordones, en aquel obispado: para la Dignidad Cardenalicia, vacante cr ia expresada metropolitana por fal</t>
  </si>
  <si>
    <t>Serrano Manzano, Joaquín</t>
  </si>
  <si>
    <t>Joaquín Serrano Manzano</t>
  </si>
  <si>
    <t>, médico del hospital de Sta. María-le-bone: traducida del ingles por el Dr. D. Joaquín Serrano Manzano, médico Secretario perpetuo del Real colegio de medicina de Madrid, y del Real estudio de medicina práctica ¡4tomoif en 8.* marquilla. En el i.° se dan las reglas para conservar la salud</t>
  </si>
  <si>
    <t>Serrano, Agustin</t>
  </si>
  <si>
    <t>Agustin Serrano</t>
  </si>
  <si>
    <t>62. 31. Id. Agustin Serrano....... ......... Josef, ^ngela Puentes........ Almagro....... Almagro....... 48. 8. Id. Francisco Sansaber.............. Josef, |María Ronca</t>
  </si>
  <si>
    <t>Serrano, Francisco Antonio</t>
  </si>
  <si>
    <t>Francisco Antonio Serrano</t>
  </si>
  <si>
    <t>Prestamera de la Miración denominada de Zaragoza, en la diócesis dé Córdoba , vacante por muerte de D. Francisco Antonio Serrano, á D. Joseph Costa, con retención de la renta eclesiástica que obtiene. S. M. se ha servido promover en, el regimiento de infantería Inmemorial del Rey á segundo Teniente de grana</t>
  </si>
  <si>
    <t>cio Antonio Notario : para el Préstamo de Tormactor,en la diócesis de Burgos, Tacante por muerte de D. Francisco Antonio Serrano, á: D. Mariano Joseph de Cortines:-para la Cspellanía que se baila vacante en el Real monasterio de la Visitación de Madrid, por fallecimiento de D. Sebastian de Salazar, á D. Gre</t>
  </si>
  <si>
    <t>Serrano, Joaquín</t>
  </si>
  <si>
    <t>Joaquín Serrano</t>
  </si>
  <si>
    <t>el Dr. Juan firown, con comentos é ilustraciones del mismo autor j traducidos del ingles por el Dr, D. Joaquín Serrano. Brown es ya tan conocido, que su doctrina se ha adoptado en gran parte.Europa/Estos Elementos están destinados, para él uso de lós estudiantes de medicina *, y aun para el public</t>
  </si>
  <si>
    <t>Serrano, Ramón</t>
  </si>
  <si>
    <t>Ramón Serrano</t>
  </si>
  <si>
    <t>ancisco Ruiz, D. Alfonso Ramiro, D. Antonio de la Rocha , D. Juan López de Molina,D. Lucas Salazar, D. Ramón Serrano, D. Juan Joseph Martínez, D. Joseph María Cano, D. Francisco Real,-D. Vícéfíté Salcedo, D. Lúeas de Mena, D. Joseph Viladomar, D. Juan de Álbarrilla, D. Gonzalo Martínez, D. Cosme</t>
  </si>
  <si>
    <t>Serras, General</t>
  </si>
  <si>
    <t>General Serras</t>
  </si>
  <si>
    <t>bierno. Apique estuvo de reñovarse estos dias en el cantón de Vaud la insurrección popular; pero el General Serras tuvo aviso anticipado delpror yecto, y pudo precaver Sus resultas enviando tropas al parage en que habían de reunirse los descontentos. El Consejo pequeño ha formado un tribunal e</t>
  </si>
  <si>
    <t>páron los franceses la'ciudad de Zurich, en donde se hallan actualmente el General en xefe Ney y el General Serras. De resultas se disolvió el gobierno de los insurgentes* y los aldeanos han*recobrado la libertad de que ios habían privado los contrarevolucionarios. Al cabo de tantas calamidade</t>
  </si>
  <si>
    <t>ra arreglar definitivamente’lasrelacionérentre 1* Sm*a;y'la Alemania» Et General Serras había partido para Lucerna con el fin de ir á. Coira &amp;&gt; dirigir en persona las: operaciones contra- losinsurgentesique; allí había;: pero hábiendo.recibidovla¿ noticia: de que; se</t>
  </si>
  <si>
    <t>Sesé, Juan</t>
  </si>
  <si>
    <t>Juan Sesé</t>
  </si>
  <si>
    <t>. En la librería de Campo,calle de Alcalá, se hallan para órgano 4 pasos de capricho ó intentos,por D. Juan Sesé,organista que fué de la Real Capilla de S. M., á 24 rs. ; un pange lingua á 8 rs.: una pastorela á 6 rs. ; y na minuete con su trio, de Haydn, á 6 rs. EN LA IMPRENTA REAL</t>
  </si>
  <si>
    <t>Seüorares, Henrique</t>
  </si>
  <si>
    <t>Henrique Seüorares</t>
  </si>
  <si>
    <t>143- 33- Id. Henrique Seüorares.. Benito, Maria Asprest....... S.JuandeLoi- .................. Fefiñane</t>
  </si>
  <si>
    <t>Severo</t>
  </si>
  <si>
    <t>cante por fallecimiento de D. Francisco Antonio Teran , á Don A lfonso Sánchez Ahumada: para" ót^^ :D. Severo. Añqriani, Canónigo de la catedral de Gerona: para otra j4efía&gt;áe Gerona , va-': cante por promoción de D. Pedro .María de Mairimon:si' Arcedianato de 4a de Barcelona, á D. Antoni</t>
  </si>
  <si>
    <t>Severo Aguirre</t>
  </si>
  <si>
    <t>tinuación y suplemento del Prontuario alfabético y cronológico, que por orden de materias dió á luz D. Severo Aguirre, de las instrucciones, ordenanzas, pragmáticas y demas Reales resoluciones expedidas en el afio pasado de 1801; y siguiendo el plan del autor lo continúa D. Joseph Garrjga, Abogad</t>
  </si>
  <si>
    <t>Severo Martín</t>
  </si>
  <si>
    <t>.. Aguilar......... Severo Martin..................... Ambrosio, Mónicá Duque. Valladolid.... Valladolid.... 70. 7. Id. Manuel Jádraque............ . Josef, María García........... Al</t>
  </si>
  <si>
    <t>Sevilla, Carlos</t>
  </si>
  <si>
    <t>Carlos Sevilla</t>
  </si>
  <si>
    <t>imero de granaderos D. Antonio Guinea ; y en el de Jaén á Subteniente de granaderos al de fusileros D. Carlos Sevilla, y á segundo Subteniente al Sargento primero de granaderos D. Joseph Ramón Agraz. En América. El Rey se ha servido nombrar á D. Joseph María Gómez de Villaseñor, Canónigo Penitenc</t>
  </si>
  <si>
    <t>Sevillano Lójrcnzana y Camacho, Ramón María</t>
  </si>
  <si>
    <t>Ramón María Sevillano Lójrcnzana y Camacho</t>
  </si>
  <si>
    <t>gón á D. Rafael Joseph de Arnandi; y para la del Crimen, que este obtiene en la propia Audiencia, á D. Ramón María Sevillano Lójrcnzana y Camacho. En América. El Rey se ha servido nombrar para la Dignidad de frescuela de la catedral ael Cuzco, vacante por fallecimiento de D. Pedro Gallegos, á D. Juan de Dios Pereyra, Dignid</t>
  </si>
  <si>
    <t>Seydel y Sada, Joseph</t>
  </si>
  <si>
    <t>Joseph Seydel y Sada</t>
  </si>
  <si>
    <t>rrazar, -D. Guillermo Bosichi y Moyano, D. Ildefonso de Roxas y Róx2s, D. Nicolás Otero y Figueroa, D. Joseph Seydel y Sada, D. Francisco Cortés y Posada, ©. Francisco. Antolinez y Salazar , D. Joseph de la Cresta, D. Miguel Cavaleri, Don1 Ñuño de Ja Cueva y Alcedo, D. Santiago Zaldivar y BurgíSa, D. J</t>
  </si>
  <si>
    <t>Seyra, Francisco</t>
  </si>
  <si>
    <t>Francisco Seyra</t>
  </si>
  <si>
    <t>.. 83. 15. Id. Francisco Seyra............ . Domingo,María Filgueyra. Sta. Olalla... Santiago........ 147. 24. Id. Tomas Rilo............. . Francisco,María Rodríguez. S. Pedro Ray</t>
  </si>
  <si>
    <t>Shaw Lefevre</t>
  </si>
  <si>
    <t>* -k*sía$ deudas ascienden á 1.164,000 libras esterlinas. En la referida sesión del dia 15 presentó Mr. Shaw Lefevre un recurso de los libreros, impresores y otras personas que se quejan del daño considerable que les causan los derechos excesivos impuestos sobre el papel. Apoyó Mr. Lefevre esta</t>
  </si>
  <si>
    <t>Sheridan</t>
  </si>
  <si>
    <t>presiones de Francia, y se venden aquí á la mitad del precio á cue pueden darlas nuestros libreros. Mr. Sheridan añadió que en el dia se están haciendo en París 6 ediciones solamente de las obras del célebre Shakespear, y que al mismo tiempo se imprimen otras obras de literatura ingles, y g*</t>
  </si>
  <si>
    <t>Shimmelpenninkl</t>
  </si>
  <si>
    <t>iliano, y Paisiello, compositor y maestro de música de S, M., Siciliana: por el ciud. Shimmelpenninkl, Émbaxador de la República bátava, el ciud* Labuchere : por Mrj Merry, Ministro de Inglaterra, Mr,;Spencer Sroith,. que era últimamente Ministro plenipotenciar</t>
  </si>
  <si>
    <t>Shúlfcé'su</t>
  </si>
  <si>
    <t>cimiento público y á la protección especial de S. M. En fueraa &gt;de estas expresiones ha emprendido ^Mr. Shúlfcé'su viáge á Rusia. Vienci eo de Diciembre. E 1 dia 4 llegó aquí de Inspruck un correo con la noticia de estar peligrosamente enferma la Archiduquesa María Isabel, tía del Emperador. E</t>
  </si>
  <si>
    <t>Sidney-Smith</t>
  </si>
  <si>
    <t>mo Bettinch , Coronel de los exércitos de S. M. Británica, y uno de los empleados en la legación de Mr. Sidney-Smith en Constantinopla. El Comandante de la plaza de París ha publicado una orden intimando á todos los oíiciales y soldados que se hallan en esta ciudad sin ser parte de la guarnición,</t>
  </si>
  <si>
    <t>de la compañía de levante , presididos por el Lord Grenville su director, se presentaron el dia 7 á Mr. Sidney-Smith para entregarle la patente en que se le confieren los privilegios de dicha compañía. El hijo de Mr. Henrique Strachey, empleado en la embaxada de Persia, fue á visitar las minas d</t>
  </si>
  <si>
    <t>Sierra Muñoz, Juan</t>
  </si>
  <si>
    <t>Juan Sierra Muñoz</t>
  </si>
  <si>
    <t>stablecido los puestos siguientes: D. FrahciSco Pérez González, puerta dél Sol, casa de la Inclusa: D. Juan Sierra Muñoz, portal de Sta. Cruzt.D^ Valentín Retes, calle de las Postas: D. Manuel Matute', calle de la Montera: DI íélix Antonio Goiri, calle de la Luna, Jonja de Echinique: oficina del Rea</t>
  </si>
  <si>
    <t>Sierra, Joseph</t>
  </si>
  <si>
    <t>Joseph Sierra</t>
  </si>
  <si>
    <t>D. Santiago Estrella: para el empleo de Oficial primero de la administración de tabacos de Quito á D. Joseph Sierra:, para el de Oficial segundo de la propia administración á I). Mariano Salazar: para el de Guarda mayor de rentas de Cuenca á D. Francisco Barreto : para el de Oficial segundo de</t>
  </si>
  <si>
    <t>Sieveking</t>
  </si>
  <si>
    <t>s honoríficos en prueba de su gratitud por lo mucho que han cuidado de los intereses del Imperio. A Mr. Sieveking, Síndico de Hamburgo, Post, Síndico de Bremen, y Rodde, Senador de Lubeck, ha dado una cadena y una medalla de oro guarnecida de diamantes; y á los dos Síndicos de las ciudades de</t>
  </si>
  <si>
    <t>Siinpson</t>
  </si>
  <si>
    <t>s. Se ha introducido aquí y se extiende mucho la inoculación de la vacuna, cuyo beneficio se debe á Mr. Siinpson, médico ingles. En la relación histórica que se ha publicado de la coronación de Alexandro 1 se hallan algunas circunstancias sobre el célebre diamante colocado en el cetro imperi</t>
  </si>
  <si>
    <t>Sil</t>
  </si>
  <si>
    <t>e S. Bartolomé de la parroquial de la villa de Verdu, diócesis de Soisona , vacante por . muerte de D. Sil vestre Ortiz, á D. Raymundo Segarra p y para una Capellanía , vacante en la parroquia de Santa María dei Mar de la ciudad de Barcelona, por renuncia de D. Miguel Rodon , á D. Vice</t>
  </si>
  <si>
    <t>Silva Ruza, Pedro</t>
  </si>
  <si>
    <t>Pedro Silva Ruza</t>
  </si>
  <si>
    <t>I5« IP* Muerto. Pedro Silva Ruza................ Ramón,MariaAntoniaRuza.Cigril........ Los Baños.., Josef Martinez.................... Martin, Josefa Rodríguez. Hospital de</t>
  </si>
  <si>
    <t>Silvano, Francisco</t>
  </si>
  <si>
    <t>Francisco Silvano</t>
  </si>
  <si>
    <t>443- 13- Id. Francisco Silvano...:..-.-... •MiguelvMaría Rodríguez.. Valencia........ León.............. 1S0. 20. Id. MiguelJosefa Cadenas. .. A</t>
  </si>
  <si>
    <t>Silverio Menduiña</t>
  </si>
  <si>
    <t>de granaderos. D. Joachín de VÜlena: en el de Mallorca á primer Subteniente al segundo Subteniente D. Silverio Menduiña ; y en el batallón de infantería de Canarias á segundo Ayudante al segundo Teniente D. Miguel Manzano; á segundo Teniente al Subteniente de granaderos D. Gaspar Fernaiidez; á esta</t>
  </si>
  <si>
    <t>Silvestre Arlegui, Manuel</t>
  </si>
  <si>
    <t>Manuel Silvestre Arlegui</t>
  </si>
  <si>
    <t>agndo, en la Vicaría de S. Lúear de Barrameda, arzobispado de.Sevilla, vacante por fallecimiento de D. Manuel Silvestre Arlegui, á D. Joseph Tamariz: para el Préstamo de Villoslada , en la diócesis de Segovia, vacante por muerte de P. Manuel Arguelles, á D. Telésforo Ma~ drazo: para el medio Préstamo de la</t>
  </si>
  <si>
    <t>Silvestre Mendez</t>
  </si>
  <si>
    <t>40. 16. Id. Silvestre Mendez.................. Julián, María Rosquera... S. Juan de Vitra.............. Santiago.. ... 144. 18. Id. Gervasio Gandía.................. Roque, Ignacia Pared</t>
  </si>
  <si>
    <t>Silvio Válenti, Cardenal</t>
  </si>
  <si>
    <t>Cardenal Silvio Válenti</t>
  </si>
  <si>
    <t>ficaces. Conformándonos ^ues con los edictos de nuestros antecesores , y particularmente con el del Cardenal Silvio Válenti, vuestro antecesor en la dignidad de Camarlengo, de 5 de Enero de 1750,publicado por orden de Benedicto xrv, de feliz memoria, prohibimos extraer de Roma y de los dominios deS.S.</t>
  </si>
  <si>
    <t>Simeón</t>
  </si>
  <si>
    <t>ibrarse de él, es abandonar el campo de batalla ántes de haber vencido.” : , £1 ciud. Simeón en el Tribunado, y Rabaud en el Cuerpo legislativo, apoyáron la proposición de los Cónsules sobre la perpetuidad del Consulado del ciud. Bonaparte. En ambos cuer</t>
  </si>
  <si>
    <t>io de la legación francesa en Florencia, para Secretario de la de Ñápoles; y al ciud. Simeón para primer Secretario en Florencia. Finalmente, ha promovido á primer Inspector general de Artillería al ciud. Marmont, General de división de dicho cuerpo..</t>
  </si>
  <si>
    <t>Simeón Ruiz</t>
  </si>
  <si>
    <t>534. 17. Id. Simeón Ruiz........................ Jacinto ( Francisca Conde.. Hurones...... . Búrgos......... 1. 38. Id.</t>
  </si>
  <si>
    <t>Simón Gaspar</t>
  </si>
  <si>
    <t>uestra Señora de Guadalupe, extramuros de la' ciudad de México, vacante por fallecimiento ¡del Lie. D. Simón Gaspar ■ , Vives, á D*, Domingo Hernández, Director del seminario condliar de Teruel. ; ' ' ' . , / . • .'/V'':., 1 ’ J pÉambien se ha*dignado S. M.. conferir el empleo de. Coronel del r</t>
  </si>
  <si>
    <t>Simón Tomás</t>
  </si>
  <si>
    <t>alls, diócesis de Tarragona, vacante por fallecimiento de D. Joseph Mora, y por no haberlo admitido D. Simón Tomas, á D. Fidel Moragas. El R ey se ha servido nombrar para segundo Teniente de la Compañía Americana del Real cuerpo de Guardias de Corps al Alférez de ella Don Eusebio Herrera , con</t>
  </si>
  <si>
    <t>Simonde Roxas Clemente</t>
  </si>
  <si>
    <t>zad ¡y Han pasado por aquí para ir de Londres á lo interior de Africa D. Do^ mingo Badia Lebjicht y D. Simonde Roxas Clemente. Los sabios de Euro-' |*á sé interesan eñ el feliz éxito de iun viágé emprendido baxó los auspicios ,y por las órdenes de S. M.Católica y del Sr. Príncipe déla Paz, para adquirir</t>
  </si>
  <si>
    <t>Símontn, Capitán</t>
  </si>
  <si>
    <t>Capitán Símontn</t>
  </si>
  <si>
    <t>79? Capitán Símontn, que sobresalid en,fas acciones de Moerskirch, Neasheim y Neuburgo. En la primera mandando los granaderos reunidos del ala derecha , acometió á los enemigos, los derroto y quedó d</t>
  </si>
  <si>
    <t>Sinclair</t>
  </si>
  <si>
    <t>la memoria de sus victorias. Quando-el Ministro de lo Interior recibió con tanto aprecio la obra de Mr. Sinclair sobre la; longevidad, deseaban todos que los gobiernos dé Europa concurriesen á las investigaciones útiles propuestas por este sabio tan justamente estimado. No hay duda en que no</t>
  </si>
  <si>
    <t>Sinforiano Nieto</t>
  </si>
  <si>
    <t>40. 6. Licenciado. Sinforiano Nieto.................. Cárlos, Juana Rodríguez... Manzanares.. Toledo........... 13. 29. Presidio. Cabo a.® Juan JosefRomero. Josef, María Bautista........ Mo</t>
  </si>
  <si>
    <t>Sínith</t>
  </si>
  <si>
    <t>ftipotéñciário dé los Est&amp;dós-TJtiidos de^m&amp;ricu cerca del gobierno de la "Réjphbltéá francesa, y $ Mr. Sínith / Miñistfo dédós mismos Estados-Unidos, destinado para la corté de Lisboa! 1 ’T El primer Cónsul tuvo el mismo dia un convite de 180 personas, entre las quales1 se hallaban los do</t>
  </si>
  <si>
    <t>Síuart, General</t>
  </si>
  <si>
    <t>General Síuart</t>
  </si>
  <si>
    <t>han derrotado á las tropas del Virey. Permanecen los ingleses en Alejandría, en cuya plaza manda el General Síuart con 4® hombres. Hay grande desavenencia entre ingleses y turcos ; y parece que aquellos sublevan y pagan á los mamelucos. Han ido secretamente á Alexanaría dos comisionados de los</t>
  </si>
  <si>
    <t>Smiih</t>
  </si>
  <si>
    <t>La Cámara de Comunes de Inglaterra acaba de votar una recompensa dp 5libras esterlinas á favor del Dr. Smiih, edificándole de autor de un descubrimiento importante propio para de: infeccionar el ayre viciado de Jas cárceles, hospitales Sec. Como un descubrimiento én las ciencias» sobre t</t>
  </si>
  <si>
    <t>Smith</t>
  </si>
  <si>
    <t>del mismo modo en Cádiz, hubiera librado la vida mucha gente. Mr. WHberforce apoyó la solicitud del Dr. Smith, añadiendo que si su descubrimiento era tan ventajoso como lo aseguraba el inventor, y él lo creía , no dexará la Cámara de premiarle. En efecto, se admitió la petición, y se envi</t>
  </si>
  <si>
    <t>de su descubrimiento, expone las resultas que se han conseguido con su practica, y hace justicia á Mr. Smith, que ha sabido aplicar con mucha felicidad las fumigaciones ácidas desde el año de 1780 en los hospitales de Winchester, hasta 1795 en el hospital de Sherness y en varios buques d</t>
  </si>
  <si>
    <t>Smith, Adam</t>
  </si>
  <si>
    <t>Adam Smith</t>
  </si>
  <si>
    <t>. Investigación de la naturaleza, y causas de la riqueza de las naciones , escrita en ingles por el Dr. Adam Smith, traducida y aumentada considerablemente con ilustraciones relativas á España por D. Joseph Alonso Ortiz. Esta obra se halla suficientemente recomendada por la notoriedad de su mé</t>
  </si>
  <si>
    <t>Smits</t>
  </si>
  <si>
    <t>cfiestni, Ministro de Bmsia; por el Conde de Marcoff Ministro de Rmiat y por el ciud Smits . Encargado interino de Negocios de la República batava ¿IGcnérd Beumouville, Embaxador de Ergncia en Prusia, ha llegado</t>
  </si>
  <si>
    <t>Soane, Joseph</t>
  </si>
  <si>
    <t>Joseph Soane</t>
  </si>
  <si>
    <t>rtaguiones D. Pedro Pascual de la, Rosa y D. Juan Urrutia, y i Portaguiones al Sargento distinguido D. Joseph Soane y á D. Mariano Yurre&gt; Por Real provisión de 7 de Octubre pasado , á consulta del Supremo Consejo, se ha concedido á la villa de Borox, provincia de Madrid, facnlr tad para celebrar</t>
  </si>
  <si>
    <t>Sobrevilia, Salvador</t>
  </si>
  <si>
    <t>Salvador Sobrevilia</t>
  </si>
  <si>
    <t>d de los inxertos, y sus especies; D. Vicente Ximenez, del modo de plantar las vinas, y su cultivo; D. Salvador Sobrevilia» de varios medios de.fomentar y perfeccionar la agricultura; D. Vicente Royo, sobre los abonos en general; D. Juan Antonio Comat, de los graneros y conservación de los granos; D.</t>
  </si>
  <si>
    <t>Sobron, Gregorio</t>
  </si>
  <si>
    <t>Gregorio Sobron</t>
  </si>
  <si>
    <t>...... 341. 16. Id. Gregorio Sobron.................. Domingo, Josefa Urutiuela. Batios........... Sto.Domingo. 331. *• Id. Agustín del Pino.................. Agustín, Tomasa Sta. Maria. Villaruz......... Búrgos.</t>
  </si>
  <si>
    <t>Sofía Alberta de Suecia, Princesa</t>
  </si>
  <si>
    <t>Princesa Sofía Alberta de Suecia</t>
  </si>
  <si>
    <t>an falsos; y parece que el Emperador es quien ha de juzgar su causa. El dia 19 llegó á Brunswick la Princesa Sofía Alberta de Suecia , Abadesa de Quedlinburgo. En Suecia ha tomado el gobierno varias providencias upara fomentar el cultivo de patatas, especialmente .en'Finlandia. Entre 1 217 embarcaciones que ent</t>
  </si>
  <si>
    <t>Soissons</t>
  </si>
  <si>
    <t>ia brigada certifican que en aquel encuentro ( eí qual solo duró 6 minutos ) el ciud. Soissons mató ó malhirió á hombres, é hizo 6 oficiales prisioneros._Otro de los premiados es el ¡</t>
  </si>
  <si>
    <t>Soissons, Carlos Francisco</t>
  </si>
  <si>
    <t>Carlos Francisco Soissons</t>
  </si>
  <si>
    <t>premiados el dia 5 por el primer Cónsul con sables de honor , merece citarse el ciud. Cárlos Francisco Soissons, Subteniente de la segunda mediabrigadade línea. Este oficial en la acción de. Montécornua de 11 de,Mayo de 1800, después de haber dado muerte á varios austría</t>
  </si>
  <si>
    <t>Solano, Bartolomé</t>
  </si>
  <si>
    <t>Bartolomé Solano</t>
  </si>
  <si>
    <t>e de ^San* Román: el del dé Extremadura al: Teniente Coronel del de- Jaén ,*gradúa-^ áo de Coronel, D. Bartolomé Solano: el del de Voluntarios- dé Castilíi al cTqado de Córófael,JD. Antonio O-Kelly. ^ ; í-.-í) c . .3 ,.K " ^drR^eáí cédula de M. dé' 12 del corrí ente se “há*$érvuíó conceder lugar He</t>
  </si>
  <si>
    <t>Solano, Joseph María</t>
  </si>
  <si>
    <t>Joseph María Solano</t>
  </si>
  <si>
    <t>nia, á D. Gabriel Gómez de la Puente; y para una Ración de idioma mexicano , vacante por ascenso de D. Joseph María Solano á la Canongía Penitenciaria de la colegiata de Ntra. Sra. de Guadalupe, extramuros de México , á D. F rancisco Xavier Beristain. En el regimiento de infantería provincial de Puebl</t>
  </si>
  <si>
    <t>Solano, Tomás</t>
  </si>
  <si>
    <t>Tomás Solano</t>
  </si>
  <si>
    <t>os, chopos, sauces y otros, dándolos vivos y prendidos en la misma primavera—Veinte y cinco pesos á D. Tomas Solano, vecino de la villa de Calatoraó, Corregimiento de Zaragoza , por haber fabricado de su cuenta y á sus expensas úna tela de lino de 98 varas, de calidad superior al lienzo ordinar</t>
  </si>
  <si>
    <t>Soler y Viladot, Joseph Antonio</t>
  </si>
  <si>
    <t>Joseph Antonio Soler y Viladot</t>
  </si>
  <si>
    <t>n Beneficio Racionero de la catedral de Solsona , vacante por fallecimiento de D. Antonio Isanta, á D. Joseph Antonio Soler y Viladot. En la compañía Española del Real cuerpo de Guardias de Corps se ha. servido promover S. M. á Exénto de número al supernumerario D. Francisco de Paula Bernui; y á Exénto supernume</t>
  </si>
  <si>
    <t>Soler, Francisco</t>
  </si>
  <si>
    <t>Francisco Soler</t>
  </si>
  <si>
    <t>nio Bocarro, D. Juan Feliu, D. Juan Desnaux, Don Manuel Vigil de Quiñones, D. Joseph Ponce de León, D. Francisco Soler, el Conde de Maceda, D. Joseph Bermudez de Castro, D. Roque Antía, D. Antonio Darcourt, D. Tomas Kindelan , D. Juan de Dios Alvarez Ordoño, D. Gabriel Mendizabal, D. Ignacio Marti</t>
  </si>
  <si>
    <t>Soler, Joseph</t>
  </si>
  <si>
    <t>Joseph Soler</t>
  </si>
  <si>
    <t>gía de la metropolitana dé Sevilla, vacante por fallecimiento de D. Francisco de Hevia* y Ay ala, á D. Joseph Soler: para la Oanongía Doctoral nuevamente erigida en la colegiata de la ciudad de S. Felipe, diócesis de Valencia, á D. Vicente Bordes -/para la Pavordía regular del Real monasterio d</t>
  </si>
  <si>
    <t>Soler, Joséph</t>
  </si>
  <si>
    <t>Joséph Soler</t>
  </si>
  <si>
    <t>Prestamera de la villa de Almodóvar del Rio , eixjel obispado de Córdoba, vacante por promoción de D. Joséph Soler á una Canongía de la metropolitana de Sevilla, a D. Joaquín García y Granetini; y para el Beneficio préstamo del lugar de Casaseca de Campean, en la diócesis de Zamora, vacante po</t>
  </si>
  <si>
    <t>Soler, Miguel Cayetano</t>
  </si>
  <si>
    <t>Miguel Cayetano Soler</t>
  </si>
  <si>
    <t>,Capitán General de la Real Armada: D. Pedro Cevallos, primer Secretario de Estado y del Despacho: D. Miguel Cayetano Soler, del Consejo de Estado, Secretario de Estado y del Despacho de Hacienda, y Superintendente general dé ella: D. Domingo Grandallana, del Consejo de Estado, Secretario de Estado, y</t>
  </si>
  <si>
    <t>, y .Administrador general de todas Rentas de esta provincia de Madrid. Certificp que el Excmo. Sr. D. Miguel Cayetano Soler me ha comunicado en 13 dé Mayo último la Real orden siguiente: ,,Desde el alio de 1787 se hallan rezagados en esa aduana varios géneros y efectos cuyos dueños se ignoran, y aunque</t>
  </si>
  <si>
    <t>á los Exchió's/S'reM: D. Pedro Ccvallos ; D. Joseph António Caballero.p'D. DotnirigOyGrahdállaria; D. Miguel Cayetano Soler; D. Díegb de Godojr; D. JoisépKCEüstía^óip ?M0renü;¿Mar^ués dé Gerralbo; Marques de San Simón; Conde déTrastainara; Marqués de Quintana ; Conde de Fernannuñez ; D. Rafael Muzquiz,</t>
  </si>
  <si>
    <t>Solignac, General</t>
  </si>
  <si>
    <t>General Solignac</t>
  </si>
  <si>
    <t>han salido para la Cisalpina, de donde se esperan mil hombres para reemplazarlas. También saldrá el General Solignac, y solo quedará un xefe de brigada. Sarzana § de Febrero. E 1 2 por la tarde llegó á esta ciudad Monseñor Spína con el cadáver de Pío vi, escoltado por un destacamento de tropas f</t>
  </si>
  <si>
    <t>Solís y Leis, Francisco Antonio</t>
  </si>
  <si>
    <t>Francisco Antonio Solís y Leis</t>
  </si>
  <si>
    <t>d de Chantre de la catedral de Orense , vacante por fallecimiento de D. Joachín García Domínguez, á D. Francisco Antonio Solís y Leis, con retención de la Canongía que obtiene en la misma catedral; y para el Beneficio simple de la villa de Arjona, diócesis de Jaén, vacante por muerte de D. Diego Ximenez, á D. Pe</t>
  </si>
  <si>
    <t>Solis y Zurita, Alonso</t>
  </si>
  <si>
    <t>Alonso Solis y Zurita</t>
  </si>
  <si>
    <t>la y Esteller, D. Manuel Valcarcel, y Oconri, t). Joachin de Mora; y Duarte ,, D. Diego de Arteaga, D. Alonso Solis y Zurita, D. Joseph Bernaci y Retamar, Don Ignacio Éscovar y Ríquelme, D. Juan Robredo y Lea, D. Joseph de Córdoba y? Roxas , 0. Lope Valcarcel y Valcarcel, D. Joseph Linares é Iba?* nez,</t>
  </si>
  <si>
    <t>Solís, Francisco</t>
  </si>
  <si>
    <t>Francisco Solís</t>
  </si>
  <si>
    <t>alas de Sierra de Pinos á LK Domingo Erriguena: para Administrador de la misma Renta de Mextitlan á D. Francisco Solís*. para la de Oficial i.° de la Mesa de Guias de la Aduana de Puebla á Don Joseph Cosío: para la de Oficial i.° de la Mesa del Viento y Pulques de la misma Aduana á D. Joseph Ignac</t>
  </si>
  <si>
    <t>Soltikow, Nicolás (conde)</t>
  </si>
  <si>
    <t>Conde Nicolás Soltikow</t>
  </si>
  <si>
    <t>y con su augusta suegra. El Gran Duque Constantino permanece en esta capital, _ y de acuerdo con el Conde Nicolás Soltikow presidirá el Consejo hasta la .vuelta del Emperador, la qual será de aquí á 6 semanas. Asimismo, hasta que se restituya á esta córte el Conde de Kotschubey no tendrán conferen€iüs</t>
  </si>
  <si>
    <t>Somalo, Manuel</t>
  </si>
  <si>
    <t>Manuel Somalo</t>
  </si>
  <si>
    <t>....... 64. 30. Id. Manuel Somalo.................. Manuel, María Cruz López. Batios........ StoDomiogo. 363. C4&gt; Id. Antonio Blasco.................... Pedro, Josefa Martínez. •.. Otero............. Segovia....</t>
  </si>
  <si>
    <t>Somalo, Miguel</t>
  </si>
  <si>
    <t>Miguel Somalo</t>
  </si>
  <si>
    <t>...... 160. 13. Id. Miguel Somalo............ Josef, Angela Gala rza....... Baños.... .. Sto.Domingo.. 120. 18. Licenciado. Fernando Angulo................ Antonio, María Briones... Briones..</t>
  </si>
  <si>
    <t>Somerville</t>
  </si>
  <si>
    <t>675 Escriben de! Cabo de Buena Esperanza que el Dr. Somerville, Mr. Daniels, y un oficial de aquella guarnición han hecho descubrimientos importantes en lo interior del Africa , por la qual se internáron cerca de 800 millas inglesas. Siguiend</t>
  </si>
  <si>
    <t>Somtneriva</t>
  </si>
  <si>
    <t>Soroa y Soroa, Joaquín</t>
  </si>
  <si>
    <t>Joaquín Soroa y Soroa</t>
  </si>
  <si>
    <t>ustín Manglano y Ruiz, D. Víctor Vinader y Paz, D. Vicente de Lago y León, D. Per dro de Landazuri, D. Joaquín Soroa y Soroa , D. Fernando Bustamante y Bustamante, D. Adrián Morqúecho, D. Mateo Vicente y Crespo, Don Joseph Bazan y Villaroel, D. Juan Septien y Salinas , D. Domingo^ Pavía y Seix, D. Barto</t>
  </si>
  <si>
    <t>Sorolla, Miguel</t>
  </si>
  <si>
    <t>Miguel Sorolla</t>
  </si>
  <si>
    <t>221 cunar á una niña suya de 32 meses de edad, practicando la Operación el cirujano D. Miguel Sorolla; siguió la vacuna su curso regular, y así que estuvo a punto de poder extraerse el pus, se hicieron de brazo á brazo por el mismo Sorolla otras nueve vacunaciones, entre ellas á l</t>
  </si>
  <si>
    <t>Sorondo, Agustín</t>
  </si>
  <si>
    <t>Agustín Sorondo</t>
  </si>
  <si>
    <t>ernandez Ceyallos, Tesorero!honorario de exército y,de todas Rentas de'la provincia de Segovia ; á ;D. Agustín Sorondo, Comandante de- Res guardo de Cádiz; á D. Joseph Espinosa, Superintendente dedas Fábricas de ,rabaco de Sevilla; á D. Ignacio Alvarez de la Cruz, Director, de labores de l a Facto</t>
  </si>
  <si>
    <t>Sotelo, Joaquín</t>
  </si>
  <si>
    <t>Joaquín Sotelo</t>
  </si>
  <si>
    <t>cia de Sevilla, vacante por promoción de D. Tomas Monyano á la de Alcalde de su Real casa y corte á D. Joaquín Sotelo, Alcalde del Crimen de la de, Extremadura: para la de Oidor de esta* vacante por promoción también de D. Juan Antonio Inguattzo á otra de Alcalde dé la propia Real casa y corte, á</t>
  </si>
  <si>
    <t>Sotero Casado de Alviz, Pedro</t>
  </si>
  <si>
    <t>Pedro Sotero Casado de Alviz</t>
  </si>
  <si>
    <t>as quatro villas de la Hoya de Málaga á D. Pedro Antonio Caballero: para el de la ciudad de Baeza á D. Pedro Sotero Casado de Alviz: para la Vara de Alcalde mayor de la de Málaga á D. Benito Saiz de Villegas: para la primera de la de Córdoba, que este dexa, á D. Diego Merino y Zapata: para la de Murcia á D. Jo</t>
  </si>
  <si>
    <t>Sotero Maeso</t>
  </si>
  <si>
    <t>.. 37. 3. Id. Sotero Maeso....................... Lúeas, María Santos. .... Belorado..... Búrgos.. .... i o. 23. Licenciado. Bernardo Bravo.................. Manuel, Polonia Levia.... Sto. Domingo d</t>
  </si>
  <si>
    <t>Sotolongo, Joseph</t>
  </si>
  <si>
    <t>Joseph Sotolongo</t>
  </si>
  <si>
    <t>el Fernandez Cortacero, D. Manuel Barrientos, D. Nicolás Povil, D, Juan de Robles, D, Rafael Seáis, D. Joseph Sotolongo, D. Juan Cirera, D. Joseph de la Cuesta, D. Francisco Quesada, D. Joseph Domeneo ,;D. Joaquín de Rayas?, P. Nicolás Guascoñi, D. Mariano Vives, Don Juan de la Garma j D. Miguel Pl</t>
  </si>
  <si>
    <t>Sowden, Capitán</t>
  </si>
  <si>
    <t>Capitán Sowden</t>
  </si>
  <si>
    <t>rancés Garnerin emprendió un vuelo desde los jardines de Ranelagh de esta capital: le acompañaba él Capitán Sowden. El tiempo no era muy favorable para tales expediciones, pues llovía, y el viento soplaba con mucha fuerza y por rá-, fagas. Sin embargo,'al cabo de 3 quartos de hora baxáron feli</t>
  </si>
  <si>
    <t>Spaan Vorstonde</t>
  </si>
  <si>
    <t>erno para Ministro plenipotenciario en Berlín al .ciud. Stagendorp; en Viena al ciud. Spaan Vorstonde, y en. Stockolmo al ciud. Mestraene--Theniaat. El Almirante Dewinter llevará á las potencias berberiscas los regalos que el gobierno les envia ordinariamente p</t>
  </si>
  <si>
    <t>Spano, Carlos</t>
  </si>
  <si>
    <t>Carlos Spano</t>
  </si>
  <si>
    <t>antería de la Concepción , el empleo de Capitán en el propio. cuerpo y ef que este dexa al Teniente D. Carlos Spano; su resulta al. Subteniente t&gt;. Joseph Antonio &gt; Bptarroy y la Subtenencia que estej dexa&gt; al Cadete J&gt;, Joaquín AntonioDÚZ. .. ' ■&lt; 7 ' &lt;V‘r^. También en el cuerpo de dragones de</t>
  </si>
  <si>
    <t>Spencer Smith, Lord</t>
  </si>
  <si>
    <t>Lord Spencer Smith</t>
  </si>
  <si>
    <t>hecha la adopción de los principios de las secularizaciones. De Turquía lia llegado á Stuttgard el Lord Spencer Smith, que ha desempeñado muchos años las funciones de Embaxador ingles en Constantinopla. Por la intimidad que reyna entre el Príncipe de Orange y los varios Ministros de tas potencias</t>
  </si>
  <si>
    <t>Spencer, Lord</t>
  </si>
  <si>
    <t>Lord Spencer</t>
  </si>
  <si>
    <t>de su nación para las colonias dinamarquesas de América. Le acompaña el Sargento mayor Sobotker. El Lord Spencer ha comprado por 120 guineas, ó; 710 pesosr unexentw plar de la primera edición del Dante , que es del año de 1452. Eh eh Condado dé Yorck se reunió mucha gente; a correr patines e</t>
  </si>
  <si>
    <t>Spina, Félix Antonio</t>
  </si>
  <si>
    <t>Félix Antonio Spina</t>
  </si>
  <si>
    <t>armona y Francisco Antonio ; ofreciendo vestir á los dos primeros el referido Corregidor y el socio D. Félix Antonio Spina, y á los dos últimos el Sr. Marques de la Conquista, vice-director de este Real cuerpo. Al dia siguiente se celebraron igualmente exámenes de las niñas de la escuela fundada por l</t>
  </si>
  <si>
    <t>Spiná, Joseph (cardenal)</t>
  </si>
  <si>
    <t>Cardenal Joseph Spiná</t>
  </si>
  <si>
    <t>a del Arzobispado* de Milán en el Entuno. Juan Bautista Caprara, Obispo de Jesi: la de Génova en el Cardenal Joseph Spiná, y la de Ñapóles en el limo. Sr. Vicente Monforte, Obispo de Ñola. El Ministro de Francia asistió al Te JDeutn que se cantó el dia de la Ascensión del Señor en la Basílica de S. J</t>
  </si>
  <si>
    <t>Sprenger</t>
  </si>
  <si>
    <t>s vacadas. 1 ^ r* 1 J ^ Mr. Schaub»1 profesor en Cassél, ha curado con él galvanismo^ dos sordos; y Mr. Sprenger, boticario de Iever, haucurado con el propio medio 11 sordos de nacimiento dándoles el cido , y por consiguiente la facultad ■ de hablar* ^ Y :l'':Cr ^fr^^Y^-Y ■ ^v^YfYp-^v' Y Vte</t>
  </si>
  <si>
    <t>Sptrano, Joaquín</t>
  </si>
  <si>
    <t>Joaquín Sptrano</t>
  </si>
  <si>
    <t>logético en honor de la medicina, principalmente de la ;h i peerá ticay9 por el Joaquín Sptrano, Médico Secretario perpetuo de gobierno del Real, colegio de medicinad$, Madrid,ydel Jl£al :estudio de medicina práctica.,.Se hallará env ía,;librería de Castillo , frente, á Jas gradas d</t>
  </si>
  <si>
    <t>Srewart, General</t>
  </si>
  <si>
    <t>General Srewart</t>
  </si>
  <si>
    <t>briti:Vii 13 en el Mediterráneo y el Egipto. -^¿.Confirman los dUí-&gt; mos avisóse. ¿Mcxandría que el General Srewart no consiguió en sn viage . á CoBSt99tii^ empeñar á la Puerta, a que cediese ;en ? propiedad* ios. Beyes tu&gt;ap¡(|te delpais que ocupan en JÉgipto. r ^; , La carta'.^g^i^nte escrita</t>
  </si>
  <si>
    <t>St, Lord</t>
  </si>
  <si>
    <t>Lord St</t>
  </si>
  <si>
    <t>Num. 82. loor GAZETA DE MADRID DEL VIERNES 8 DE OCTUBRE DE 1802. Petersburgo 20 de Agosto. 1 Lord St. Helens, que fué Ministro extraordinario de S. M. Británica en esta corte, se ha restituido á Inglaterra en la fragata Latona, en que eL Duque de Glocester hizo su viage de Londre</t>
  </si>
  <si>
    <t>GAZETA DE MADRID BEL MARTES 11 DE OCTUBRE DE 1802. Petetsburgo 27 de Agosto. D, esde la partida del Lord St. Helens, Ministro británico, despacha Mr. Garlick, Secretario de embaxada, los asuntos de su gobierno en calidad de Encargado de negocios. A fin de fomentar en estos países el cul</t>
  </si>
  <si>
    <t>* Antes de ayer entró en Shéerness la fragata de guerra Latona, á cuyo bordo viene dePetersburgo ei Lord St. Helens con su comitiva!. Las cartas dcvJamayca dé 8 de Agosto confirman que la fiebre amarilla reyna en aquella colonia y causa muchos estragos. No son menores en Nueva-Yorcfc, y</t>
  </si>
  <si>
    <t>Stadion</t>
  </si>
  <si>
    <t>or, dice en suma lo siguiente: „ Advierte lá corte de Berlín dos puntos principales en el oficio de Mr. Stadion, que son la conservación de los Electores eclesiásticos, y las indemnizaciones de la casa de Orange. En quanto al primero se refiere S. M. á los principios contenidos en la nota d</t>
  </si>
  <si>
    <t>otenciario austríaco en esta corte, no han producido el efecto que esperaba el ministerio de Viena. Mr. Stadion hacia proposiciones harto ventajosas para este gabinete, baxo condición de que consintiese en que el Obispado de Múnster, y la parte del Electorado de Colonia situada en la derech</t>
  </si>
  <si>
    <t>Ministro dé laS tres pótéiiéiás; cóniO ni tampoco 'de la que ém Berlín hizo el Conde de Háügwitz á Mr. Stadion; las tropas austríacas tomaron posesión de Passau, y ha hecho saber S. M. I. á la Dieta por su Plenipotenciario que no • sacaría de allír sus tropas como; no. fuesen igualmente ev</t>
  </si>
  <si>
    <t>Stage, Capitán</t>
  </si>
  <si>
    <t>Capitán Stage</t>
  </si>
  <si>
    <t>ara Cantón, en la China, el navio de la compañía asiática la Princesa Luisa Augusta, mandado por el Capitán Stage. Desde el día i.° de este mes hasta el 19 han pasado por el Sund 59$ embarcaciones. Viena * 1 de Noviembre. E 1 Archiduque Carlos, que conti unamente trabaja en asuntos de estado,</t>
  </si>
  <si>
    <t>Stagendorp</t>
  </si>
  <si>
    <t>florines. Ha nombrado el gobierno para Ministro plenipotenciario en Berlín al .ciud. Stagendorp; en Viena al ciud. Spaan Vorstonde, y en. Stockolmo al ciud. Mestraene--Theniaat. El Almirante Dewinter llevará á las potencias berberiscas los regalos que el</t>
  </si>
  <si>
    <t>Stapefer</t>
  </si>
  <si>
    <t>estades, y han causado muchos naufragios. Berna 1$ de Abril. S e asegura que al ciud. Stapefer, Ministro helvético en París, se le ha comunicado de oficio que en las negociaciones de Amiens no ha habido artículos secretos. Parte de la artillería del parq</t>
  </si>
  <si>
    <t>Stapfer</t>
  </si>
  <si>
    <t>pués le dixo el Ministro francés que el gobierno nd tenia motivo de queja dé 1 ciud. Stapfer, y que antes bien estaba muf eontento dé su buéna conducta. Todos los ríos del cantón de Berna han salido de madre: íá ciudad dé Hedan y grati número de pueblo</t>
  </si>
  <si>
    <t>nal Monód, al ex-Senador Muret, y al citid. Secretan___La Argovia y Badén á los ciudadanos Stapfer, Ministro helvético en París, Struss, Kengger, Ministro del Interior; Kothplez, que ha sido Ministro de Hacienda, Lotur, Welth, Weber, Suscher y Huziher. Aun n</t>
  </si>
  <si>
    <t>han elegido por principio de economía para su Subdelegado en dicha Consulta al ciud. Stapfer, Ministro de Helvecia en París, á quien han enviado, instrucciones particulares para dicho efecto. ^ Ha resuelto el Senado que en caso qué los dos vocales que</t>
  </si>
  <si>
    <t>Stark</t>
  </si>
  <si>
    <t>Sund desde el dia 3 hasta ayer. Hamburgo 18 de Mayo. E 1 Senado de Lubeck ha recibido una carta de Mr. Stark, Encargado de Negocios de S. M. Sueca en esta ciudad, avisándole que aquel Soberano ha resuelto se lleve á Pfortzheim el cadáver del Príncipe heredero de Badén, y manda se comuniq</t>
  </si>
  <si>
    <t>Starray, General</t>
  </si>
  <si>
    <t>General Starray</t>
  </si>
  <si>
    <t>es, según parece, el.destino principal de este crecido cuerpo, cuyo marido aseguran se confiará al General Starray. Finalmente, se dice que un exército ruso obrará de acuerdo con las tropas austríacas, y ocupará las plazas de Chotzym, Bender y Aklerman__—Discurren con mucha variedad acerca del</t>
  </si>
  <si>
    <t>Staunton, Jorge</t>
  </si>
  <si>
    <t>Jorge Staunton</t>
  </si>
  <si>
    <t>h los misioneros que fuéron á la China con el Lord Makartney, y con ellos viene, el hijo«del difamo Mr. Jorge Staunton, que los acompañó en aquella embáxadá , y'sin duda se habrá perfeccionado én la lengua china. '"*&gt;■ Se na despachado de Fíimouth la fragata-«Desdeñosa con pliegos dél gobierno par</t>
  </si>
  <si>
    <t>Steiner, General</t>
  </si>
  <si>
    <t>General Steiner</t>
  </si>
  <si>
    <t>continuo gente al socorro de Zurich, en donde ha entrado también con&gt; 300 hombres bien; armados el General Steiner, que tiene 80 años." Se asegura que las principales condiciones de otro armisticio que el referido General Andermatt ha ajustado conjos diputados de los tres Cantones de Uri, Schw</t>
  </si>
  <si>
    <t>Stek</t>
  </si>
  <si>
    <t>Sterret</t>
  </si>
  <si>
    <t>imore;el buque de guerra nombrado la Empresa, que cruzó algún tiempo en el Mediterráneo al mando de Mr. Sterret, y se ha publicado la relación de su combate con un corsario tripolino de 14 cañolies y 85 hombres. Después de defenderse el berberisco dos horas con singular tesón y empeño , arr</t>
  </si>
  <si>
    <t>Sterret, Capitán</t>
  </si>
  <si>
    <t>Capitán Sterret</t>
  </si>
  <si>
    <t>ue esforzó su valor, y pedia á gritos acabar con aquellos piratas, y echarlos al mar. En efecto, el Capitán Sterret y su gente atacaron con el mayor brio, é hicieron tales daños al enemigo que al fin aseguráron su triunfo. Perdió el pirata un mastelero, su casco estaba acribillado, hacia por toda</t>
  </si>
  <si>
    <t>Stiles, Capitán</t>
  </si>
  <si>
    <t>Capitán Stiles</t>
  </si>
  <si>
    <t>á ménos de 8 leguas de las costas de este Reyno. En fuerza de estii acta apresó el lunes último el Capitán Stiles un barco nombrado el Zorro, cuyo cargamento consistía en géneros prohibidos, y le ha conducido á Portsmouth. En una carta de Suez se lee lo siguiente. ,,Nos hallamos anclados en e</t>
  </si>
  <si>
    <t>Stok-ár</t>
  </si>
  <si>
    <t>ia para que I^s presente á la diputacionbdel Imperio.? ¿E¿iá&gt; r4o misiona do el ciud. Stok-ár v</t>
  </si>
  <si>
    <t>Strachey, Henrique</t>
  </si>
  <si>
    <t>Henrique Strachey</t>
  </si>
  <si>
    <t>ith para entregarle la patente en que se le confieren los privilegios de dicha compañía. El hijo de Mr. Henrique Strachey, empleado en la embaxada de Persia, fue á visitar las minas de Persépolis, y encontró en ellas una estatua de mármol muy bien conservada de un Rey antiguo de Persia. Se hizo con e</t>
  </si>
  <si>
    <t>StranclV, General</t>
  </si>
  <si>
    <t>General StranclV</t>
  </si>
  <si>
    <t>tar enfermó p no; y asi se lq asegurpídel mas *fía?-mal y ter-, minante. Llegó durante ja comida el General StranclV: hablaron amistosamente, y se separaron del n^smo módo, después de una conferencia particular entre el Príncipe Obispo, su Canciller Mr. de Raiemaclier, y el mencionado General im</t>
  </si>
  <si>
    <t>Straton</t>
  </si>
  <si>
    <t>comercio de este Imperio , que de resultas de la guerra estaba casi aniquilado. A a ha venido aquí Mr. Straton,que ha de reemplazar interinamente como Ministro ingles ai Lord E.lgln, el qual no tardará en embarcarse para Egipto, de donde se restituirá á Inglaterra. Copenhague r.° de Diciem</t>
  </si>
  <si>
    <t>Stratton</t>
  </si>
  <si>
    <t>un cuerpo de 8® hombres. Según cártas de Constantinopla ya se restituyó de Egipto á aquella capital Mr. Stratton, Secretario de la embaxada inglesa. ': Prosigue en Bosnia el mayor desorden: las ciudades de Serayo y ■Tra.w'nick están amenazadas por los rebeldes, y en la primera se padece pest</t>
  </si>
  <si>
    <t>ntes ingleses, huyéron ai Egipto Superior, y el Gran Visir envió tropas á su alcance. Antes de esto Mr. Stratton y el General británico, habian tenido una conferencia con el Generalísimo de las tropas otomanas----- Añade dicha carta que el Baxá Hacka ha dispersado un crecido cuerpo de rebeldes d</t>
  </si>
  <si>
    <t>a para la isla de Chío en una nave ragusea; y se dice que de allí emprenderá su viage á Inglaterra. Mr. Stratton queda aquí en calidad de Encargado de Negocios de la Gran Bretaña. A la referida isla de Chio ha sido desterrado el Baxá Ilak, Beglierbey de Romelia, que tuvo á su cargo la expedi</t>
  </si>
  <si>
    <t>Strossi, Príncipe</t>
  </si>
  <si>
    <t>Príncipe Strossi</t>
  </si>
  <si>
    <t>su junta de dirección en esta capital. Ha comprado S. M. el magnífico gabinete de antigüedades del Príncipe Strossi, de Florencia, para reunirle con el que hay en el sitio imperial llamado la Ermita, el qual será uno de los mas curiosos y raros de Europa. Habiendo la academia rusa concluido la</t>
  </si>
  <si>
    <t>Stuard, General</t>
  </si>
  <si>
    <t>General Stuard</t>
  </si>
  <si>
    <t>El General Baird mandará una brigada de cipayos, como también la ciudad y distrito de Roseta; y el General Stuard tendrá baxo sus órdenes todos los regimientos extrangeros con otro nacional de caballería, v residirá en el Cayro. ’ * Dícese que el ciudadano francés Sebastiani ha traído á su go</t>
  </si>
  <si>
    <t>Stuart</t>
  </si>
  <si>
    <t>A'n j . que tenia órdenes expresas para despacharlos á Constantinopla; pero Mr. Stuart le intimó que él por su parte las tenia de apelar á la fuerza para conseguir lo que solicitaba, y no concedió mas término que hasta el dia siguiente para que el Capitán Baxá tomas</t>
  </si>
  <si>
    <t>iese Beyes en Egipto» no podía esperarse que fuese duradera la tranquilidad publica. Se asegura que Mr. Stuart irá á Alexandríá á ñu de disponer que ¿é miren de aquel país las tropas inglesas que hay todavía én él. Espérase al Gran Visir en toda esta semana.. Petersburgo 11 de Agosto. E n</t>
  </si>
  <si>
    <t>Stuart y los Coroneles Blanty y Beuger, General</t>
  </si>
  <si>
    <t>General Stuart y los Coroneles Blanty y Beuger</t>
  </si>
  <si>
    <t>eal^ familia el'.Duque-det ÍJ^qkemprendidoósu-via¡ge de InglAtéría á Constantinopla: y'. Egipto ell General Stuart y los Coroneles Blanty y Beuger. ^ En Guernsey murió el 6 de dste ¿íes .á {tos 40 años de edad un engancjuttor, llamadoj Sa$iuei:Magd&lt;i&gt;na:id&gt; cpuocidoyuigármente feon el nombre. deóSaniueÍ;:el grand¿.* .porque</t>
  </si>
  <si>
    <t>Stuart, General</t>
  </si>
  <si>
    <t>General Stuart</t>
  </si>
  <si>
    <t>igió le entregasen los muertos y los vivos: y como le respondiesen en términos equívocos , mandó al General Stuart se adelantase inmediatamente con 4 regimientos de infantería, un destacamento de caballería y algunos cañones para apoyar su demanda. El Capitán Baxá no juzgó prudente oponerse á.</t>
  </si>
  <si>
    <t>ima no podía serles nocivo» Después de haber, recibido esta respuesta volvió á salir para Egipto el General Stuart, prometiendo que no tardaría en hacer que evacuasen aquel país las tropas de su maodo j io que efectivamente se ha.verificado después» Por uncorreo que ha llegado hoy del Cayrose</t>
  </si>
  <si>
    <t>Suárez de Deza y Yebra, Francisco</t>
  </si>
  <si>
    <t>Francisco Suárez de Deza y Yebra</t>
  </si>
  <si>
    <t>anada^, vacante por promoción del Sr. D. Bartolomé dé Rada y Santander á plaza del Consejo Real , á D. Francisco Suarez de Deza y Yebra, Oidor supernumerario de la Chancillería de Valladolid; y para dos plazas de Alcaldes de su Real, casa, y corte á D. Juan Antopiq Inguanzo, Oidor de lá~ Audiencia de Extremadura,</t>
  </si>
  <si>
    <t>Suárez de Váleles, Gabriel</t>
  </si>
  <si>
    <t>Gabriel Suárez de Váleles</t>
  </si>
  <si>
    <t>e Oidor de la misma Chancillería de Granada, vacante por fallecimiento de Don Diego de Villafañe, á D. Gabriel Suarez de Váleles : para otra de Oidor de la Audiencia de Sevilla, vacante por promoción de D. Joseph María Perez Valiente á Alcalde de casa y corte, á D. Isidoro Sanz de Velasco: para la de Alcald</t>
  </si>
  <si>
    <t>Suárez, Antonio</t>
  </si>
  <si>
    <t>Antonio Suárez</t>
  </si>
  <si>
    <t>49. 5. Muerto. Antonio Suarez............ . Pedro,BernardaMenendez. Castañedo.... Búrgos ......</t>
  </si>
  <si>
    <t>Suárez, Gregorio</t>
  </si>
  <si>
    <t>Gregorio Suárez</t>
  </si>
  <si>
    <t>xro. ir. Muerto. Gregorio Suarez................... Gabriel, Ana Campelo....... Llamas.......... León................. 84. 19. Id. Cabo 2." Agustín Várela... Josef, María García........</t>
  </si>
  <si>
    <t>Suárez, Pedro</t>
  </si>
  <si>
    <t>Pedro Suárez</t>
  </si>
  <si>
    <t>...... 185. 20. Id. Pedro Suarez........................ Josef, Lorenza Suarez......... S. Román.... León......... 371- ao. Id. Josef Martinez............ Manuel, Ana Ortega......... Amusco......... Pal</t>
  </si>
  <si>
    <t>Suárez, Rafael</t>
  </si>
  <si>
    <t>Rafael Suárez</t>
  </si>
  <si>
    <t>cados de do*4 tacion y . las visitas de los enfermos pudientes* y el Ayuntamiento ¡ha comisionado á D. Rafael Suarez para recibir los ^memoriales de ios q ue aspiren á dicha plasta. Los recibirá basta fin de Agosto, y la elección se hará el dia i«° de Octubre en el mas benemérito. ; , &gt; ‘ ~ ; ..</t>
  </si>
  <si>
    <t>Subirats, Juan</t>
  </si>
  <si>
    <t>Juan Subirats</t>
  </si>
  <si>
    <t>o. ... E n el Real cuerpo de Artillería se ha servido S. M. promover á Tenientes á los Subtenientes D. Juan Subirats, D. Antonio Martinez, Don Bartolomé Navarrete, D. Santiago Fernandez, D. Felipe López de Arjona, D. Joseph Rivera, D. Joseph Cabrera, D. Ignacio Salens , D. M.a-. nuel Vázquez, D.</t>
  </si>
  <si>
    <t>Suffolcksi, Lord</t>
  </si>
  <si>
    <t>Lord Suffolcksi</t>
  </si>
  <si>
    <t>acificó* que han puesto fin á la guerra.”- • ; ; 1 c .. ' En la Cámara altapreguntó el mismo día el Lord Suffolcksi algún, vocal perriianecu en la intención de pedir se votasen- gracias] á los anteriores Ministróse porsnbaena conducta: pues en tal caso estaba en ánimo de señalar dia para pospon</t>
  </si>
  <si>
    <t>Suinaga, Juan Agustín</t>
  </si>
  <si>
    <t>Juan Agustín Suinaga</t>
  </si>
  <si>
    <t>de San Pedro, á D. Eusebio Joseph Vejerano: para el Corregimiento de letras de la ciudad de Toro á D. Juan Agustín Suinaga : para el de la villa de Mancha Real á D. Miguel Calveton: para el de las quatro villas de la Hoya de Málaga á D. Pedro Antonio Caballero: para el de la ciudad de Baeza á D. Pedro</t>
  </si>
  <si>
    <t>Sultán del Masur</t>
  </si>
  <si>
    <t>taja respecto de los que no hayan subscripto. Memorias del famoso Tippoo-Zaib , Sultán del Masur , hijo del célebre HeyderAly-Kan. Las gazetas de Europa repitieron muchos años los nombres y hazañas de estos dos guerreros ilustres, cuyas prendas militares fuéron dignas de mejor suert</t>
  </si>
  <si>
    <t>Sultán Gali-Selim-Kan</t>
  </si>
  <si>
    <t>dos del mundo: Yo que soy Sultán hijo de Sultán, y Emperador hijo de Emperador, Sultán Gali-Selim-Kan, hijo del Sultán Mustafá-Kan, hijo del Sultán Achmeto-Kan: hago manifiesto por el sublime presente acto de nuestra potestad imperial y de nuestro califado, que en virtud del artículo xi</t>
  </si>
  <si>
    <t>Sultán Mustafá-Kan</t>
  </si>
  <si>
    <t>hijo de Sultán, y Emperador hijo de Emperador, Sultán Gali-Selim-Kan, hijo del Sultán Mustafá-Kan, hijo del Sultán Achmeto-Kan: hago manifiesto por el sublime presente acto de nuestra potestad imperial y de nuestro califado, que en virtud del artículo xix del tratado definitivo de p</t>
  </si>
  <si>
    <t>Suria, Francisco</t>
  </si>
  <si>
    <t>Francisco Suria</t>
  </si>
  <si>
    <t>res, de criar los de nido, y de echar las paxareras de canarios, sus enfermedades y medicinas'} por D. Francisco Suria. Se hallará en la iibrería de Pablo, calle de Atocha, frente á los Gremios} en Cádiz en la de Pajares, en Sevilla en la de Caro, y en Barcelona en la de Üson. Sermones morales y p</t>
  </si>
  <si>
    <t>Suwarow-Rimr, Conde</t>
  </si>
  <si>
    <t>Conde Suwarow-Rimr</t>
  </si>
  <si>
    <t>se publicará aquí la historia de las campañas enaltaba y Suiza del Generalísimo Príncipe Italiski, Conde Suwarow-Rimr nisíd. Se dividirá la obra en tres partes-, y contendrá gran número de mapas y planes executados por los mejores profesores, y toda la correspondencia de dicho General y varios he</t>
  </si>
  <si>
    <t>Suzao, Príncipe</t>
  </si>
  <si>
    <t>Príncipe Suzao</t>
  </si>
  <si>
    <t>antes de" mucho y enviarlos presos á Constantinopla. , £1 Gran Seqor ha desterrado á la Natolia al Príncipe Suzao, Hospedar ide Valaquia, sin, embargo de las instancias que en su favor han hecho los magnatesdetoda^queila provincia. Le acusan de haber contribuido á infundir terror eú^su princi</t>
  </si>
  <si>
    <t>Suzzb, Miguel (príncipe)</t>
  </si>
  <si>
    <t>Príncipe Miguel Suzzb</t>
  </si>
  <si>
    <t>e las-Siéfe*Montañas perteí4eGient,e al EníA^ esta^1 noticias particulares añade imá; gazéta i ,yEl Príncipe Miguel Suzzb pHospbdar dé Valaquia x que ha. abandonado ■ $&amp;■ residencia de BacbáÍ*(Mt"|jarar refugiarse eÉ1'los éstadb^del ’£mperaddr: de Alemania\ se ha~ Haba el*l^d?é^corííéht€Í|n t^tíst^^^</t>
  </si>
  <si>
    <t>Suzzo, Alexandro (príncipe)</t>
  </si>
  <si>
    <t>Príncipe Alexandro Suzzo</t>
  </si>
  <si>
    <t>12 l8 al Príncipe Alexandro Suzzo, Hospodar de Moldavia; y ha nombrado en stx lugar al Príncipe Morusi,. confiriéndole dicha dignidad por toda su vida, lo qualha hecho también con el Príncipe Ipsilanti, nuevo Hosp</t>
  </si>
  <si>
    <t>Suzzo, Miguel (príncipe)</t>
  </si>
  <si>
    <t>Príncipe Miguel Suzzo</t>
  </si>
  <si>
    <t>TO DE 1802. Constant inopia 14 de Junio. Se asegura que se había enviado de aquí el fatal cordon al Príncipe Miguel Suzzo, Hospodar de Valaquia, poco ántes que huyese tan precipitadamente de Buchárest. Parece que la Sublime Puerta ve con sobresalto la ocupación de la Georuia por los rusos, y la guerr</t>
  </si>
  <si>
    <t>DE MADRID DEL VIERNES 29 DE OCTUBRE DE 1802. Constantinopía- j/ de Agosto. D ase por cierto qüe' el Príncipe Miguel Suzzo ha conseguido el perdón del Sultán por mediación de su sobrino el Príncipe de Valaquia, quien hizo presente al Gran Señor q«e su tio, sugeto de avanzada edad, no había huido de sú</t>
  </si>
  <si>
    <t>Sympson</t>
  </si>
  <si>
    <t>ns, nuestro Cónsul en Gibraltar , incluyen la desagradable noticia de Iiaber llegado á aquel puerto Mr. Sympson, Cónsul americano en Marruécos (que residía, como los demas Cónsules europeos, en Tánger). El Rey de Marruécos le obligó á salir precipitadamente de sus estados, dando ai mismo ti</t>
  </si>
  <si>
    <t>Ta, Francisco</t>
  </si>
  <si>
    <t>Francisco Ta</t>
  </si>
  <si>
    <t>fa, el Marques de la Solana, D. Arturo O-Neille, Duque de San Carlos, D. Francisco Xavier Castaños, D. Francisco Ta— raneo, el Marques de Alcocebar, D. Francisco Fguia, Duque de Frías, Duque del Infantado, D. Juan Ordoñez, D. Francisco Vallejo, D. Antonio López Sopeña, D. Antonio Hurtado, Condé</t>
  </si>
  <si>
    <t>Tabares de Ulloá, Francisco</t>
  </si>
  <si>
    <t>Francisco Tabares de Ulloá</t>
  </si>
  <si>
    <t>le, autores de doc escritos que concurriéron al premió , y.'la asignación de 200 rs. ofrecidos' por D. Francisco Tabares de Ulloá abpueblo de Musérois por haber acre-' dttado ‘ténér existentes y destetados en su feligresía 18 expósitos de la ca^ sa de esta capital. El vice-director distribuyó os premios ordi</t>
  </si>
  <si>
    <t>Tabares, Francisco</t>
  </si>
  <si>
    <t>Francisco Tabares</t>
  </si>
  <si>
    <t>udad., los 12 costeados por la sociedad, 12 por el Excmo. Sr.. Arzobispo, director, 2 por el censor D. Francisco Tabares de "UUoa,‘ 4.por el socio D. Juan Antonio de Hermostlla, 6 por un socio , y losj otros dos por D. Tomas Ricord y una persona particular ; habiendo ce-‘ dido para los fondos de la soc</t>
  </si>
  <si>
    <t>Taboada, Miguel</t>
  </si>
  <si>
    <t>Miguel Taboada</t>
  </si>
  <si>
    <t>e Lago, D. Juan María de Moráles, Dé 'Joseph Coppola, D. Pedro Antonio Casasola^'D. Joseph*Molina , D. Miguel Taboada, D. Pedro Espinosa, D. Ramón Varela ¿ D. Melchor Magrat, Don Antonio Laprieta, D. Francisco Ezpeleta, D. Juan Albérni, D. Joaquín Puertolas, D, Vicente Pinzón, D. Félix Muñoz, D.</t>
  </si>
  <si>
    <t>Tackson</t>
  </si>
  <si>
    <t>de de Cobentzel, Em* baxador de S. M. Imperial; Mr. de Markoff, Ministro plenipotenciario de Rusia; Mr. Tackson, Ministro de Inglaterra; Mr. de Luchesini, Plenipotenciario de Prusia, y Mr. Dreyer, Enviado extraordinario de Dinamarca. Asimismo, Mr. de Reitzenstein entregó al primer Cónsul un</t>
  </si>
  <si>
    <t>Tacón, Joseph</t>
  </si>
  <si>
    <t>Joseph Tacón</t>
  </si>
  <si>
    <t>D. Mariano Vives, Don Juan de la Garma j D. Miguel Plowes, D. Marcos Funguion, D. Bernardo■ Tacón, D. Joseph Tacón, D. Francisco Boneo, D. Félix Gastambide, y D. Antonio Cortada, Madrid 1$ de Octubre. E 1 Rey se ha dignado nombrar para la Vara de Alcalde mayor de I2 villa de Viar, en el Reyno</t>
  </si>
  <si>
    <t>Tacón, Miguel</t>
  </si>
  <si>
    <t>Miguel Tacón</t>
  </si>
  <si>
    <t>nadoy Piméntel,:D. Miguel del Busto, D. Manuel Fu-* ne?&gt;, IX Vicente Burragi, D. Manuel Echevarría, D. Miguel Tacón, Don ~ T' ^ ü*t:—Ívnr/lííín . h/Hípon flp TnrD. Meliton Fere* del tamino, u. Ignacio uc..vi4u^ teo Alendólo Vologoini.'D..Antonio Rarzohy Alc.bar, D. N.colas DanreR y l-ándelino,</t>
  </si>
  <si>
    <t>Tafalla, Juan</t>
  </si>
  <si>
    <t>Juan Tafalla</t>
  </si>
  <si>
    <t>umento de la Flora Peruviana y Chítense ha enviado al Rey Ntro. Sr. desde Lima el botánico de S. M. D. Juan Tafalla, sucesor de aquellos en dicha expedición. Contienen dichos caxones So dibuxos de preciosas plantas » arbustos y árboles» iluminados todos con sus colores naturales ; las correspon</t>
  </si>
  <si>
    <t>Talbot, Conde</t>
  </si>
  <si>
    <t>Conde Talbot</t>
  </si>
  <si>
    <t>ridor y propagador del beneficio de la vacuna. EL navio de la compañía oriental inglesa nombrado el Conde Talbot zozobró en los mares de la China á fines del año de i8co, sin que siquiera te librase una persona de lasque iban á bordo._ Al hacer dias pasados una excavación cerca de Stencbenge</t>
  </si>
  <si>
    <t>Talens de la Riva, Christóbal</t>
  </si>
  <si>
    <t>Christóbal Talens de la Riva</t>
  </si>
  <si>
    <t>, yeguar y caballar en las propiedades pequeñas: una medalla de' plata con el nombre del premiado á D. Christóbal Talens de la Riva , Al-J cuide mayor de la ciudad de Gandía, autor de una mémoria» sobre losmedios y arbitrios de mas pronta y fácil realización para la minoración, ocupación y socorro dé los mendi</t>
  </si>
  <si>
    <t>Talíeyrand</t>
  </si>
  <si>
    <t>ón completa y entera, y por un convenio posterior (el de París firmado entré.el ciud. Talíeyrand, el Ministro ruso Conde de MarkoíF,y el de Baviera Mr. de Cétto): que esta ocupación militar no será én perjuicio al gobierno civil, ni atrasará el despacho de</t>
  </si>
  <si>
    <t>Talleyrand</t>
  </si>
  <si>
    <t>Este breve lo recibió en París el Cardenal Caprara, quien lo puso en manos del ciud. Talleyrand, Ministro de Relaciones exteriores. El Sto. Padre envió al gran Cabildo de Arensberg otro breve casi semejante al del Elector. Ratisbona £ de Marzo. A yer se j</t>
  </si>
  <si>
    <t>rreglar el asunto de los resarcimientos, y se ajustó y firmó el convenio por el ciud. Talleyrand, Ministro de Negocios extrangeros, y los Ministros de las principales cortes interesadas. En vista de esto se cree que no habrá ya diputación extraordinaria de</t>
  </si>
  <si>
    <t>Alexandro Kourakin, en nombre del Emperador de «Rusia, ha enviado por manos del ciud. Talleyrand, Ministró de Relaciories^exitériores, al ciud. Lesparat, jurisconsulto:; y autor de una obra en 2 tomos en.4.0 intitulada jj Metrológias constitucional y-primi</t>
  </si>
  <si>
    <t>rio una agradable explicación, comunicándole la seguridad que de oficio dio á su Embaxador en París Mr. Talleyrand, Ministro de Relaciones exteriores. He aquí palabra por palabra esta seguridad según la comunicó el Embaxador: ,,Podéis estar seguro de que solamente se ha convenido con la Rusia</t>
  </si>
  <si>
    <t>á la diputación das dos notas importantes y conformes entre sí firmadas por el ciud. Talleyrand y el Príncipe Kourakin, Ministros de Estado de Francia y Rusia, y entregadas por el ciud. Laforet y el Barón de Buhler, Ministros de las dos potencias en Ratisbona</t>
  </si>
  <si>
    <t>ificó el 18 de Setiembre el tratado firmado en París el 5 de dicho mes entre el ciud. Talleyrand, el Marques de Luche-sini y el Barón de Cetto, Ministros de Francia , Prusia y Baviera, y al qual accedió el Conde de MarcoíF, Plenipotenciario de Rusias En di</t>
  </si>
  <si>
    <t>Ferrari ha sido nombrado su hermano Pedro Ferrari. Según noticias de Nápoles el ciud. Talleyrand, Ministro de Relaciones exteriores de la R epública francesa, ha avisado de cñcio~al Marques de Gallo , Fmbaxador de S~ M. Siciliana en Paris, que' en fuerza d</t>
  </si>
  <si>
    <t>os." ^ Mientras que la Francia disponía s* expedición contra; A.rgel entregó el ciud. Talleyrand, Ministro de Estado de la República , una nota á nuestro Embaxador en París informándole dé los intentos del gobierno francés contra los argelinos. En ella dec</t>
  </si>
  <si>
    <t>Tamara</t>
  </si>
  <si>
    <t>ruso el dia i.° del año griego: pues ademas de remitirle preciosos regalos, convidó á la esposa de Mr. Tamara para que acompañase un dia entero á su hermana. Salió á recibirla el Almirante á la escalera, le dió el brazo, y la fue acompañando como pudiera hacerlo el mas cortesano europeo.</t>
  </si>
  <si>
    <t>Tamariz y Moure, Francisco</t>
  </si>
  <si>
    <t>Francisco Tamariz y Moure</t>
  </si>
  <si>
    <t>Doininicis#y Montan!, D. Francisco del Ñero , D;. Miguel Ortiz Canela, D.-FelicianoMallen y Ramos, D. Francisco Tamariz y Moure, D. Gregorio A'guádo'y Payan * D. Joseph Rovira y Mico rD. Francisco Lazarte y A-valf, Antonio Pardo de Andrade, D. Bernardo de Eguia y Sanz, Don Joseph*García Güitléfmi, D. Pedro</t>
  </si>
  <si>
    <t>Tamariz, Joseph</t>
  </si>
  <si>
    <t>Joseph Tamariz</t>
  </si>
  <si>
    <t>r de Barrameda, arzobispado de.Sevilla, vacante por fallecimiento de D. Manuel Silvestre Arlegui, á D. Joseph Tamariz: para el Préstamo de Villoslada , en la diócesis de Segovia, vacante por muerte de P. Manuel Arguelles, á D. Telésforo Ma~ drazo: para el medio Préstamo de la parroquial de S. Mig</t>
  </si>
  <si>
    <t>Tamayo y Reynalte, Francisco</t>
  </si>
  <si>
    <t>Francisco Tamayo y Reynalte</t>
  </si>
  <si>
    <t>Ignacio Munive, D. Juan de Latre y Aissa, D. Tomas Urrecha y Assua, D. Ramón de Móyua y Mazarredo, D. Francisco Tamayo y Reynalte, D. Joseph Carássa y Figueroa, D. Francisco Xavier Saravia, D. Ramón Torre y Pellicer, D. Manuel Bernal y Petriz, D. Antonio Nuñez Fálcon, D. Joaquín Elgueta y Hernández , D.Franc</t>
  </si>
  <si>
    <t>Tamayo, Antonio</t>
  </si>
  <si>
    <t>Antonio Tamayo</t>
  </si>
  <si>
    <t>de granaderos al de fusileros Don Joseph Moral, y á la Subtenencia de bandera que resulta al Cadete D. Antonio Tamayo : en el de infantería de Nüeva-España á Capitán al Ayudante D. Agustín de la Vina ; á Ayudante al Teniente de granaderos 1). Joseph Fernandez ; á Teniente de granaderos al de fusi</t>
  </si>
  <si>
    <t>Tambor Antonio Galves</t>
  </si>
  <si>
    <t>4. 22. Id. Tambor Antonio Galves.. Juan, Josefa Oliva.............. GuadalcanaL. 38. 21. Licenciado. Dionisio Fernandez.....*, . .Padre</t>
  </si>
  <si>
    <t>Tambor Pascual Carranza</t>
  </si>
  <si>
    <t>11. 9. Id. Tambor Pascual Carranza.. Josef, Vicenta Sencio........... Zaragoza..... Zaragoza......... 150. 13. Licenciado. Josef Angulo.....Francisco, Teresa Lozano..</t>
  </si>
  <si>
    <t>Tames, Francisco</t>
  </si>
  <si>
    <t>Francisco Tames</t>
  </si>
  <si>
    <t>pañía de Fusileros. Francisco Tames....... Francisco, María Lorenzo.. Riocaliente... Oviedo., X09. 33* Muerto* Pedro González......... P</t>
  </si>
  <si>
    <t>Taranco, Francisco</t>
  </si>
  <si>
    <t>Francisco Taranco</t>
  </si>
  <si>
    <t>es. Para la Comandancia general de la provincia de Guipúzcoa ha nombrado S. M. al Mariscal de Campo D. Francisco Taranco, Gobernador de la plaza de Gerona : para este Gobierno al Brigadier -D. Joaquin de Mendoza, Gobernador de la de Oüvenza: para el de la plaza de Tdrtosa al Mariscal de Campo D. Man</t>
  </si>
  <si>
    <t>Tarrius, Juan</t>
  </si>
  <si>
    <t>Juan Tarrius</t>
  </si>
  <si>
    <t>olás de Mora, D. Fermín Roméo, D. Francisco Merino, D. Manuel María Pus* terla, D. Francisco Ayóla, D. Juan Tarrius, D. Manuel de Miedes, Don Francisco Dionisio Vives, D. Joseph Canellas, D. Joseph García Orozco, D. Joaquín Regnart y Pont, D. Domingo Larripa, £&gt;. Juan Rayberte, D. Juan Borlasca</t>
  </si>
  <si>
    <t>Tassoni</t>
  </si>
  <si>
    <t>57 Parnta 8 de Diciembre, E 1 ciud. Tassoni, Ministro de la República cisalpina cerca de S. M. el Rey de Etruria, llegó ayer á esta ciudad, y mañana será presentado á S. A. R. el Sr. Infante Duque. Milán</t>
  </si>
  <si>
    <t>e derechos los géneros que se envíen á ella por tierra. .Milán 26'de Marzo. E 1 ciud. Tassoni , Encargado de Negocios de esta República cerca del Rey de Etruria, ha comunicado á aquel Soberano en audiencia extraordinaria la instalación del nuevo gobiern</t>
  </si>
  <si>
    <t>Tatuara</t>
  </si>
  <si>
    <t>asase al kioske llamado de Aynali-Cavak , en donde se hallaría el Kaymacan para presentarle á S. A. Mr. Tatuara, Embaxador de Rusia, y el Embaxador de Prusia manifestaron en esta ocasión las atenciones y cortesía que acostumbran usar con los agentes de Francia.” ,, Noticias sóbrelos tiltimo</t>
  </si>
  <si>
    <t>Taváres, Francisco</t>
  </si>
  <si>
    <t>Francisco Taváres</t>
  </si>
  <si>
    <t>su colección , ilustrando dicha noticia con notas y observaciones críticas. Beneficencia. El socio D. Francisco Taváres ofrece 500 rs. al pueblo que respecto de su vecindario tenga prohijados mayor número de expósitos , como no baxen de diez, y sean de los de la casa de esta capital. Otro de 300 rs</t>
  </si>
  <si>
    <t>Tavira, Antonio</t>
  </si>
  <si>
    <t>Antonio Tavira</t>
  </si>
  <si>
    <t>, D. Rodrigo Tavira, D. Francisco Traspalados ¿ D. Leopoldo Menendez , D. Manuel de la Riva Agüero, D. Antonio Tavira y D. Ignacio de Emparan: de geometría elemental, hasta los planos exclusive, D. Ignacio de Emparan, D. Sebastian de Lasa, D. Joseph de Berrosteguieta y D. Fernando Adan de Yarza: de g</t>
  </si>
  <si>
    <t>ira, D. Francisco Trespaiacios y D. Leopoldo Menendez. De geometría elemental y trigonometría plana D. Antonio Tavira y D. Manuel de ia Riva-Agüero, Cadete de Reales Guardias Walonas. De geometría elemental, trigonometría plana y parte de la geometría práctica D. Ignacio Emparan y D. Sebastian Lasa.</t>
  </si>
  <si>
    <t>Tavira, Pedro</t>
  </si>
  <si>
    <t>Pedro Tavira</t>
  </si>
  <si>
    <t>eph Antonio de Ojea, y el Subteniente D. Antonio Isidoro de Ojea!,; fuéron examinados de aritmética D. Pedro Tavira, D. Rodrigo Tavira, D. Francisco Traspalados ¿ D. Leopoldo Menendez , D. Manuel de la Riva Agüero, D. Antonio Tavira y D. Ignacio de Emparan: de geometría elemental, hasta los pla</t>
  </si>
  <si>
    <t>al, Ln el ba) le, al cargo de su maestro D. J uan Castro, D. Joseph Kindelan , Don Ignacio Empatan, D. Pedro Tavira, D. Rodrigo Tavira, D. Antonio Gil-, mán, D. Fernando Adan de Yarza, D. Manuel de la Riva Agüero, D. Joseph Cia, D. Leopoldo Menendez, D. Joseph de Torres, D. Joseph Munive, D. Lu</t>
  </si>
  <si>
    <t>entín Martinez y D. Antonio Abaxos: de aritmética y parte de geometría elemental D. Rodrigo Tavira, D. Pedro Tavira, D. Francisco Trespaiacios y D. Leopoldo Menendez. De geometría elemental y trigonometría plana D. Antonio Tavira y D. Manuel de ia Riva-Agüero, Cadete de Reales Guardias Walonas.</t>
  </si>
  <si>
    <t>Tavíra, Pedro</t>
  </si>
  <si>
    <t>Pedro Tavíra</t>
  </si>
  <si>
    <t>uinMedrano, P- Francisco Neeochea, D. Joseph Gaytan, D. Luí* Duran* D- .Manan®: Zapata, D.JEodngo y D. Pedro Tavíra, D. Leopoldo Menead», P- JosephTorres, D. Luis Vidarte, i D-Í'o¿qum del ÍÜo, D. Frabciscf» trespalaeios y D, JuanEantista Geram; los seminaristas D. Joseph María Munive y D. Agust</t>
  </si>
  <si>
    <t>Tavira, Rafael</t>
  </si>
  <si>
    <t>Rafael Tavira</t>
  </si>
  <si>
    <t>Cosío , D. Joseph Vaca, D. Francisco Man glano, D. Miguel García Sacristán , D. Bartolomé Sandoval, D. Rafael Tavira, D. Manuel de la Isla, D, Félix Pérez Vidal, Francisco de Paula Pa^ía, D. Fernando Sandoval, D. Francisco dé Yeste , D. Lorenzo Villavicencio, D. Agustín Rodríguez, D. Juan Bascon</t>
  </si>
  <si>
    <t>Tayllerand</t>
  </si>
  <si>
    <t>5 navios de línea. León go de Diciembre. A ntes de ayer llegó á esta ciudad el ciud. Tayllerand, Ministro de Reía-* dones exteriores. Los diputados cisalpinos le visitáron: y hoy dio una comida á gran numero de ellos. El limo. Vizconti,. Arzobispo de Milá</t>
  </si>
  <si>
    <t>97 Caíllard, que sirve la Secretaría de Estado en ausencia del ciud. Tayllerand. Créese que dichos bienes se cederán á la República, y que á sus dueños les darán indemnizaciones en Alemania. Brusélas 2 de Enero, D e algunos dias á esta par</t>
  </si>
  <si>
    <t>Tayme Crawfurd</t>
  </si>
  <si>
    <t>s que ha-r bia en Friburgo se cerrará al propio tiempo. Wessel 8 de Enero. M r. Tayme Crawfurd, Ministro ingles, pasó el 26 del mes último por Hannóver: viene de Hamburgo, y se restituy e á Inglaterra por Holanda. El tribunal criminal extraordinario establecido en Borhum ha dado prin</t>
  </si>
  <si>
    <t>Tcurneil, Felipe</t>
  </si>
  <si>
    <t>Felipe Tcurneil</t>
  </si>
  <si>
    <t>. Bruno Palacio*, D. Juan Elizalde y Uztariz, D. Tomas Herrera y Cruzat, D. Juan Ignacio Bustillos, D. Felipe Tcurneil, D. Pedro Esquível, D. Pedro de Mesa, D. Ignacio Olaeta, D. Joaquín Gómez Barreda, D. Benito Santacilia, D. Cosme- Carranza, D. Joseph Melendez, D. Antonio Pareja, D. Francisco Pi</t>
  </si>
  <si>
    <t>TE, Pedro Antonio</t>
  </si>
  <si>
    <t>Pedro Antonio TE</t>
  </si>
  <si>
    <t>D. Alonso VtlUfáñe, D. Cayetano Marimon * D. Jbseph Barón de Mer , D. Alexáñdro Conde de.Coupigni, D. Pedro Antonio TE^éjo, Don Pedro Fermín de Meiidinueta, el Marques Dpuchét, P. Ramón Fernández Idarga , D. JuaW Bássecourt, D. Jaán Joseph de San Juan; I). ToriSid Montes, D. Gerónimo Peinado, el C</t>
  </si>
  <si>
    <t>Tealdo, Agustín</t>
  </si>
  <si>
    <t>Agustín Tealdo</t>
  </si>
  <si>
    <t>ros D. Joseph Argamasilla: en ei de Granada á Capitán de fusileros al primer Teniente de granaderos D. Agustín Tealdo, y á primer Subteniente al segundo D. Juan Dabalete: en el de Guadalaxara á primer Teniente de granaderos al de fusileros D. Rafael Líanzá : en el de León á Capitán de fusileros a</t>
  </si>
  <si>
    <t>TefradellasyP, Francisco</t>
  </si>
  <si>
    <t>Francisco TefradellasyP</t>
  </si>
  <si>
    <t>rreño* D. Joseph de Vargas, D.JoaquinBlake, D. Carlos Luxan,D._ Vidal Marín, el Conde de Cotdagués, D. Francisco TefradellasyP. Manuel dé Mi randa, D. Rodulfo Gautier, Marques de CaSteldosrius, D. Juan Manuel de Villeoa, el Marques de Monsalud, D. Francisco Palafox, D. Joseph Ortiz, D. Carlos Aguado, D. A</t>
  </si>
  <si>
    <t>Tejada, Joseph</t>
  </si>
  <si>
    <t>Joseph Tejada</t>
  </si>
  <si>
    <t>oseph de la Serna; el de Subteniente de la compañía de minadores del primer batallón al Subteniente D. Joseph Tejada, y el de Guarda Almacén ordinario de artillería de la plaza del Peñón al Sargento del propio ramo D. Ignacio Ruiz. En el Real cuerpo de Ingenieros del exército ha promovido S. M.</t>
  </si>
  <si>
    <t>Tejeda, Vicente</t>
  </si>
  <si>
    <t>Vicente Tejeda</t>
  </si>
  <si>
    <t>70. 23. Muerto. Vicente Tejeda........ Vicente, Isabel González.. Madrigal..... León............... IOO. 18. Id. Antonio Revenga..... Juan, Simona</t>
  </si>
  <si>
    <t>Telésforo Ma</t>
  </si>
  <si>
    <t>el Préstamo de Villoslada , en la diócesis de Segovia, vacante por muerte de P. Manuel Arguelles, á D. Telésforo Ma~ drazo: para el medio Préstamo de la parroquial de S. Miguel de la villa de Muía, en la diócesis de Cartagena, vacante por fallecimiento de D.'Valentín González, á D. Joseph Verge</t>
  </si>
  <si>
    <t>Telmo, Francisco</t>
  </si>
  <si>
    <t>Francisco Telmo</t>
  </si>
  <si>
    <t>1. 4. Id. Francisco Telmo................... Manuel, Cecilia Lorenzo... S. Mateo......... Tuy.............. 300. 26 Muerto. Francisco Barreyro............. Antonio, Ana Soste</t>
  </si>
  <si>
    <t>Temple, Lord</t>
  </si>
  <si>
    <t>Lord Temple</t>
  </si>
  <si>
    <t>rno, no puede presentarlos á la Cámara. El dia 6 se yenováron estos debates con ocasión de pedir el Lord Temple qúe se comunicasen los documentos relativos á la isla de Malta, con un estado de sus rentas territoriales", y de lo que produce el comercio á aquel gobierno. Concedida esta solici</t>
  </si>
  <si>
    <t>Teodoro Bathyani, Conde</t>
  </si>
  <si>
    <t>Conde Teodoro Bathyani</t>
  </si>
  <si>
    <t>te otro convoy sueco que está en litigio. ■ Viena il de Julio. H a salido de aquí para Presburgo el Conde Teodoro Bathyani con su esquadriila compuesta de 6 embarcaciones: á su salida saludó á la ciudad con 3 descargas de artillería. Antes que Baswan Oglow invadiese la Valaquia recurrió la Tuerta otom</t>
  </si>
  <si>
    <t>Teodoro de Alméyda</t>
  </si>
  <si>
    <t>* • Nuevo método para ensefiar la geografía á los nifios , escrito en portugués y francés por el P. D. Teodoro de Alméyda; puesto en castellano, é igualmente en francés, por D. Ferrando Romero de.Leis: esta obrita sirve- para entender la parte geográfica délas gazetas, mercurios &amp;c¡', y enterarse con</t>
  </si>
  <si>
    <t>Teodoro la Calle</t>
  </si>
  <si>
    <t>arrera de S. Gerónimo. Otelo, ó el Moro de Venecia, tragedia en ¿ actos , traducida del francés por D. Teodoro la Calle. Se hallará en las librerías de Sancha , calle del Lobo y del Príncipe, y en el puesto de Sánchez, frente al coliseo de la calle del Príncipe : su precio 4 rs. El Negro y la Blan^</t>
  </si>
  <si>
    <t>. .... 481. 19. Id. Teodoro la Calle.................. Félix, Lorenza Linares..... Búrgos.......... , Búrgos....... 4x1. 8. Id.</t>
  </si>
  <si>
    <t>Teotochi</t>
  </si>
  <si>
    <t>Conde de Orio, su Consejero de Estado, para que ocupase en aquella República el empleo de Príncipe. Mr. Teotochi, que entonces le ocupaba á satisfacción pública, sabiendo que el Conde de Orio había llegado á Brindis, arengó al pueblo , excitándole á no admitir á extrangeros para las dignidad</t>
  </si>
  <si>
    <t>Teran, Francisco Antonio</t>
  </si>
  <si>
    <t>Francisco Antonio Teran</t>
  </si>
  <si>
    <t>Rey se ha servido nombrar para una Canongía dé la catedral de Oviedo^ vacante por fallecimiento de D. Francisco Antonio Teran , á Don A lfonso Sánchez Ahumada: para" ót^^ :D. Severo. Añqriani, Canónigo de la catedral de Gerona: para otra j4efía&gt;áe Gerona , va-': cante por promoción de D. Pedro .María de</t>
  </si>
  <si>
    <t>Teresa Castellar y Morales, María</t>
  </si>
  <si>
    <t>María Teresa Castellar y Morales</t>
  </si>
  <si>
    <t>mentos que califiquen sus circunstancias de practica y habilidad. ■ ■* Quien supiere el paradero de Dona María Teresa Castellar y Morales (ó da sus herederos), viuda de D. Andrés May re, le. avisará se presente á IX Plácido Botino, oficial retirado en Valencia , que vive en dicha ciudad , calle de los Aslíos , piñén</t>
  </si>
  <si>
    <t>Teresa de Ugarte</t>
  </si>
  <si>
    <t>n esta con el núm. i£,manz. 379,pertenecientes á las memorias y obras pías que mandó fundar la Sra. Doña Teresa dé Ugarte, Condesa que fué de Pefiaflorida, las quales tienen de sitio 11,309! pies superficiales, y se hallan tasadas en 767,aÓ£ rs. Quien quisiere hacer postura acuda ante dicho Se— fior</t>
  </si>
  <si>
    <t>Teresa García</t>
  </si>
  <si>
    <t>os en 1r rs situados en término del lugar de Vallécas , pertenecientes á la memoria que en él fundó Doña Teresa García. Quien quisiere hacer postura á cada una d^ dichas fincas acuda ante dicho Sr. Alcaide por la escribanía de provincia de D. Juan A tooio Díaz Nóviega. . - . . , / Contemplando el</t>
  </si>
  <si>
    <t>Teresa Salcedo, María</t>
  </si>
  <si>
    <t>María Teresa Salcedo</t>
  </si>
  <si>
    <t>r derecho ó interes á los bienes ü.,cables del testador, ya provenga de su compañía matrimonial con Doña María Teresa Salcedo ó de otra Causa ; Ó que se hallaren con cuenta pendiente ó descubierto á favor del fondo hereditario , ó con noticia de algunos bienes, efectos ó derechos pertenecientes á este, q</t>
  </si>
  <si>
    <t>Teresa, María</t>
  </si>
  <si>
    <t>María Teresa</t>
  </si>
  <si>
    <t>las Sras. Doña Ramona de edad de 15 , Doña Joachma de 13 , Doña Luisa de 8 , Doña Francisca de 6, y Doña María Teresa de 2, que por vía de juguete pasaron todos seis tos trámités de la verdadera viruela vacuna con sus-verdaderos fenómenos de tal, cuya inoculación nó pudo practicarse, en la Sra. Doña</t>
  </si>
  <si>
    <t>Terreros, Santiago</t>
  </si>
  <si>
    <t>Santiago Terreros</t>
  </si>
  <si>
    <t>al Comisario honorario de Guerra D. Juan Joseph Marcó del Pont. * Honores de Contador de exército A D. Santiago Terreros, Oficial mayo/ de la Contaduría de exército de Aragón; á D. Juan Felipe Maíz, Oficial mayor de la Administración general de Rentas de la provincia de Madrid; á D. Juan de Lesaca,</t>
  </si>
  <si>
    <t>Terrón, Jacinto Francisco</t>
  </si>
  <si>
    <t>Jacinto Francisco Terrón</t>
  </si>
  <si>
    <t>Esteve, á D. Andrés Calabuig: para una Ración de la catedral de Coria, vacante por fallecimiento de Don Jacinto Francisco Terrón, á D. Andrés Perez Venturo, Cura de la parroquia del Sagrario de aquella catedral; y para el Beneficio servidero de Santo Tomé de los Caballeros de Salamanca, vacante por muerte d</t>
  </si>
  <si>
    <t>Terruelo, Pedro</t>
  </si>
  <si>
    <t>Pedro Terruelo</t>
  </si>
  <si>
    <t>27. 18. Id. Pedro Terruelo................. Lorenzo, Ana Fustel........... Castrocontrigo.Leon............... 172. Id. Cabo 2.“ Juan López......... Pedro, Benita Padin.........</t>
  </si>
  <si>
    <t>Tessier</t>
  </si>
  <si>
    <t>ue se le habia quedado en el canal intestinal. Murió á poco tiempo; y aunque ei ciud. Tessier , cirujano mayor de aquella enfermería, abrió su cadáver, sin embargo del olor insoportable que exhalaba, no encontró el tenedor. Su estómago era de una anchur</t>
  </si>
  <si>
    <t>Testa</t>
  </si>
  <si>
    <t>e le dio sepultura con los honores correspondientes á su empleo. Hasta que llegue su sucesor dirige Mr. Testa los negocios de la corte de Viena, como primer dragomán de la embaxada austríaca. Espérase aquí quanto antes ai General francés Vial, que viene á arreglar los asuntos mercantiles entr</t>
  </si>
  <si>
    <t>Tetros, Príncipe</t>
  </si>
  <si>
    <t>Príncipe Tetros</t>
  </si>
  <si>
    <t>adrid, 0,1 de{ SátldnbTti vA E 1 sábado 11 dé 'este riñes á las 6 dé la taídé llagaron lós /Reyes y Príncipe Tetros. Sres. y los Sres.; Infantes á Bareélona y. en donde&gt; SS. MM. y~ AA. permanecen sin novedad en su importante salud. El Rey se ha servido nombrar para una Canongía dé la catedral d</t>
  </si>
  <si>
    <t>Texedor, Miguel</t>
  </si>
  <si>
    <t>Miguel Texedor</t>
  </si>
  <si>
    <t>ía, D. Juan Méndez, D. Rafael Morales,. Agustín Arenas, D. Juan Amaro Pestaña, D. Manuel Fernandez, D. Miguel Texedor, D. Joseph de los Ríos, D. Guillermo Roo, IX Juan Antonio Heredia, D. Joseph de Chastre, D. Manuel Astor, Don Ramón Mijares, D. Francisco Alegría, D. Francisco Arnedo, D. Joseph d</t>
  </si>
  <si>
    <t>Texerizo, Henrique</t>
  </si>
  <si>
    <t>Henrique Texerizo</t>
  </si>
  <si>
    <t>este , D. Lorenzo Villavicencio, D. Agustín Rodríguez, D. Juan Bascon , D. Peclro Celés'tino Calvo, D. Henrique Texerizo, D. Benito Tolra Lafita , D. Serafín Alonso, D. Rafael Nestares, D. Joaquín Ruiz, D. Miguel Aguirre, Don JuanNuñez , D. Juan Navarro , D. Anselmo Plaza , D. Francisco González de</t>
  </si>
  <si>
    <t>Texeyro y Zafra, Ángel</t>
  </si>
  <si>
    <t>Ángel Texeyro y Zafra</t>
  </si>
  <si>
    <t>s y Donesteves, D. Vicente Guillen y Busaran, D. Antonio Leal de Ibarra, D. Juan de Vivero y Silva, D. Angel Texeyro y Zafra, D. Joseph María Autran, D. Joseph de Varas Barnóla, D. Bartolomé Pose Valledor, D. Juan Orozco y Herrera, D. Alexo Gutiérrez de Rubalcava, D. Martin Olavidey Andrade,D. Fernando</t>
  </si>
  <si>
    <t>Texier</t>
  </si>
  <si>
    <t>nada de la casa de inválidos, los campos Elíseos y toda la llanura de Ivrí. Los ciudadanos Texier, Alibert, Balsac y Valois han hecho varias experiencias para preservar al ganado lanar de la roña mediante la inoculación de la vaccina. Recientemente introdux</t>
  </si>
  <si>
    <t>Theotochi, Conde</t>
  </si>
  <si>
    <t>Conde Theotochi</t>
  </si>
  <si>
    <t>, hay otra del dia 14 hecha de resultas de- mochas conferencias que ha tenido dicho Ministro con el Conde Theotochi, Presidente del Senado; la quat es del tenor siguiente: ,, A los habitantes de las Siete-lslas-Unidas. El establecimiento extraordinario de un gobierno interino para las Siete-Isl</t>
  </si>
  <si>
    <t>Thermann</t>
  </si>
  <si>
    <t>pedirle la libertad de Aloys-Reding y de los demas presos; pero no consiguió sino permiso para, que Mr. Thermann, Secretario que ha sido de Estado, pueda visitar á Reding en su encierro del castillo de Arburgo. Entre tanto se sigue prendiendo á otras personas. Recientemente lo ha sido Mr.Wür</t>
  </si>
  <si>
    <t>Thibault</t>
  </si>
  <si>
    <t>n de la media brigada de infantería francesa núm. 17, del qual es comandante el ciud. Thibault.</t>
  </si>
  <si>
    <t>Thierry</t>
  </si>
  <si>
    <t>ault, Serretin y Denormandie, y el de Secretario general al ciüd. Crespeaux. El ciud. Thierry, vecino delHaye en el departamento del Indra y Loira, que es dueño de la casa en que nácíó Descartes , ha escrito al Ministro de lo Interior pidiéndola un bust</t>
  </si>
  <si>
    <t>Tholosé, General</t>
  </si>
  <si>
    <t>General Tholosé</t>
  </si>
  <si>
    <t>diéron á porfía para ir á aquella isla, y solicitáron la preferencia como una honra. He nombrado al General Tholosé, y se embarcará en la primer fragata que se haga á la vela para aquel destino: y he enviado orden al General Leclerc para que luego que llegue le confíe el mando del cuerpo de ing</t>
  </si>
  <si>
    <t>Thormann</t>
  </si>
  <si>
    <t>e ha conferido la .Secretaría del despacho de Estado de la República bátava al ciud. Thormann , que anteriormente fué Secretario del Senado. El ciud. Verninac , Ministro de Francia, reconoció este nuevo gobierno luego que se imtaló el pequeño Consejo, y</t>
  </si>
  <si>
    <t>Thureau, General</t>
  </si>
  <si>
    <t>General Thureau</t>
  </si>
  <si>
    <t>reunión dél Valais con el Tiamonte; y parece que se ha* encargado el nuevo arreglo de aquel país al General Thureau, que tiene ya su quartel en Sion. El viage del primer Landammami ¿ París da motivo a diversas conjeturas. Sin embargo * se cree que el primer Cónsul lo recibirá favorablemente * y</t>
  </si>
  <si>
    <t>Thüríeáu, General</t>
  </si>
  <si>
    <t>General Thüríeáu</t>
  </si>
  <si>
    <t>bra y Pontarlier han entrado en los cantones de Berna y Friburgo, se espera todavía la división del General Thüríeáu., compuesta de dos medias brigadas de infantería y un batallón de cazadores. " a Roma /p de Octubre. xiLcaba S. S. de dar otra prueba-de su amor á las bellas artes, mandando -se h</t>
  </si>
  <si>
    <t>Thurre, General</t>
  </si>
  <si>
    <t>General Thurre</t>
  </si>
  <si>
    <t>ección definitiva-de ios vocales; del Senado y (del tribunal;supremo.* . Ha pasado 'por- Lausana el General Thurre^U,rqiie va á-Parisv j , El número de tropas francesas' que han entrado; en Bienne no pasa de 600 hombres, y forman la guarnición de aquella ciudad &gt; en la que parece que habrá un</t>
  </si>
  <si>
    <t>Thurreau, General</t>
  </si>
  <si>
    <t>General Thurreau</t>
  </si>
  <si>
    <t>contecimientos recien acaecidos en el V alais ; y de resultas se asegura que se ha enviado orden al General Thurreau para que se retire de aquel pais.</t>
  </si>
  <si>
    <t>ros cuerpos á los cantones pequeños. El ciud. Rfister, individuo del Senado, ha ido á tratar con el General Thurreau , y pedirle que restablezca en sus destinos á los empleados que ha depuesto. Es dudoso que lo consiga por ahora. Roma 14 de Febrero. S e están haciendo grandes preparativos para r</t>
  </si>
  <si>
    <t>República la uniformidad de pesos y medidas. Basilea 2 e, de Abril. H a llegado aquí del Valais el General Thurreau, Comandante de las tropas francesas en aquel pais. Hay actualmente en esta ciudad 18 compañías de tropas helvéticas, y se esperan algunas mas. El ciud. Reding, que era primer Land</t>
  </si>
  <si>
    <t>Tiburcio del Riego</t>
  </si>
  <si>
    <t>ón de la Canongia que obtiene: para una Canongía de la catedral de Mondoñedo, vacante por muerte de D. Tiburcio del Riego, á D. Joseph de Turnes, Racionero de la catedral de Tuy; y para otra déla colegial de Santa Fe de Granada , vacante por fallecimiento de D. Andrés Guerrero á D. Joseph Zarate y Va</t>
  </si>
  <si>
    <t>Tiburcio Maquíeyra Serrador</t>
  </si>
  <si>
    <t>$88 D. Tiburcio Maquíeyra Serrador : un tomo en ii.° Esta obra es una de las mejores producciones del autor, y la que reuniendo las lecciones mas sublimes de la moral y la filosofía con las verdades prácticas , fac</t>
  </si>
  <si>
    <t>Tierney</t>
  </si>
  <si>
    <t>erá promovido á Par del Reyno, y entrará en el Consejo: le reemplazará como Canciller del Echíquier Mr. Tierney, y Mrs. Fox y Grey serán Secretarios de Estado. Con fecha del 20 de Octubre escriben de Nueva-Yorck que casi todos los habitantes de la ciudad la han abandonado huyendo á los camp</t>
  </si>
  <si>
    <t>ausa de los muchos buques de giferra que se hallan todavía en apostaderos muy distantes. Preguntóle Mr. Tierney quantos serian los marineros que se conservarían después de los 7 meses señalados; y le contestó que probablemente no pasarían de 30©.----Para gastos de las fuerzas terrestres se</t>
  </si>
  <si>
    <t>Timoteo Esteve</t>
  </si>
  <si>
    <t>rga: para la de la colegiata de la ciudad de S. Felipe, diócesis de Valencia, vacante por muerte de D. Timoteo Esteve, á D. Andrés Calabuig: para una Ración de la catedral de Coria, vacante por fallecimiento de Don Jacinto Francisco Terrón, á D. Andrés Perez Venturo, Cura de la parroquia del Sagr</t>
  </si>
  <si>
    <t>Timoteo Ortega, Joseph</t>
  </si>
  <si>
    <t>Joseph Timoteo Ortega</t>
  </si>
  <si>
    <t>aseplí María Ibarra, D. Joseph Ignacio Zarripolea, D.Jpseph lgpmo López, D. Juan Joseph Osuliivan , D. Joseph Timoteo Ortega y D.Francis^ |p Genaro de Cicero, que lo eran delpnismo batallón de milicias de Cam-r El dia 7 de Setiembre. úhin\o falleció yn la ciudad de Patencia á los 47</t>
  </si>
  <si>
    <t>Tirado, Francisco</t>
  </si>
  <si>
    <t>Francisco Tirado</t>
  </si>
  <si>
    <t>Coroneles! en España. D. Mateo Iruegas, D. Narciso Belloc, D. Agustra del Campo, Don Pedro Darsens, D. Francisco Tirado, D. Diego María Fiballer, D. Jayme García Conde, D, Manuel Jáuregui, D. Cárlos Reynaldp de Coup'igni, D. Joseph Lebrun, D. Manuel la Barre, D. Juan Bernardo Laporte, Don Felipe Cr</t>
  </si>
  <si>
    <t>Tirado, Francisco Antonio</t>
  </si>
  <si>
    <t>Francisco Antonio Tirado</t>
  </si>
  <si>
    <t>dias Españolas se ha servido promover el Rey á Capitán al primer Teniente y Comandante de cazadores Don Francisco Antonio Tirado; á segundos Tenientes á los Alféreces de cazadores y granaderos D. Rafael Roxas y D. Manuel Zorrilla; y en el!de Reates Guardias Walonas á primer Teniente de granaderos al pi-imer</t>
  </si>
  <si>
    <t>Tirso Martínez</t>
  </si>
  <si>
    <t>. 18. Licenciado. Tirso Martínez.... Juan, Ana Ezquerra....... . Sta. Cruz....... Búrgoi.......... 15. Id- Gregorio Dávila... Juan, Lucía</t>
  </si>
  <si>
    <t>Tirso Miguelez</t>
  </si>
  <si>
    <t>33. 6. Id. Tirso Miguelez......... . Fresno de la ’ Vega...... .. León.........</t>
  </si>
  <si>
    <t>Tiuener, Capitán</t>
  </si>
  <si>
    <t>Capitán Tiuener</t>
  </si>
  <si>
    <t>s-foUdós públicos. &gt; Hace 15 dias llegó al Támesié^na émbarcácion procedente de Egipto al mando del Capitán Tiuener, y cajrgáda de muchas antigüedades egipcias.</t>
  </si>
  <si>
    <t>Toaquin Mella y Barbeyto</t>
  </si>
  <si>
    <t>D. Gabriel Antolinez y Salazar, D. Fernando Govantes y Valdivia,.D..Joaquín de Arce y Fronce-, da , D. Toaquin Mella y Barbeyto, D. Joíeph Manuel Bilbao, D. Tuis; Tabón v Ro&lt;icme, D. Juan Dameto y,Sureda, D. Santiago Hurtado de Mendoza, Marque5 de Tabalosos, D. Joseph del Hoyo González, D.Manuel Reviray Al</t>
  </si>
  <si>
    <t>Tobías Lear</t>
  </si>
  <si>
    <t>e Sto. Domingo por el Almirante.Víllaret en busca de víveres.__ Esté gobierno ha recibido cartas de Mr. Tobías Lear, Cónsul de los Estados-Unidos en aquella isla, quien incluye una relación de los principales sucesos que ha habido en dicha colonia. Parece que en el CaboFrarxes no han quedado ma</t>
  </si>
  <si>
    <t>Tobías y Rodríguez, Joseph</t>
  </si>
  <si>
    <t>Joseph Tobías y Rodríguez</t>
  </si>
  <si>
    <t>. Pddro Cbntreras, D. Pedro Costales y Pareja, D. Lorenzo Ortiz Canela, D. Marcelino Dueñas y Vega, D. Joseph Tobías y Rodríguez, D. Rafael Domínguez Aguayo, D.. Jacinto Valdasano y Ros, D. Joseph Doininicis#y Montan!, D. Francisco del Ñero , D;. Miguel Ortiz Canela, D.-FelicianoMallen y Ramos, D. Francisco</t>
  </si>
  <si>
    <t>Tobias, Bautista</t>
  </si>
  <si>
    <t>Bautista Tobias</t>
  </si>
  <si>
    <t>l primer Teniente de granaderos D. Luis Basincourt: en el de suizos de Yann á Subteniente al Cadete D. Bautista Tobias; y en el de Betschart á Subteniente ai Sargento primero D. Juan Brugg. En el Real cuerpo de Artillería se ha servido S. M. conferir el empleo</t>
  </si>
  <si>
    <t>Todo, Tadeo</t>
  </si>
  <si>
    <t>Tadeo Todo</t>
  </si>
  <si>
    <t>se ha dignado promover á Portaestandarte del regimiento de caballería del Rey, primero de línea, á D. Tadeo Todo, Sargento del mismo cuerpo. • • •. * ’ Asimismo se ha servido promover el Rey 'á Sargento mayor del regí¿ miento de Húsares Voluntarios á D. Gerónimo Puig, Capitán del de Ganadore</t>
  </si>
  <si>
    <t>Tofifio, Vicente</t>
  </si>
  <si>
    <t>Vicente Tofifio</t>
  </si>
  <si>
    <t>a rectificaciones importantes , sacadas de los diarios y de las operaciones originales que practicó D. Vicente Tofifio en las costas de la península desde 1783 á 1789. Almanaít náutico y efemérides astronómicas para el afío de 1803 , calculadas de orden de S. M. para el Observatorio Real de la Isla</t>
  </si>
  <si>
    <t>Togores, Antonio</t>
  </si>
  <si>
    <t>Antonio Togores</t>
  </si>
  <si>
    <t>Fuente,* 0. Gonzalo Amigo, 0. Pedro Benavídes y Ramos* 0. Santiago María Ecetay.D. Luis del. Arco, Don Antonio Togores; y ]LlatpeCí» P* Manuel; Bete&amp;"Chuecos ■, 0. • Alonso Iguala* da y Negro, D. Antonio/Fernandez de Mej&amp;a,0.JosephFebrér y de Pcdkro r-jX;; Joaquín iFebrer y; d® Pedro* .DLiM&amp;nyeJe</t>
  </si>
  <si>
    <t>Tolhas Rocamora</t>
  </si>
  <si>
    <t>O-Snlivan, í). joseph de la Valle , Don Joseph Alvarez, D. Cárlos Meyner, D. Francisco Rodríguez , D. Tolhas Rocamora, D. Agustín Pinedo, D. Antonio Cordero,. D. Pedro Villaescusa, D. Miguel Emparan , D. Francesco Alburquerque, D. Blas González, D. Juan María de Soto, D. Francisco Caballero, D. I</t>
  </si>
  <si>
    <t>Tolin, Blas</t>
  </si>
  <si>
    <t>Blas Tolin</t>
  </si>
  <si>
    <t>60. 3*. Id. Blas Tolin......................... Francisco, Isabel Antón.... Itero de Vega. Palencia....... 200. Id. Tomas Vidal........................ Antonio, Manuela Fernandez...</t>
  </si>
  <si>
    <t>Tolra Lafita, Benito</t>
  </si>
  <si>
    <t>Benito Tolra Lafita</t>
  </si>
  <si>
    <t>avicencio, D. Agustín Rodríguez, D. Juan Bascon , D. Peclro Celés'tino Calvo, D. Henrique Texerizo, D. Benito Tolra Lafita , D. Serafín Alonso, D. Rafael Nestares, D. Joaquín Ruiz, D. Miguel Aguirre, Don JuanNuñez , D. Juan Navarro , D. Anselmo Plaza , D. Francisco González de la Vega, D. Joseph Anton</t>
  </si>
  <si>
    <t>Tolstoy, Conde</t>
  </si>
  <si>
    <t>Conde Tolstoy</t>
  </si>
  <si>
    <t>General Conde de Lilwen, él ^Ayudante mayor Príncipe de Wolkouskoy, el Chambelán Novossiltrof y el Conde Tolstoy, gran Mariscal de la corte. Aquella noche concurrió S. M. I. al teatro, en el que fué muy aplaudido y victoreado. De allí pasó al bayle que le tenia dispuesto la nobleza dé la ciu</t>
  </si>
  <si>
    <t>Tomaos de la Madrid</t>
  </si>
  <si>
    <t>...} D; FráhciscoJ5uráhgb e hijo mayor. ■Eñ %athórdi.'¿.i....’f Péré^áé'Tejada. En Zardgoza........,D. Tomaos de la Madrid.. En Zeuta...... D. Pedro Huguet, comisionado subalterno del de ( ¡ C^adlZ. , _ ' : •- ' . Real cédula de rS¿ M. y Sefiores del Consej?, :en que se prescriben las reglas que han d</t>
  </si>
  <si>
    <t>Tomasa Ribas</t>
  </si>
  <si>
    <t>ph Navarro, y escribanía de provincia de D. Pedro de Valladares , está radicada la testamentaría de Doña Tomasa Ribas, viuda deD. Juan del Canto, que falleció en ella abintestato el 14 de Febrero de 1801 ; se hizo almoneda de sus bienes, y por auto de dicho Sr. Juez de iz de Enero se manda llamar</t>
  </si>
  <si>
    <t>TomasiBí</t>
  </si>
  <si>
    <t>lt¿ ífq:;-.oT; XX x ktvusH í'io'J X^)X,‘XÁ á i:-A\p^es 4^iE:sqtiad^J^Sy^tigW^iXñe^túmiXj bb oh mi , D. TomasiBí1aní*,!D..^rifente jde?Ezéta^ M Nie¿la^ EltfadH, seph Pascual de Bonanza!, D.tJuanaRuiaj Apodaca t:P. Antoriio Escaño^ D. Juan Vicente, Yáñe*, D. Baltasar Cisñeros.^ D¿ JoSeph Bust</t>
  </si>
  <si>
    <t>Tomé, Matías</t>
  </si>
  <si>
    <t>Matías Tomé</t>
  </si>
  <si>
    <t>409. 14. Id. Matías Tomé...................... Manuel, Antonia Abad..:: Boa di Ha..... Búrgos........ . 349- 13- Id. Antonio Gonzt'ez.............. Francisco , María Ibañez... Jaén............</t>
  </si>
  <si>
    <t>Topete, Juan</t>
  </si>
  <si>
    <t>Juan Topete</t>
  </si>
  <si>
    <t>la EnoU na, D. Pedro Saenz de la Guardia, D. Salvador del Castillo, D. Joaquín Rodríguez de Ribera, D. Juan Topete, D. Joseph Quevedo y Cheza, D. Lino Truxiilo y Tacón, D. Antonio Miralles, D. Luis María de Salazar, D. Miguel Gastón y Navarrete, D. Antonio de la Torre Puebla, Don Francisco de</t>
  </si>
  <si>
    <t>Topete, Ramón</t>
  </si>
  <si>
    <t>Ramón Topete</t>
  </si>
  <si>
    <t>e y Liaño.- ¿i . -•;&lt;íri vo &gt;i r.csaoX .Cí t oiosin’ít'.Ci-íi-.j-.• ■ .ü cb r..’a : » - y ■ pj.A .L D, Ramón Topete^Di Ju|# Morales ^DaTlt}t?Mires.fa[, Di Ju^nri4ntt% nlo Salinas, D. Salvador Chacoñ, D, FernaBdorValcárcel y Vargas , Doii Eelipe Villaviccricio, &gt;D. Félix Azara, D-: Juan ^Herrera</t>
  </si>
  <si>
    <t>Toral, Pedro</t>
  </si>
  <si>
    <t>Pedro Toral</t>
  </si>
  <si>
    <t>.... '43. 22. Id. . Pedro Toral.............. . . Santiago, María Bercedo.. Destriana.... León.’....... 77. 4. Id. Josef Ximeno....... .............. . Agustin , Sebast</t>
  </si>
  <si>
    <t>Tórdi, Francisco</t>
  </si>
  <si>
    <t>Francisco Tórdi</t>
  </si>
  <si>
    <t>e , 0. Nicolás Angelí. Radovani, 0. Pedro Salas- , 0. Joseph Foraster, D. Francisco de PaulaiZayas, D. Francisco Tórdi, I&gt;. Joaquiti Ruiz, Don Ignacio Salazar , 0* Martin Boneo , D. CáriosDominieh , D.í Manuel de los Ríos , y Di Mariano Julián. : :... : Jl-r: ) » &gt;&gt;: . ^ . -.T ¡; i úEn.-segunMa fe</t>
  </si>
  <si>
    <t>Torenzo María de Villarroel</t>
  </si>
  <si>
    <t>derno, y pueden ir en carta. Ana Bolena : el Conde D. García de Castilla : tragedias compuestas por Don Torenzo María de Villarroel , Marques de Palacios. Se hallarán en la imprenta y librería de Blanques, calle de las Carretas, núm. 2. Disertación sobre la influencia de las matemáticas en las artes, con espec</t>
  </si>
  <si>
    <t>Toribio de Ugarte, Francisco</t>
  </si>
  <si>
    <t>Francisco Toribio de Ugarte</t>
  </si>
  <si>
    <t>s.antiguo de lá misma : para la de Oidor de Valenda, vacante por jubilación de D. Manuel Máhamud, á D. Francisco Toribio de Ugarte, Alcalde del Crímen^de la de Sevilla: para la Fiscalía del Crimen de esta, vacante por ascenso de,IX Ramón Navarro Pingarron.á plaza de.Alcalde de la dicha Real casa y corte, a D.</t>
  </si>
  <si>
    <t>Toribio García</t>
  </si>
  <si>
    <t>Roncal. 110. 3. Id. Toribio García.......... .. Antonio, Baltasara Mante- , , con.,...................... ..... Toralino.</t>
  </si>
  <si>
    <t>Toribio Martinez</t>
  </si>
  <si>
    <t>4&gt;o. 22. Id. Toribio Martinez................. Santiago , Teresa Omañas.. Villarramiel. Palencia......... 407. 18. Id. Isidro Casal...................... . Ignacio,DomínicaValcarcel.Lorenzana... León......</t>
  </si>
  <si>
    <t>Toribio Olalde</t>
  </si>
  <si>
    <t>n de su maestro D. Joseph Joachín de Guevara fuéron examinados D. Joachín del Rio, D. Luis Vidarte, D. Toribio Olalde, D. Joseph Mar ría Esquivel, D. Joseph Catalan, D. Blas de Lezo, D. Joseph Martínez, D. Luis Verganza y D. Zeferino Carrillo. En rudimentos.de latinidad, baxo la dirección de su m</t>
  </si>
  <si>
    <t>ga. Ln múrica vocal, al cargo de sus maestros D. Joseph Quintana y D. Joseph Soto, los seminaristas D. Toribio Olalde, D. Joachín del Rio, D. Luis Verganza, D. Joseph de Eíquivel , D. Iñigo Ortés , Don Blas de Lezo, D. Leopoldo Menendez y D. Ignacio de Lardizabal, Ln el ba) le, al cargo de su mae</t>
  </si>
  <si>
    <t>Guardias Walonas, D. Joseph Torres, el Marques de "Iranda, D. .Joseph Catalan, Don Joseph Erquível, D. Toribio Olalde, D. Manuel Carnara y D. Ceferino Carrillo. En sintaxis , baxo la dirección de su maestro D. 'Rufino Espada, D. Francisco Necochea, D. Pedro Goosens, D. Fermín Cia, D. Joseph Gayta</t>
  </si>
  <si>
    <t>Tornquist, Coronel</t>
  </si>
  <si>
    <t>Coronel Tornquist</t>
  </si>
  <si>
    <t>pesos y medidas. Stockolmo jo de Marzo. L a fragata sueca Tétis, que baxo las ordenes del Teniente Coronel Tornquist cruza én el Mediterráneo, entró el 3 de Febrero en la rada de Tánger: la recibiéron con demostraciones de amistad, y haciendo los correspondientes honores á la bandera sueca. Al d</t>
  </si>
  <si>
    <t>Torqnato Torio</t>
  </si>
  <si>
    <t>rio, carrera dé S. Gerónimo: su precio un real: puede'remitirse en carta. •• Silabario y método' de D. Torqnato Torio, sacado en carteles grandes para usa dé 'esóuélas por D. Vicente Mzrin. Se hallará en Casa del autor, cálle'de Sántia— gb'/rnT-Ti? p, á’gÓO is. él juego. *“«• 1 ’‘í- • V'V.-•' f r</t>
  </si>
  <si>
    <t>TorquatdTorío de la Riva</t>
  </si>
  <si>
    <t>cipe. : Colecciones de reglados para la enseñanza de escribir, según los tres autores, Sr. Anduaga, D. TorquatdTorío de la Riva , y Palomárea: se hallarán á ¿o rs. cada resma, de buen papel, en la fábrica de D.Ignacio de Thomas, calle de Sta. María del Aroo, núw. 29; y á 24 quartos cada mano en los puestos</t>
  </si>
  <si>
    <t>Torquato</t>
  </si>
  <si>
    <t>istiana, ortología, caligrafía, aritmética, gramática y ortografía castellana conforme al método de D. Torquato</t>
  </si>
  <si>
    <t>Torquáto Ignacio de Ortega</t>
  </si>
  <si>
    <t>na Capellanía del número de la catedral de .Guadix »j vacante , por muerte de D. Nicolás Bonillay á D. Torquáto Ignacio de Ortega, Beneficiado de Aparroquia de Santa A»a de aquella ciudad. S. M. se ha servido promover en el regimiento de Reales Guardias Walonas á primer Ayudante mayor.al primer Teniente D. L</t>
  </si>
  <si>
    <t>Torquato Toribio</t>
  </si>
  <si>
    <t>64. 18. Id. Torquato Toribio................. Maderal......... Zamora............ 38. 26. Id. Cabo i." Julián Fernandez.</t>
  </si>
  <si>
    <t>Torquato Torio de la Riva</t>
  </si>
  <si>
    <t>lapicera desplata por su mérito en él dibuxo, y uno de los niños la obra¡ del Arte' de escribir de D. Torquato Torio dé la Riva , por el sobresaliente'' que acreditó en- el mismo' arte: sé publicaron los nombres de los 6 jóvenes" premiados de ámbos sexos de las escuelas de la ciudad de S. Felipe; y en-fin,</t>
  </si>
  <si>
    <t>Guixá y Planas, y arreglada con exactitud á los &lt;j tamaños de la letra bastarda de la enseñanza de D. Torquato Torio de la Riva, mandada establecer de orden de S. M. en las escuelas del rey no. Las ventajas que se siguen á la primera educación del uso de este papel pautado las conocerá fácilmente todo padr</t>
  </si>
  <si>
    <t>completo; un quaderno en 8.° y pergamino, á 6 quantos cada uno. Estas tres obritas, compuestas por D. Torquato Torio de la Riva para uso de los Reales seminarios y escuelas públicas, donde espontáneamente se había abrazado su método antes que ¡5. M. se sirviese mandarle establecer, en todas las del reyno ,</t>
  </si>
  <si>
    <t>Torquato Torio-de la Riba</t>
  </si>
  <si>
    <t>a; de primeras letras bazo de, su dirección y el métodonuevamente aprobado por S. M., compuesto por D. Torquato Torio-de la Riba, la que será gratuita para 30 pobres: la dotación del maestro será de zoo ducados al afio , quedándole la utilidad de los demás discípulos. Los pretendientes dirigirán sus memoria</t>
  </si>
  <si>
    <t>Torre y Pellicer, Ramón</t>
  </si>
  <si>
    <t>Ramón Torre y Pellicer</t>
  </si>
  <si>
    <t>zarredo, D. Francisco Tamayo y Reynalte, D. Joseph Carássa y Figueroa, D. Francisco Xavier Saravia, D. Ramón Torre y Pellicer, D. Manuel Bernal y Petriz, D. Antonio Nuñez Fálcon, D. Joaquín Elgueta y Hernández , D.Francisco Sarrachaga y Zavala, Don Joseph García Joye, D. Miguel Vaidásano y Ros, D. Joseph</t>
  </si>
  <si>
    <t>Torreño, Bernardo</t>
  </si>
  <si>
    <t>Bernardo Torreño</t>
  </si>
  <si>
    <t>ectores de la Real Caxa de Descuento á favor de D. Pablo Partearroyo. Quien supiere de él avisará á D. Bernardo Torreño , calle del Desengaño , casa de los Basilios , núm. i.° , quarto 2.0 , en Madrid. Por providencia del Sr. D. Manuel Perez de Rozas , del Consejo de S. M. , su Alcalde de casa y co</t>
  </si>
  <si>
    <t>Torres, Domingo</t>
  </si>
  <si>
    <t>Domingo Torres</t>
  </si>
  <si>
    <t>61. 33. Id. Domingo Torres................. Andrés, Josefa Villa nueva. S. Adrián.... Santiago 187. 9. Id. Antonio Rodríguez............. Manuel, Josefa Vázquez... Pi</t>
  </si>
  <si>
    <t>Torres, Joseph</t>
  </si>
  <si>
    <t>Joseph Torres</t>
  </si>
  <si>
    <t>ua, I). Ramón Carrillo, D. Mariano Zapata, D. Martin Esterripa, Cadete de R.eales Guardias Walonas, D. Joseph Torres, el Marques de "Iranda, D. .Joseph Catalan, Don Joseph Erquível, D. Toribio Olalde, D. Manuel Carnara y D. Ceferino Carrillo. En sintaxis , baxo la dirección de su maestro D. 'Ruf</t>
  </si>
  <si>
    <t>Torres, Manuel</t>
  </si>
  <si>
    <t>Manuel Torres</t>
  </si>
  <si>
    <t>. 25. Id. | Manuel Torres.................. Policarpo, Josefa Ruiz....... Benamariel.. Pal ncia....... 380. 16. Licenciado» Manuel Ortega.................... Miguel, María Rotueta... Navarridas... Vitori</t>
  </si>
  <si>
    <t>Torres, Manuel Vicente</t>
  </si>
  <si>
    <t>Manuel Vicente Torres</t>
  </si>
  <si>
    <t>rematare se han ele entregar de contado á lo menos én metálico i.8i»9 rs. Por la audiencia del Sr. D. Manuel Vicente Torres , y en virtud de providencias de la cómision gubernativa, se han mandado sacar á pública subasta por término de 30 dias las casas correspondientes á la congregación de S. Ignacio,</t>
  </si>
  <si>
    <t>Tort y Canals, Ramón</t>
  </si>
  <si>
    <t>Ramón Tort y Canals</t>
  </si>
  <si>
    <t>parroquia de Santa María dei Pino, de dicha ciudad de Barcelona , por muerte de D. Jayme Guilla, á D. Ramón Tort y Canals: para otro Beneficio Patrimonial de la parroquia de Fuentes de Ebro¿ diócesis de Zaragoza, vacante por fallecimiento de D. Santiago Lapuente, á D. Santiago Anajona: para otro Bene</t>
  </si>
  <si>
    <t>Toseph Campanaga</t>
  </si>
  <si>
    <t>n vale Real de 300 pesos, creación de i.° de Setiembre, núm. 45,803, con endoso de D. Pedro Lavat á Don Toseph Campanaga , del comercio de Santander, y por este a D. Joachín de Quixano vecino del valle de Buelna , concejo de S. Felices , en el obispado de Santander. Quien supiere de él avisará al me</t>
  </si>
  <si>
    <t>Toseph Campunot</t>
  </si>
  <si>
    <t>rigo; y en el re-; Siento de infantería de Borbon á Subteniente de granaderos al pruner Subteniente D. Toseph Campunot. ' _ t También se ha servido S. M. conferir Compañía en el regimentó de caballería del Infante á D. Joaquín Mexía, Cadete de la compañía Flamenca del Real cuerpo de Guardias de Co</t>
  </si>
  <si>
    <t>Totty, Almirante</t>
  </si>
  <si>
    <t>Almirante Totty</t>
  </si>
  <si>
    <t>cibir igualmente cartas de su gobierno , tuvo una conferencia con el mencionado Lord Hawkesbury. El Almirante Totty, que salió para la Martinica mandando el navio Saturno de 74 cañones, ha tenido que regresar á la rada de Sta. Elena á causa de los vientos contrarios. Se asegura que la esquadra</t>
  </si>
  <si>
    <t>Totty, Tomás (almirante)</t>
  </si>
  <si>
    <t>Almirante Tomás Totty</t>
  </si>
  <si>
    <t>l 29 del mes último fondeó en Portsmouth él navio Saturno de 74 cañones: trae el cadáver del Contra-Almirante Tomas Totty, que murió durante su crucero en las costas de la Martinica. El Consejo yja asamblea de la isla de Tabago han acordado dar gracias y regalar una espada del valor de 100 guineas al</t>
  </si>
  <si>
    <t>Toulongeqn</t>
  </si>
  <si>
    <t>moria del mismo ciud. Lalande sobre el descubrimiento del 9.0 planeta: otra del ciud. Toulongeqn sobre el establecimiento y fundación de nuevas colonias; y otra del ciud. Mongez sobre ios aperos ó instrumentos de agricultura de los antiguos, especialmente</t>
  </si>
  <si>
    <t>Tous de Monsalve, Joseph</t>
  </si>
  <si>
    <t>Joseph Tous de Monsalve</t>
  </si>
  <si>
    <t>e S. Miguel de dicha ciudad de Sevilla: para otra de la catedral de Avila, vacante por promoción de D. Joseph Tous de Monsalve á la Doctoral de la catedral de Badajoz, á D. Francisco Manso, Cura párroco de la parroquial de S. Nicolás de la villa de Arévalo, en dicho obispado de Avila : para otra de la cat</t>
  </si>
  <si>
    <t>Toussaint, General</t>
  </si>
  <si>
    <t>General Toussaint</t>
  </si>
  <si>
    <t>os y perjuicios que ha causado el fuego. Los negros se han retirado á las montañas inmediatas, y al General Toussaint se le han enviado hoy los dos hijos suyos que venían en la fragata Sirena. Nada se sabe todavía del éxito de la expedición que pasó á la parte española de Sto. Domingo. Tampoco se</t>
  </si>
  <si>
    <t>Toves, Lorenzo</t>
  </si>
  <si>
    <t>Lorenzo Toves</t>
  </si>
  <si>
    <t>26. Id. Lorenzo Toves............. . Manuel, Teresa Diez...... Palenzueía... Búrgos....... 40. 21. Id. AndrésPedruzo................... Santos,María Agu</t>
  </si>
  <si>
    <t>Trabante Josef Carmona</t>
  </si>
  <si>
    <t>454. 13- Id. Trabante Josef Carmona... .................................................................................................. 140. 5. Id. Francisco la Barrera... . . Lorenzo, María Rod</t>
  </si>
  <si>
    <t>Traggia, Joaquín</t>
  </si>
  <si>
    <t>Joaquín Traggia</t>
  </si>
  <si>
    <t>ación del reynado de D. Ramiro 11 dé Aragón (dicho el Monge) ó memorias para escribir;su vida , por D. Joaquín Traggia. == Informe que la Real academia de la Historia dió al Real y supremo Consejo de Castilla sobre la costumbre que han observado los antiguos en dar sepultura á sus cadáveres &amp;c.=En</t>
  </si>
  <si>
    <t>Trambert, Capitán</t>
  </si>
  <si>
    <t>Capitán Trambert</t>
  </si>
  <si>
    <t>día 16 saldrá para la China el navio de la compañía asiática nombrado el Príncipe Real ai mando del Capitán Trambert.</t>
  </si>
  <si>
    <t>Tramullas, Joaquín</t>
  </si>
  <si>
    <t>Joaquín Tramullas</t>
  </si>
  <si>
    <t>onformidad de sus estatutos, ha distribuido este año los premios siguientes: Veinte y cinco pesos á D. Joaquín Tramullas por haber plantado en montes y parages eriales de los términos de esta ciudad mas de 600 árboles, lombardos , álamos, olmos y de otras especies, dapdoios vivos y prendidos en la p</t>
  </si>
  <si>
    <t>Traspalados, Francisco</t>
  </si>
  <si>
    <t>Francisco Traspalados</t>
  </si>
  <si>
    <t>e D. Antonio Isidoro de Ojea!,; fuéron examinados de aritmética D. Pedro Tavira, D. Rodrigo Tavira, D. Francisco Traspalados ¿ D. Leopoldo Menendez , D. Manuel de la Riva Agüero, D. Antonio Tavira y D. Ignacio de Emparan: de geometría elemental, hasta los planos exclusive, D. Ignacio de Emparan, D. Seba</t>
  </si>
  <si>
    <t>Trax, Joséph</t>
  </si>
  <si>
    <t>Joséph Trax</t>
  </si>
  <si>
    <t>seph Chaqué, D. Jayme Steudinger, D. Juan Cristiano Bagnioud, D. Francisco Zey, D. Ghristóbal Fohn, D. Joséph Trax* ler, D. Francisco Joseph Márcos de Courten * D. Casimiro de Mendoza^ D. Baltasar Samitier, D. Joseph Plano, D. Camilo Arroyo , D. Rafael Mariano, D. Félix Zurbano, D. Juan Lieuta</t>
  </si>
  <si>
    <t>TreilhárdY Presidente</t>
  </si>
  <si>
    <t>ruñe, también del'Consejó*de Estado; y para individuos del propio Consejo á los ciudadanos TreilhárdY Presidente del tribunal de Apelación de París : Collin, director general; de aduanas: Llaúmont, Prefecto'del Baxo-Rhin: Peíet, Prefecto" dé la Valclusa; y Dancby, . que lo es</t>
  </si>
  <si>
    <t>Trento, Gerónimo</t>
  </si>
  <si>
    <t>Gerónimo Trento</t>
  </si>
  <si>
    <t>la gazeta núm. 7 a del viernes 3 del corriente. Quaresma, pláticas morales .y panegíricos del Abate D. Gerónimo Trento, traducidos dél toscanó al español; 4 tornos en 4.0 Se venden en la librería 4e-Fernandez,’ frente á S. Felipe el Real, á 72 rs. en pergamino y 84 en pasta. Esta obra por sus gran</t>
  </si>
  <si>
    <t>Trescian, Francisco Antonio</t>
  </si>
  <si>
    <t>Francisco Antonio Trescian</t>
  </si>
  <si>
    <t>castellano, con una estampa alusiva á la fundación de la Real y distinguida Orden de Carlos m : por Don Francisco Antonio Trescian: segunda impresión: un tomo en 8.° mayor en pasta. Véndese á 14 rs. en casa de Munita, calle de las. Carretas. Institución eclesiástica del SS. P. Benedicto xiv sobre santificar e</t>
  </si>
  <si>
    <t>Trespaiacios, Francisco</t>
  </si>
  <si>
    <t>Francisco Trespaiacios</t>
  </si>
  <si>
    <t>D. Antonio Abaxos: de aritmética y parte de geometría elemental D. Rodrigo Tavira, D. Pedro Tavira, D. Francisco Trespaiacios y D. Leopoldo Menendez. De geometría elemental y trigonometría plana D. Antonio Tavira y D. Manuel de ia Riva-Agüero, Cadete de Reales Guardias Walonas. De geometría elemental, trigon</t>
  </si>
  <si>
    <t>Trespalacios, Francisco</t>
  </si>
  <si>
    <t>Francisco Trespalacios</t>
  </si>
  <si>
    <t>ores, D. Luis Verganza, D. Joachín del R io, D. Joseph Catalan, D. Pedro Tavira, D. Rodrigo Tavira, D. Francisco Trespalacios, el Marques de Iranda, D. Leopoldo Menendez¿ D. Joseph Berrosteguieta, D. Sebastian de Lasa y D. Bernardino Echagiie. En la descripción de la Europa hasta los Países Baxos, D. Man</t>
  </si>
  <si>
    <t>Trevijano, Manuel María</t>
  </si>
  <si>
    <t>Manuel María Trevijano</t>
  </si>
  <si>
    <t>graduado de Coronel, D. Peregrino jácome; y el de Comandante del tercer batallón del de Asturias á D. Manuel María Trevijano , Comándame agregado al de Granada. ' S, M. se ha servido nombrar para una de las plazas Tacantes del Consejo Real á D. Antonio Ignacio de Cortabarría. Asimismo se ha servido el R</t>
  </si>
  <si>
    <t>Trevil</t>
  </si>
  <si>
    <t>teara , frente á S, Luis. ... } ' ' ; . _ . Historia de los niños célebres , traducida del francés. Mr. Trevil, autor de esta obra y de los Nuevos ensayos de educación,, reunió en ella,los fragmentos que halló en la historia antigua y moderna conducentes á la primera, edad del hombre , y d</t>
  </si>
  <si>
    <t>Triarte, Francisco</t>
  </si>
  <si>
    <t>Francisco Triarte</t>
  </si>
  <si>
    <t>, un sobrino, 3 sirvientes de dicho Alcalde, el hijo tínico de D. Joseph Manuel de Irigoyen, y 6 de D. Francisco Triarte, vecinos del mismo pueblo. Visto por el cirujano de dicho lugar D. Pedro Palacios como executó Iribarren Aycin la operación, y estimulado por el médico del valle el Dr. D. Joseph</t>
  </si>
  <si>
    <t>Triarte, Miguel</t>
  </si>
  <si>
    <t>Miguel Triarte</t>
  </si>
  <si>
    <t>io de Roda y Duran, Di Aiexandro Marín Na.4 yarro, D. Vicente Camino, D. Joseph deQcio, y SalJzar , D. Miguel Triarte, í). Francisca G;rageray Gotdon&gt; D¿ Autopio Angosto y Rueda, Don Francisco- izquierdo Ibarr.ola, I). Ma i u e i Á, í v ara do y Quintana , D. Joaquín Iguazo y Ribera , D. Joseph C</t>
  </si>
  <si>
    <t>TriboletPrefecto de Berna</t>
  </si>
  <si>
    <t>nistro de justicia y pqlicía. Para sucederle en Leí ministerio está hombrado el ciud. TriboletPrefecto de Berna , y este, empleo sé ha conferido ai ciud. May. ^ . Nápoles ij de¿Igosto. -J, oí/ H óy á las 11 de la mañana llegó á esta capital la Rey0.a y las Princesas sus</t>
  </si>
  <si>
    <t>Trifon Antonio</t>
  </si>
  <si>
    <t>.r‘ AdtoaioRamon de 1 Azcáráté ,D. AntonioMaríaHidalgo 1G. Agustín de- Sojó ,«$}. Antonio AlJsiha y D. Trifon Antonio de íbárrqla, Subteniente ciei régimiéíito provincial de Avila/fuéron examinados públicamente acerca de la aplicación dél ál^ébra á'la geometría, secciones cónicas, series, cálculo di</t>
  </si>
  <si>
    <t>Trillo, Rafael</t>
  </si>
  <si>
    <t>Rafael Trillo</t>
  </si>
  <si>
    <t>ile y Alcedo, JL&gt;. Apanino rrieiu y uc •&lt;«. ______ _______ aalez Porras, D. Domingo García Cíñeris, D. Rafael Trillo, D. Pedro Palacio y Santibañezj D. Joseph Riiiz de Corrazar, -D. Guillermo Bosichi y Moyano, D. Ildefonso de Roxas y Róx2s, D. Nicolás Otero y Figueroa, D. Joseph Seydel y Sada, D</t>
  </si>
  <si>
    <t>Troncoso, Francisco Xavier</t>
  </si>
  <si>
    <t>Francisco Xavier Troncoso</t>
  </si>
  <si>
    <t>uanca: para esta Canongía al Racionero D. Pedro Joseph Mansilla: para esta Radon al Medio-Racionero D. Francisco Xavier Troncoso, y para la Media-Ración, vacante en la referida iglesia por muerte de D. Manuel Caviedes, á D. Pedro Joseph Mendez de la Parra, Capellán del monasterio de religiosas Carmelitas .d</t>
  </si>
  <si>
    <t>Trondlin</t>
  </si>
  <si>
    <t>República helvética, le gobierna una junta de f vocales, cuyo Presidente es el ciud. Trondlin : hay también un Prefecto. Estos s.ugetos Fan sido nombrados</t>
  </si>
  <si>
    <t>Troyf</t>
  </si>
  <si>
    <t>xa con su retrato, valuada en 100 rubios. Asimismo ha dado el Emperador una sortija de brillantes á Mr. Troyf, Capitán del estado mayor, como un testimonio de quanto aprecia la obra que ha escrito sobre la teoría militar; y posteriormente ha mandado S. M. que se distribuyan 300 exemplares</t>
  </si>
  <si>
    <t>Truliól y Andreu, Ramón</t>
  </si>
  <si>
    <t>Ramón Truliól y Andreu</t>
  </si>
  <si>
    <t>fk Roque Díaz Pardo, D. Miguel Daza y García, D. Diego Padura y Vargas, D. Juan Pinedo y Anuncibay, D. Ramón Truliól y Andreu, D. Juan Olaegui y Aguilar, D. Agustín Manglano y Ruiz, D. Víctor Vinader y Paz, D. Vicente de Lago y León, D. Per dro de Landazuri, D. Joaquín Soroa y Soroa , D. Fernando Bustama</t>
  </si>
  <si>
    <t>Truxillo y Sierra, Miguel</t>
  </si>
  <si>
    <t>Miguel Truxillo y Sierra</t>
  </si>
  <si>
    <t>r de Totonicapan, en el Reyno de Goatemala, vacante por renuncia de D. Francisco Xavier Manzanos, á'D. Miguel Truxillo y Sierra. El Rey, á consulta del Consejo y precedente propuesta de la Comisión gubernativa de consolidación de vales Reales , se ha dignado resolver, que asíalos accionistas de la Caxa de</t>
  </si>
  <si>
    <t>Truxillo y Tacón, Pedro</t>
  </si>
  <si>
    <t>Pedro Truxillo y Tacón</t>
  </si>
  <si>
    <t>publicd ios caballeros Cadetes d$l 1 reglamento de .infantería de América en la casa del Brigadier D. Pedro Truxillo y Tacón, Gobernador de esta plaza, al que asistiéron- los Generales ?y oñcialidad de los cuerpos de la guarnición. Empegó el acto manifestando rel segundo Teniente D. Francisco Plasencia»</t>
  </si>
  <si>
    <t>Tu'liié, General</t>
  </si>
  <si>
    <t>General Tu'liié</t>
  </si>
  <si>
    <t>rtes extrangera?. Monseñor Codronchí, Arzobispo de Ra,vena, irá á Viena en calidad de Embaxador: el General Tu'liié, que ha sido Mini tro de Guerra , ya á Berlín, y el ciad. Lambeccan á Madrid. Se advieten e&lt; tos.días'¡huehos movimientos en ías trepas de esta Rep5bljca^"qué;J&gt;aVatt.j&amp;eqüérit'e&amp;</t>
  </si>
  <si>
    <t>Tu, Miguel Ventura</t>
  </si>
  <si>
    <t>Miguel Ventura Tu</t>
  </si>
  <si>
    <t>Se remitirán los memoriales con los documentos justificativos á I&gt;. Juan Bautista González Valdes y D. Miguel Ventura Tu— fion, el primero Juez noble y Presidente del Ayuntamiento, y el segundo Regidor perpetuo en Gijon. Curso completo ó diccionario universal de agricultura teórica, práctica, económ</t>
  </si>
  <si>
    <t>Tubau y Sala, Francisco</t>
  </si>
  <si>
    <t>Francisco Tubau y Sala</t>
  </si>
  <si>
    <t>servido nombrar para la Maestrescolía de la catedral de Buenos-Ayres, vacante por fallecimiento de D. Francisco Tubau y Sala, al Canónigo Magistral de la misma iglesia D. Carlos Joseph Montero. El Consejo, á consulta de la Comisión gubernativa de consolidación de Vales, y con aprobación de S. M., ha aco</t>
  </si>
  <si>
    <t>Tuis</t>
  </si>
  <si>
    <t>Valdivia,.D..Joaquín de Arce y Fronce-, da , D. Toaquin Mella y Barbeyto, D. Joíeph Manuel Bilbao, D. Tuis; Tabón v Ro&lt;icme, D. Juan Dameto y,Sureda, D. Santiago Hurtado de Mendoza, Marque5 de Tabalosos, D. Joseph del Hoyo González, D.Manuel Reviray Almunia, D. Manuel Reyna y Alor, D.</t>
  </si>
  <si>
    <t>Ucles, Joseph</t>
  </si>
  <si>
    <t>Joseph Ucles</t>
  </si>
  <si>
    <t>do distinguido del de Navarra D. Rafael Escovar: en-el de la Princesa á Ayudante al primer Teniente D. Joseph Ucles: en el de Málaga á segundo Teniente al Subteniente de granaderos D. Manuel Santiago Rengel: en el de Voluntarios de Castilla á Subteniente de granaderos al primer Subteniente D. J</t>
  </si>
  <si>
    <t>Udaeta, Juan Felipe</t>
  </si>
  <si>
    <t>Juan Felipe Udaeta</t>
  </si>
  <si>
    <t>es; D. Jacinto Munárriz, sobre los medios de preservar los olivos de los efectos del frío excesivo; D. Juan Felipe Udaeta, de la utilidad de los inxertos, y sus especies; D. Vicente Ximenez, del modo de plantar las vinas, y su cultivo; D. Salvador Sobrevilia» de varios medios de.fomentar y perfeccion</t>
  </si>
  <si>
    <t>Üftzaga, Francisco</t>
  </si>
  <si>
    <t>Francisco Üftzaga</t>
  </si>
  <si>
    <t>ntbníó^ EÍzatirdir^ , .En Cttenqa............ D. Mznuel Escolary Noriega.. r^T., En Granada........ D. Francisco Üftzaga. En Guadalaxara. D, Isidoro García Plaza. • En Jaén................ D. Pedro y Juan Esponera. En %eon.¿.:.;~...... D. Pedro Gil de Tejada. En Mahon.i.......... D. Jayme-Moneada. 1</t>
  </si>
  <si>
    <t>Ugena, Domingo</t>
  </si>
  <si>
    <t>Domingo Ugena</t>
  </si>
  <si>
    <t>critos ea fraDces por: el R. P. Bernardo Lamí, presbítero del oratorio: tra¿ucidos é ilustrados por D. Domingo Ugena. presbítero. Esta obra presenta un plan exlcto y sencillo para estudiar las denc·ias, y servirse de ellas con utilidad pública: muchas universidades y cuerpos literarios d~ Europa</t>
  </si>
  <si>
    <t>Uliente y Gabilla, Manuel</t>
  </si>
  <si>
    <t>Manuel Uliente y Gabilla</t>
  </si>
  <si>
    <t>i y Lasqueti, DI Joseph de Castró y Navarro, D. Ramón Saavedra y Guiralde, D. Juan de Castro Gómez, D. Manuel Uliente y Gabilla , t). Pedro Quevedo y Hoyos, D. Joseph Ruiz de la Madrid, D. Agustín Wauters y Donesteves, D. Vicente Guillen y Busaran, D. Antonio Leal de Ibarra, D. Juan de Vivero y Silva, D. A</t>
  </si>
  <si>
    <t>Unieres, Felipe</t>
  </si>
  <si>
    <t>Felipe Unieres</t>
  </si>
  <si>
    <t>dignado nombrar ^para Ja Dignidad de Dean de la catedral del Cuzco, vacante por failefcftnieiito de D. Felipe Unieres, al Arcediano de la misma catedral D. MiguehChirino* r p^a ef Arcedianato al Chantre D. Jbseph.Perez Armendáriz: para lá Chantná al Maestrescuela D Juan de DiósKPereyra: para la M</t>
  </si>
  <si>
    <t>Unzaga, Francisco</t>
  </si>
  <si>
    <t>Francisco Unzaga</t>
  </si>
  <si>
    <t>.D. Manuel Antonio Elzaurdi. En Cuenca............. D. Manuel Escolar y Noriega. En Granada........ D. Francisco Unzaga. En Guadalaxara. D. Isidoro García Plaza. En Jaén................D. Pedro y Juan Esponera. En León................ D. Pedro Gil de Tejada. En Málaga........... D.Antonio Mariano.</t>
  </si>
  <si>
    <t>nuel Antonio Elzaurdi. En Cuenca................ D. Manuel Escolar y Noriega. En G-ranada.......... D. Francisco Unzaga. En Guadalaxara. D. Isidoro García Plaza. En Jaén...............D. Pedro v Juan Esponera. En L eon................... D. Pedro Gil de Tejada. En Atdlaga............ D. Antonio Mar</t>
  </si>
  <si>
    <t>. D. Manuel Antonio Elzaurd?. En Cuenca..... ........D. Manuel Escolar y Noriega. En Granada....... D. Francisco Unzaga. En Guadalaxara. D. Isidoro García Plaza. En Jaén........... D. Pedro y Juan Esponera. En León................. D. Pedro Gil de Tejada. En Málaga.......... . D. Antonio Mariano. E</t>
  </si>
  <si>
    <t>anuel Antonio Elzaurd?. • En Cuenca............D. Manuel Escolar y Noriega. ■i , En Granada........ D. Francisco Unzaga. En Guadalaxara.D. Isidoro García Plaza. En Jaén*...á......... D. Pedro y Juan Esponera. ; En León....... ........ D. Pedro Gil de Tejada. En Málaga.......... D. Antonio Mariano.</t>
  </si>
  <si>
    <t>D. Manuel Antonio Elzaurdi. En Cuenca............. D. Manuel Escolar y Noriega. En Granada........ D. Francisco Unzaga. En Guadalaxara. D. Isidoro García Plaza. En Jaén................ D. Pedro y Juan Esponera. En León.................D. Pedro Gil de Tejada. En Mdlag * • •••••• D. Antonio Mariano.</t>
  </si>
  <si>
    <t>Manuel Antonio Eizaurdi. \ En Cuenca..............D. Manuel Escolar y Noriega. En Granada......... D. Francisco Unzaga. En Guadalaxara. D. Isidoro García Plaza. En Jaén............... D. Pedro y Juan Esponera. En León............. . D. Pedro Gil de Tejada. En Málaga........... D. Antonio Mariano.</t>
  </si>
  <si>
    <t>D..Manuel Antonio Elzaurái. En Cuenca............ D. Manuel Escolar y Noriega. En Granada.... .... D. Francisco Unzaga.</t>
  </si>
  <si>
    <t>..Manuel Antonio Elzaúrdi, Eti Cuenca....... i.... D. Manuel Escolar, yN oriega. Eu Granada....^... D. Francisco Unzaga. En Qruadalaxara. D. Isidoro García Plaza. En Jaén.......?...,,.. D, Pedro y Juan Esponejra* En León.......... I). Pedro Gil de Tejada. EnMahon...,....... p. Jayme^Moncada-.</t>
  </si>
  <si>
    <t>Urbaneja, Antonio</t>
  </si>
  <si>
    <t>Antonio Urbaneja</t>
  </si>
  <si>
    <t>573. 28. Id. Antonio Urbaneja... Antoniy^ María Riologa... Sasamon....... Búrgos....... 553* 6. Id. Alonso Pastor.......... Juan, Josefa</t>
  </si>
  <si>
    <t>Urbano Antonio Díaz de las Cuevas</t>
  </si>
  <si>
    <t>para esta Ración al Medio-Racionero Don Francisco de Paula y Rodríguez; y para esta Media-Ración á D. Urbano Antonio Díaz de las Cuevas. Asimismo se ha servido nombrar para otra Canongía de la referida catedral, vacante por muerte de D. Ignacio Antonio Domenech , á D. Juan Ignacio Vega y Caballero, Racionero de la</t>
  </si>
  <si>
    <t>Uriarte y Borja, Francisco</t>
  </si>
  <si>
    <t>Francisco Uriarte y Borja</t>
  </si>
  <si>
    <t>seph Martínez , D. Joseph de Vargas Varaez , D. Estanislao Juez Sarmiento ¿ D. Juan Pablo Podares , D. Francisco Uriarte y Borja,,D. Dionisio Alcalá Galiano, D. Cosme Chumica, Don Cayetano Valdés , D. Felipe Jado Cagigal Marques del Real Tesoro, D.Alarcelo Espínela, D. Agustín Figueroa, D. Joseph Uriarte y</t>
  </si>
  <si>
    <t>Uriarte y Borla, Joseph</t>
  </si>
  <si>
    <t>Joseph Uriarte y Borla</t>
  </si>
  <si>
    <t>Valdés , D. Felipe Jado Cagigal Marques del Real Tesoro, D.Alarcelo Espínela, D. Agustín Figueroa, D. Joseph Uriarte y Borla, D. Rafael de Hore, y D. Joseph Espinosa Tello. A Capitanes de Navio los de Fragata ■i D. Juan Carranza, D. Bruno Palacio*, D. Juan Elizalde y Uztariz, D. Tomas Herrera y Cruzat,</t>
  </si>
  <si>
    <t>Uriarte y Erquizia, Felipe</t>
  </si>
  <si>
    <t>Felipe Uriarte y Erquizia</t>
  </si>
  <si>
    <t>Lorenzo de la Puente, D, Ruperto Calderón,D. Pedro de Toro y Toledo, D. Carlos Engracia Carrasco , D. Felipe Uriarte y Erquizia, D. Joaquín Delgado Fernandez, D.Francisco Xavier Radillo, D» Benito Basabe y UJente, Dón Francisco Toubes y Ordoñez, D. Antonio de Aiscar y Piedrola , D. Anicetó Quixano y Arce,</t>
  </si>
  <si>
    <t>Urrecha y Assua, Tomás</t>
  </si>
  <si>
    <t>Tomás Urrecha y Assua</t>
  </si>
  <si>
    <t>s Lasqueti y Gal vez, D. Joaquín Ramírez de Arellano* Don Ignacio Munive, D. Juan de Latre y Aissa, D. Tomas Urrecha y Assua, D. Ramón de Móyua y Mazarredo, D. Francisco Tamayo y Reynalte, D. Joseph Carássa y Figueroa, D. Francisco Xavier Saravia, D. Ramón Torre y Pellicer, D. Manuel Bernal y Petriz, D.</t>
  </si>
  <si>
    <t>Urrutia, Juan</t>
  </si>
  <si>
    <t>Juan Urrutia</t>
  </si>
  <si>
    <t>Ruiz de Adorno y D. Mariano Bustos ; á Alféreces á los Portaguiones D. Pedro Pascual de la, Rosa y D. Juan Urrutia, y i Portaguiones al Sargento distinguido D. Joseph Soane y á D. Mariano Yurre&gt; Por Real provisión de 7 de Octubre pasado , á consulta del Supremo Consejo, se ha concedido á la vi</t>
  </si>
  <si>
    <t>Usdermaner</t>
  </si>
  <si>
    <t>as tropas de línea helvéticas, ademas de unos 2$ hombres que han enviado otros cantones al mando de Mr. Usdermaner: de suerte que se han juntado en esta ciudad Cerca de 8$ hombres armados. Parte de estas tropas se despacharon contra la ciudad de-Friburgo, de la qual se apoderaron ayer, según p</t>
  </si>
  <si>
    <t>Uztariz y Valenciano, Juan</t>
  </si>
  <si>
    <t>Juan Uztariz y Valenciano</t>
  </si>
  <si>
    <t>z Castañon, D. Francisco García Sala, .D. Ramón Bermudez Valledor, D. Alexandro Boni la y San Juan, D. Juan Uztariz y Valenciano, D. Manuel Martínez Wintuysen , D. Manuel de Luengas y Orive, :D. Domingo Sarachaga y Z aval a, D. Gavino de Arana y Arrióla, D. Joseph Obando y Adorno , D. Joseph Romero y Urirai</t>
  </si>
  <si>
    <t>Uztariz, Francisco</t>
  </si>
  <si>
    <t>Francisco Uztariz</t>
  </si>
  <si>
    <t>. ■ ;. D. Roque Parrada, D. Joseph Lasala, D. Francisco Oviedo,D. Joseph Jubert, D. Ramón Figueroa, D. Francisco Uztariz, D. Juan de Dios Cabrera, D. Joseph Arredondo, D. Luis María Bonsteten, D. Luis Aygremont, D. Cárlos VauverdenyD. Aüigei Foxá, D. Joaquín de Cea, Don Joseph Éscovedoj Di Pedro Lin</t>
  </si>
  <si>
    <t>Vaca, Joseph</t>
  </si>
  <si>
    <t>Joseph Vaca</t>
  </si>
  <si>
    <t>. Joseph Francisco Díaz, D. Juan Afán de Rivera, D. Ramón María de Utrilla, D. Juan Antonio Cosío , D. Joseph Vaca, D. Francisco Man glano, D. Miguel García Sacristán , D. Bartolomé Sandoval, D. Rafael Tavira, D. Manuel de la Isla, D, Félix Pérez Vidal, Francisco de Paula Pa^ía, D. Fernando Sa</t>
  </si>
  <si>
    <t>Vaca, Juan</t>
  </si>
  <si>
    <t>Juan Vaca</t>
  </si>
  <si>
    <t>.... . 440. 30. Id. Juan Vaca..................... Antonio , María Cepeda... León.............. León............... 414. 16. Id. Josef Higueras.................... Francisco, Juana Guisado.. Jaén.....</t>
  </si>
  <si>
    <t>Vacaro X Valcarcel, Manuel</t>
  </si>
  <si>
    <t>Manuel Vacaro X Valcarcel</t>
  </si>
  <si>
    <t>cio de RoóySmidts, D. Claudio Zulmezu y Palacioi D. Juan Ülloa y Be.betoros, D. Martin Oarrichena , D. Manuel Vacaro X Valcarcel, D. Antonio Bobadi!la|y Ángulo, D. Miguel Martínez y Montes, D. Luis Lasqueti y Gal vez, D. Joaquín Ramírez de Arellano* Don Ignacio Munive, D. Juan de Latre y Aissa, D. Tomas Urr</t>
  </si>
  <si>
    <t>Vago, Antonio</t>
  </si>
  <si>
    <t>Antonio Vago</t>
  </si>
  <si>
    <t>áreo de Gardoqui; y el empleo de Comisario Ordenador en propiedad coa el sueldo de tal al de Guerra D. Antonio Vago. Madrid J2 de Octubre. E 1 Rey se ha servido dirigir, en 5 de éste mes al Sr. D. Joseph Antonio Caballero el Real decreto del. tenor, siguiente: ,, Én celebridad del feliz desposo</t>
  </si>
  <si>
    <t>Vaidásano y Ros, Miguel</t>
  </si>
  <si>
    <t>Miguel Vaidásano y Ros</t>
  </si>
  <si>
    <t>z Fálcon, D. Joaquín Elgueta y Hernández , D.Francisco Sarrachaga y Zavala, Don Joseph García Joye, D. Miguel Vaidásano y Ros, D. Joseph de Leyva y. Lerin , D. Rafael Rodríguez Guerra, D. Ramón Ortiz Canela y Esteller, D. Manuel Valcarcel, y Oconri, t). Joachin de Mora; y Duarte ,, D. Diego de Arteaga, D</t>
  </si>
  <si>
    <t>Vailadáres de Sotomayor, Antonio</t>
  </si>
  <si>
    <t>Antonio Vailadáres de Sotomayor</t>
  </si>
  <si>
    <t>es y anticatólicos, y á otros engañados por ellos: por D. Melchor Rafael de Macánaz, dada ó luz por D. Antonio Vailadáres de Sotomayor; a tomos en 8.° Se hallará ea la librería de Hurtado, calle de las Carretas. En el almacén de música de la calle de‘Relatores, núm. 6 , se hallarán las siguientes obras nuevas imp</t>
  </si>
  <si>
    <t>Vaílejo, Manuel</t>
  </si>
  <si>
    <t>Manuel Vaílejo</t>
  </si>
  <si>
    <t>icia. Se admiten memoriales de los profesores hasta el dia 8 de Setiembre próximo, y se dirigirán á.D. Manuel Vaílejo^ Escribano del número y Ayuntamiento de dicha villa. Salmos deDavid y cánticos sagrados, interpretados en una brevísima parófrabsL|Cn/sentido propio, Jr literal"tscéitúé ¿tí"fifcá</t>
  </si>
  <si>
    <t>Vaillant</t>
  </si>
  <si>
    <t>es que en este cantón no habia tropas francesas; pero esta semana llegó aquí el ciud. Vaillant en calidad de comandante de esta plaza: trae instrucciones del General Montrichard, que anuncian la próxima llegada de varias tropas de dicha nación, que han de</t>
  </si>
  <si>
    <t>Valbuena, Pedro</t>
  </si>
  <si>
    <t>Pedro Valbuena</t>
  </si>
  <si>
    <t>Manuel Bernárdez; y para otra titulada de S. Marcelo de la catedral de León, vacante por muerte de D. Pedro Valbuena, á D. Santos Fernandez Vidal, Sacristán mayor de* la propia catedral, r o ,. _ , En el regimiento de Reales Guardias Walonas se ha servido promover ei Rey á primer Teniente aí seg</t>
  </si>
  <si>
    <t>Valcarcel y Qconri, Vicente</t>
  </si>
  <si>
    <t>Vicente Valcarcel y Qconri</t>
  </si>
  <si>
    <t>.y Solis, D. Rafael Bobadilla y Pery, D. Joseph Mendivil y Castañeda, Don Antonio Saavedra y Jofre, D. Vicente Valcarcel y Qconri, D. Joseph Primo de Rivera, D. Salvador Ortuño-y Castañon , D. Antonio Villaviqencio, D. Joseph Delgado y Guerra, D. Joaquín Mioño y Quevedo, Don Diego Ponce dé León, D. Rufino To</t>
  </si>
  <si>
    <t>Valcarcel, Joseph</t>
  </si>
  <si>
    <t>Joseph Valcarcel</t>
  </si>
  <si>
    <t>l primer Teniente D. Francisco Montano: en el de España á primer Subteniente al segundo Subteniente D. Joseph Valcarcel; y en el batallón de cazadores Voluntarios de Barbastro á Capitán primero al segundo D. Santiago Porta. También en el regimiento de dragones de Almansa se ha servido S. M. promove</t>
  </si>
  <si>
    <t>Valcarcel, Manuel</t>
  </si>
  <si>
    <t>Manuel Valcarcel</t>
  </si>
  <si>
    <t>y Ros, D. Joseph de Leyva y. Lerin , D. Rafael Rodríguez Guerra, D. Ramón Ortiz Canela y Esteller, D. Manuel Valcarcel, y Oconri, t). Joachin de Mora; y Duarte ,, D. Diego de Arteaga, D. Alonso Solis y Zurita, D. Joseph Bernaci y Retamar, Don Ignacio Éscovar y Ríquelme, D. Juan Robredo y Lea, D. J</t>
  </si>
  <si>
    <t>Valcarcel, Miguel</t>
  </si>
  <si>
    <t>Miguel Valcarcel</t>
  </si>
  <si>
    <t>ñoz, D. Gines Albadalejos . D. Juan Pelayo Sánchez', D. Joseph María Crespo , D. Bartolomé Reselló, D. Miguel Valcarcel, D. Martin de la Carrera^ D. Jayme Garrofa, y D. Joseph Rich. En América. D. Joseph Arcega, D. Filomeno Cendrera, D. Antonio Figueroa, Don Diego Calvo, D. Manuel Antonio de Mora y</t>
  </si>
  <si>
    <t>Valckenaer</t>
  </si>
  <si>
    <t>' ha nombrado al ciud. Metzger por Embaxador en la corte de Madrid en lugar del ciud. Valckenaer. Las inundaciones han cáusado en las provincias de Frisia y Texel daños iguales á los padecidos en tes de Zelanda;</t>
  </si>
  <si>
    <t>Valdasano y Ros, Joseph</t>
  </si>
  <si>
    <t>Joseph Valdasano y Ros</t>
  </si>
  <si>
    <t>érrez de Bustillo, D.: Joseph Roso y González, D. Joaquín Aróstegni, Don Joaquín Ibañez dé Corbera, D. Joseph Valdasano y Ros, D. Joseph del Rio Noguerido , ; D¿ Joseph Diaz Melendez, D. Manuel de Cañas Truxillo, D. Joseph del Castillo y Armenia, D. Antonio Palomar y Arias, D. Manuel de Palacios, D. Henr</t>
  </si>
  <si>
    <t>Valderrama, Juan Joseph</t>
  </si>
  <si>
    <t>Juan Joseph Valderrama</t>
  </si>
  <si>
    <t>de Puebla á D. Joseph María Pazos: para la' plaza de Teniente de Visitador del de la de Veracruz á D. Juan Joseph Valderrama: para la de Guarda de la de Guadalaxara á D. Manuel Gutiérrez: para iguales'destinos en la de Córdoba á D. Francisco Alcega y I). Joseph Miguel de Soza: para la de 2.0 Pagador de</t>
  </si>
  <si>
    <t>Valdes, Antonio</t>
  </si>
  <si>
    <t>Antonio Valdes</t>
  </si>
  <si>
    <t>leon: para Oficial 2.0 de la Contaduría de la Administración del Tabaco del arzobispado de México á D. Antonio Valdes: para la plaza de Oficial 3.0 de la misma á D. Simón Berdié: para la de 4.0 de ella á D. Joseph María Quixano: para Guarda de la propia Administración á* D. Albino Marquina y Astu</t>
  </si>
  <si>
    <t>Valdés, Cayetano</t>
  </si>
  <si>
    <t>Cayetano Valdés</t>
  </si>
  <si>
    <t>acordado en el navio Océano, á! mi regreso, i bordo expedí por mi Mayor General el Capitán de Navio D. Cayetano Valdés todas las ordenes necesarias para que las tropas de transporte pasasen inmediatamente á las fragatas y corbetas francesas que estaban destinadas á conducirlas á la bahía de Acul,</t>
  </si>
  <si>
    <t>D. Juan Pablo Podares , D. Francisco Uriarte y Borja,,D. Dionisio Alcalá Galiano, D. Cosme Chumica, Don Cayetano Valdés , D. Felipe Jado Cagigal Marques del Real Tesoro, D.Alarcelo Espínela, D. Agustín Figueroa, D. Joseph Uriarte y Borla, D. Rafael de Hore, y D. Joseph Espinosa Tello. A Capitanes d</t>
  </si>
  <si>
    <t>Valdés, Domingo</t>
  </si>
  <si>
    <t>Domingo Valdés</t>
  </si>
  <si>
    <t>na Capellanía de la Real capilla de Granada, vacante por fallecimiento de D. Joseph Diaz Bardera, á D. Domingo Valdés; y para otra del Real convento de religiosas de Sta. Clara de la villa de Tordesillas y obispado de Valladolid, vacante por muerte de D. Nicolás Merlo, á D. Manuel Gregorio Angeló</t>
  </si>
  <si>
    <t>Valdés, Miguel</t>
  </si>
  <si>
    <t>Miguel Valdés</t>
  </si>
  <si>
    <t>á D. Miguel Muxica, Capitán de su primera compañía ; á Ayudante mayor de este regimiento al segundo D. Miguel Valdés; y á empleos de la misma clase de los regimientos de la Palma, Abona y Lanzarote á D. Joachín Poggio y Alfaro, D. Juan de las Nieves Ravelo, segundos Ayudantes, y D. josaph Feo de</t>
  </si>
  <si>
    <t>Valdez, Francisco</t>
  </si>
  <si>
    <t>Francisco Valdez</t>
  </si>
  <si>
    <t>ros al Subteniente de cazadores Dom Basilio de la Chica; a Subteniente dé cazadores al dé fusileros D. Francisco Valdez ; á Subteniente de fusilecosaL segundo” Ayudante:, graduado de Subteniente, D. Francisco Xavier de Galyenzu, y esta resulta al Cadete D. Alejandro Alvarez de Guiñan, y en el regim</t>
  </si>
  <si>
    <t>Valdivia, Juan Antonio</t>
  </si>
  <si>
    <t>Juan Antonio Valdivia</t>
  </si>
  <si>
    <t>rroquia de Tresjuncos, en la diócesis de Cuenca, vacante por fallecimiento de D. Francisco Nuñez, á D. Juan Antonio Valdivia, Capellán del regimiento de infantería de Extremadura; y para la Prestamera de Enguídanos y la Pesquera, en la misma diócesis de Cuenca, vacante por muerte de D. Salvador Sainz, á</t>
  </si>
  <si>
    <t>Valdivieso, Pedro Joseph</t>
  </si>
  <si>
    <t>Pedro Joseph Valdivieso</t>
  </si>
  <si>
    <t>para otra Ración de la catedral de Trux¡lio, vacante por fallecimiento de D. Bernabé Villalobos, á D. Pedro Joseph Valdivieso ; y para una Media-Ración de la referida metropolitana de Santa Fe, vacante por promoción de D. Juan Joseph del Gimo á Canongia de la catedral de Tudela, á D. Fernando Caycedó. Ta</t>
  </si>
  <si>
    <t>del Sagrario de la misma: para una Ración de la de Santa Cruz de ia Sierra, vacante por ascenso de D. Pedro Joseph Valdivieso á otra de la de Truxillo, á D. Joseph Manuel Séoane t Vieeré Rector y catedrático de Morál del colegio* seminario de dicha ciudad; y jtará^:uiia^edia-Racioní deiá ide Santa Fe, va</t>
  </si>
  <si>
    <t>Valencia, Pedro</t>
  </si>
  <si>
    <t>Pedro Valencia</t>
  </si>
  <si>
    <t>hijo para Silesia, Saxonía, los países meridionales de Alemania é Italia. Durante su ausencia queda D. Pedro Valencia como Encargado de negocios de la corte de España. El Sr. Correa, Enviado de Portugal, va por dos años á su patria. Su hermano, que se halla enStockolmo en calidad de Encargado de</t>
  </si>
  <si>
    <t>túfar, D. Rosendo Porlier, D. Joseph Iturrigaray, D. JuanBernazi y Retamar, D. Ramón Blanco Criado, D. Pedro Valencia, D. Tomas rando, D. Antonio Aguirre y Villalba, D. Joseph González y Ortiz, D. Antonio. Aguilera, D. Ciríaco de Plano y GarayyD.1 Pedro Albarracin Quero’/D. 'Antonio Albarracin y</t>
  </si>
  <si>
    <t>Valentín de Foronda</t>
  </si>
  <si>
    <t>entregará en breve. , ;_ . / ■. ^ Segunda edición de la Lógica dé Condillac, puesta en diálogo por D. Valentín de Foronda, corregida y adicionada con un tratadito sobre toda clase de argumentos y sofismas, observaciones de Loke y de Malebranche para buscar la verdad, y reflexiones sobre la aritmética</t>
  </si>
  <si>
    <t>enca en casa de Valentín Mariana'. Segunda edición de la lógica de Condillac, puesta en diálogo por D. Valentín de Foronda, corregida con esmero y adicionada con un tratado sobre toda clase de</t>
  </si>
  <si>
    <t>tomo en 8.° marquilla. ¿He halla** rá en las librerías de esta Corte. Cartas sobre la policía , por D. Valentín de Foronda: tratan de la salud públ ica: de las causas que contribuyen á viciar él áyre: de los peligros dé abrir subterráneos : de las muertes aparentes : de no enterrar los muertos hasta q</t>
  </si>
  <si>
    <t>Valentín González de Mena</t>
  </si>
  <si>
    <t>. Cipriano de Píllame, en el concejo de Castnllon, obispado de Oviedo, vacante por fallecimiento de D. Valentín González de Mena, á D. Carlos deWite y Rodríguez: para otro simple Sacristía del lugar de Masueco, en el obispado de Salamanca, vacante por dimisión que ha hecho de él D. Francisco Mendez, á D. Mi</t>
  </si>
  <si>
    <t>Valentín Llinás</t>
  </si>
  <si>
    <t>D..Gerónimo Amat11er : para otro de la parroquia de Bruñóla , en el propio obispado de 'Gerona , á D. Valentín Llinás : para otroy con cargo de Sochantre , dé la colegial de Alcañiz, en el arzobispado de Zaragoza, á D. Francisco Gazuila: para una Doma de la parroquia de Vulpellach,obispado de Ger</t>
  </si>
  <si>
    <t>Valentín Martínez</t>
  </si>
  <si>
    <t>ncisco Aranzabal, D. Bernardino Echagfte, el Marques de Iranda, D. Luis Vidarte, D. Toribio Olalde, D. Valentín Martínez, D. Ramón Carrillo, D. Ceferino Carrillo y D. Manuel Carnara. En matemáticas, baxo la dirección de sus dos profesores D. Joseph Antonio de Ojea y el Subteniente D. Antonio Isidoro</t>
  </si>
  <si>
    <t>Valentín Sa</t>
  </si>
  <si>
    <t>D. Gerardo Moreno, D. Braulio Martínez, Don Vicente Heras y D. Valentín Gutiérrez. Y en la tercera D. Valentín Sa^ cristas, D. Manuel Arjumariz, D. Joseph Ruiz y D. Estiban de Estefanía. Barcelona zp de Setiembre. . : P ^ E 124 de este por la mañana estuvo el Rey Ntro. Sr. en la marina ; y po</t>
  </si>
  <si>
    <t>Valentín Sacristán</t>
  </si>
  <si>
    <t>, y demas individuos del Cabildo. Se dio principio por una oda castellana, que pronunció el alumno, D. Valentín Sacristán , eñ ía que se: elogiaron la sencillez, facilidad y dulzura del nuevo método, y sus,notorios adelantamientos. Traduxéron y analizaron en las Selectas sagradas de Roilin los de la</t>
  </si>
  <si>
    <t>Valeriano Luis Brera</t>
  </si>
  <si>
    <t>a* y el sistema de Brown: por el Consejero Weikard , enriquecidos dé preliminares y comentos por el Dr. Valeriano Luis Brera ¡ traducidos por el Dr. D. Joaquín Serrano. Se compone esta obra de tf tomos'en 8.° : I05 3 primeros, que se seguirán uno á otro con brevedad , forman , un curso completo y claro</t>
  </si>
  <si>
    <t>cia y el sistema de Brown por el Consejero Weykard, enriquecidos de preliminares y comentos por ■ei Dr. Valeriano Luis Brera : traducidos por el Dr. Z). Joaquín Serrano: tomo 2. que contiene la descripción , causas y curación de las enfermedades propias de Jai ’mugeres y niños; de las comu. es del estóm</t>
  </si>
  <si>
    <t>Valero Azara</t>
  </si>
  <si>
    <t>ismo, después de seis actos lati,qos, presentó en los dias 12, 13 y 14 del corriente los colegiales Don Valero Azara, D. Salvador Pallás, D. Joseph Aguado, Bachilleres en fi</t>
  </si>
  <si>
    <t>Valero Sierra y Marti</t>
  </si>
  <si>
    <t>s— tamante, puerta del Sol, frente al correo, en Zaragoza en casa de Baylo, y en Barcelona en la de D. Valero Sierra y Marti,á 14 rs. las dos, y toda la obra á 22. En la segunda parte se dan reglas fáciles, ciaras y sencillas para manejar y diri-¿ gir bien los niños desde su nacimiento hasta que salen d</t>
  </si>
  <si>
    <t>Valero y Chicarro, Ángel</t>
  </si>
  <si>
    <t>Ángel Valero y Chicarro</t>
  </si>
  <si>
    <t>4,0*5- Las personas en cuyo poder existan estós vales los remitirán á dicha Sra., ó en su defecto ¿ D. Angel Valero y Chicarro , vecino de Madrid, que vive calle de Hortaleza, número 12 , manz. 293. El dia 8 del corriente, entre diez y diez y quarto de la mañana, se perdieron desde la carrera de S. Geróni</t>
  </si>
  <si>
    <t>Valero, Vicente</t>
  </si>
  <si>
    <t>Vicente Valero</t>
  </si>
  <si>
    <t>axara. 92. 24. Id.! Vicente Valero................... Manuel, Luisa García....... Toledo........... Toledo........... 412. Id. Gavino Palacio.................. Pedro, Toribia Villota</t>
  </si>
  <si>
    <t>Valladares, Gerónimo</t>
  </si>
  <si>
    <t>Gerónimo Valladares</t>
  </si>
  <si>
    <t>de Rocreusse, D. Joseph María Lambí, D. Joseph Villaiba, Don Julián de Sequera, D. Joseph Graulle, D. Gerónimo Valladares, D. Rafael Cravallo, D. Guillermo Chicheri, D. Pedro Saenz, D. Angel de Lana, D. Felipe de la Mar, D. Angel Mijáres, D. Gerónimo Marco , D. Francisco Marcó del Pont, D. Juan Martí</t>
  </si>
  <si>
    <t>Valladares, Joseph</t>
  </si>
  <si>
    <t>Joseph Valladares</t>
  </si>
  <si>
    <t>oseph Miguel de Torres : para la de Guarda de la Administración general dei arzobispado de México á D. Joseph Valladares : para la de Administrador del partido de Tamagua á D. Antonio Campos *, para la de Guarda del Resguardo unido de Guanaxuato á D. Joseph de Silva: para 1 as de Guarda de la Factor</t>
  </si>
  <si>
    <t>Valledor, Miguel</t>
  </si>
  <si>
    <t>Miguel Valledor</t>
  </si>
  <si>
    <t>graduado de Capitán, y Ayudante segundo de la Compañía de caballeros Cadetes del mismo Real cuerpo, D. Miguel Valledor. También en el regimiento de caballería d.el Rey se ha servido promover S. AL á Alférez al Portaestandarte D. Pedro del Castillo; y en el de España á Portaestandarte al Sargento D</t>
  </si>
  <si>
    <t>Vallej, Juan</t>
  </si>
  <si>
    <t>Juan Vallej</t>
  </si>
  <si>
    <t>se ha servido nombrar para la Canongía de la catedral de Segó-» via , vacante por fallecimiento de D. Juan Vallej.oá D. Manuel de Alva-&gt; ro Benito ; y para, la Capellanía, Real de la capilla de. Granada , que. ha va-» cado por promoción de D. Juan Rafael PorceLá la Abadía de Sta, Fe, Dignidad</t>
  </si>
  <si>
    <t>Vallejo, Francisco</t>
  </si>
  <si>
    <t>Francisco Vallejo</t>
  </si>
  <si>
    <t>el Marques de Alcocebar, D. Francisco Fguia, Duque de Frías, Duque del Infantado, D. Juan Ordoñez, D. Francisco Vallejo, D. Antonio López Sopeña, D. Antonio Hurtado, Condé de Olocau, D. Cárloii v</t>
  </si>
  <si>
    <t>Vallejo, Pedro</t>
  </si>
  <si>
    <t>Pedro Vallejo</t>
  </si>
  <si>
    <t>..... 17. 48. Id. Pedro Vallejo.................'... Santiago, Lucía Lomas.... Celada........... Búrgos.......... 6a. 7. Id. Raymundo Sastre.............. Juan, María Calvo......</t>
  </si>
  <si>
    <t>Valles, Antonio</t>
  </si>
  <si>
    <t>Antonio Valles</t>
  </si>
  <si>
    <t>43. 34. Id. Antonio Valles........ Juan, Lorenza Martinez... Cabrera......... León............... 310. 7. Id. Felipe Mesedo......... Juan , Dorotea Estira</t>
  </si>
  <si>
    <t>Valles, Julián</t>
  </si>
  <si>
    <t>Julián Valles</t>
  </si>
  <si>
    <t>3«. Muerto. Julián Valles....... 43. 34. Id. Antonio Valles........ Juan,</t>
  </si>
  <si>
    <t>Valmaseda, Joseph</t>
  </si>
  <si>
    <t>Joseph Valmaseda</t>
  </si>
  <si>
    <t>e, D. Fernando Manuel de Villena, el Vizconde de Zolina, D. Juan Maduit, D. Juan O-Donojú y O-Rian, D. Joseph Valmaseda, D. Manuel Rizo, D. Francisco Pastor, D. Manuel Ignacio San Juan, D. Juan Senen de Contreras , D. Pedro Lobo y Arjona, D. Diego Orbaneja, D. Joseph Medrano, D. Joaquín de la Chica</t>
  </si>
  <si>
    <t>Valverde, Antonio</t>
  </si>
  <si>
    <t>Antonio Valverde</t>
  </si>
  <si>
    <t>287 distinguido D. Joseph María de Velasco , y á Portaguión al Cadete Don Antonio Valverde. Estampa de Ntra. Sra. con su hijo en los brazos, en medio pliego de marca mayor , pintada por el célebre D. Rafael Mengs, grabada por D.Manuel Esquive!. Se hallará á lors. en la</t>
  </si>
  <si>
    <t>Van Lennep</t>
  </si>
  <si>
    <t>untarios, que son, par,te de dicho cuerpo. . ^ .= 7 i. , ■ ; 1 Está nombrado el ciud. Van Lennep para Presidente de las sesiones e*&gt; traordinarias del cuerpo legislativo, que empezará el 1 2 de este mes, y ep las quale*^ se tratará entre otros puntos de se</t>
  </si>
  <si>
    <t>Van-Dedem</t>
  </si>
  <si>
    <t>xtrangeros cumplimentaron ayer por medio de sus intérpretes. n Reconocido ya el ciud. Van-Dedem como Embajador de la República bátava, le han puesto una-guardia de honor turca en la puerta de su casa. ■ No se sosiegan las turbulencias de Ro'melia: la ciud</t>
  </si>
  <si>
    <t>Van-Dedem-Tot-de-Gelder</t>
  </si>
  <si>
    <t>í á Mr. de Sturmer, Internuncio de S.M. el Emperador de Alemania. * i: * 1 , El ciud. Van-Dedem-Tot-de-Gelder, Enviado de la República báta*; valen Stottgard,llegóeLdiaá esta capital. 1 f &lt; bni , isJ .■fK. El médico aleman Herse ¿ á &gt; quien jse-debe la introducción^de</t>
  </si>
  <si>
    <t>Van-Stenvick</t>
  </si>
  <si>
    <t>eípenninck, Emhaxador de la República bátava , entregó sus récredenciales; y el ciud. Van-Stenvick , que le reemplaza con el mismo carácter, presentó sus credenciales. Ha llegado á París el Embaxador de Inglaterra; pero no será presentado sino en la audienci</t>
  </si>
  <si>
    <t>Vander-Muhr, Coronel</t>
  </si>
  <si>
    <t>Coronel Vander-Muhr</t>
  </si>
  <si>
    <t>esta ciudad 6 diputados de los cantones pequeños, para quienes ha pedido pasaportes del gobierno el Coronel Vander-Muhr. En medio, de las esperanzas de un ajuste pacífico que infunde la llegada de estes diputados, se observa algún principio de fermentación en parte del cantón de Zurich. Sion 2 de S</t>
  </si>
  <si>
    <t>Vansittart</t>
  </si>
  <si>
    <t>hague, nombrado para servir igual encargo en la corte de Lisboa , tendrá por sucesor en Dinamarca'á Mr. Vansittart. Parece que el gabinete prusiano trata de establecer en Dantzick una escuela de marina. El caballero Crawfurth, Ministro británico en el Círculo de la SaxoniaInferior, ha presenta</t>
  </si>
  <si>
    <t>facultad concedida al banco de Londres para que no haga sus pagamentos en dinero___A proposición de Mr. Vansittart ha concedido la misma Cámara permiso para que se traigan directamente de las costas de Francia vinos de aquel pais, tales como los de Borgoña y Champaña, con tal que sea en botell</t>
  </si>
  <si>
    <t>Vantini</t>
  </si>
  <si>
    <t>a de quanto resulte.*' £1 2 de este mes fuéron presentados al primer Cónsul los ciudadanos Vantini, Maire de porto-Ferrayo, Barbesi, Arcipreste , y Sinno, diputados de. la isla de: Elba. El primerq ,hizo un discurso al primer Cónsul; y este encargó;á los dip</t>
  </si>
  <si>
    <t>Várela, Agustín</t>
  </si>
  <si>
    <t>Agustín Várela</t>
  </si>
  <si>
    <t>84. 19. Id. Cabo 2." Agustín Várela... Josef, María García........ Corufia....... Corufia......... 88. 31. Id. Felipe Cezon................... . Baltasar,Casi</t>
  </si>
  <si>
    <t>Varela, Ramón</t>
  </si>
  <si>
    <t>Ramón Varela</t>
  </si>
  <si>
    <t>e Chueca, en Santiago en la del Dr. D. Julián Suarez, profesor de química, y en la Corufia en la de D. Ramón Varela, cirujano del Real hospital. En las mismas se halla á 1 rs. la Memoria de la prolongación de la lengua fuera de la boca, por el mismo autor, y traducida por el citado Perez: memor</t>
  </si>
  <si>
    <t>Joseph Coppola, D. Pedro Antonio Casasola^'D. Joseph*Molina , D. Miguel Taboada, D. Pedro Espinosa, D. Ramón Varela ¿ D. Melchor Magrat, Don Antonio Laprieta, D. Francisco Ezpeleta, D. Juan Albérni, D. Joaquín Puertolas, D, Vicente Pinzón, D. Félix Muñoz, D. Gines Albadalejos . D. Juan Pelayo S</t>
  </si>
  <si>
    <t>Varga, Fernando</t>
  </si>
  <si>
    <t>Fernando Varga</t>
  </si>
  <si>
    <t>calle de la Cruz: D. Francisco María López MoreÍle, lonja.de especería, plazuela de Antón Martin : D. Fernando Varga, plazuela de S. Ildefonso, cerería: Sres. Escvza , hermanos y compañía, carrera de S. Gerónimo: Real compañía de la Buena Fe, callé de la Montera: D. Andrés Alvarez, calle de S. D</t>
  </si>
  <si>
    <t>Variamente</t>
  </si>
  <si>
    <t>Núm. 73. % GAZETA DE DEL MARTES 7 DE SETIEMBRE DE 180a, Constantinopla 2g de Junio. D Variamente llegan á esta capital tropas de las provincias turcas así de Asia como de Europa : descansan unos dias* y van luego ¿ incorporarse con el exército del Capitán Baxá, que mediante e</t>
  </si>
  <si>
    <t>Vas-van Steenwyk</t>
  </si>
  <si>
    <t>as circunstancias de esta desgracia. : Haya 18 de Setiembre. S e asegura que el ciud. Vas-van Steenwyk, Tesorero general de la Re» pública, será nombrado Embaxador de Holanda cerca del gobierno francés. No ménos del Báltico que del mar del -Norte llegan noticias</t>
  </si>
  <si>
    <t>VaUlant, Juan Bautista</t>
  </si>
  <si>
    <t>Juan Bautista VaUlant</t>
  </si>
  <si>
    <t>dé Mos, D¿ António Arce * D. Gerónimo Cifuentes, y D. Antonio de Zamoranó. !í _ . ■ En América. - C D. Juan Bautista VaUlant, D. Pedro Garibay, D. Miguel de Tejada, P. Antonio Narvaez, el Conde Ruiz de Castilla, 0. Joaquín .Cabrera, Do? Rafael María Aguilar, D. Joseph Montero, D. Isidro jLimonta, tD; Jo</t>
  </si>
  <si>
    <t>VauverdenyD, Carlos</t>
  </si>
  <si>
    <t>Carlos VauverdenyD</t>
  </si>
  <si>
    <t>Uztariz, D. Juan de Dios Cabrera, D. Joseph Arredondo, D. Luis María Bonsteten, D. Luis Aygremont, D. Cárlos VauverdenyD. Aüigei Foxá, D. Joaquín de Cea, Don Joseph Éscovedoj Di Pedro Linares, D. Manuei^le San Pedro, D. Ramón de la Cuesta, D. Lorenzo Arroyo, D. Manuel Meneos, D. Joseph Imaz, D. Jose</t>
  </si>
  <si>
    <t>Vayllant, Antonio</t>
  </si>
  <si>
    <t>Antonio Vayllant</t>
  </si>
  <si>
    <t>ntonio de Mora y Ramos, D. Francisco Campos, D. Joaquín Langelé, D. Juan Caequillo, D. Pedro Barat, D. Antonio Vayllant, D. Lúeas Alvarez, D. Joseph Maitmez, D. Francisco Xavier Lamadrid, D. Joseph Antonio HerrezuéloD. Joseph Soto, D. Francisco Leysél, D. Mauricio de Zúñiga, D. Pedro Bermudez, D. R</t>
  </si>
  <si>
    <t>Vázquez y María Verano, Juan</t>
  </si>
  <si>
    <t>Juan Vázquez y María Verano</t>
  </si>
  <si>
    <t>fincas sitas en la villa del Viso y su término, pertenecientes al patronato de sangre que fundáron D. Juan Vázquez y Doña María Verano su muger, y se venden á voluntad de su actual poseedor , y son las siguientes : una tierra al sitio que dicen la Iguesiiía, de caber 400 estadales, tasado cada uno á real y medio</t>
  </si>
  <si>
    <t>Vázquez, Fernando</t>
  </si>
  <si>
    <t>Fernando Vázquez</t>
  </si>
  <si>
    <t>do Teniente de granaderos al de fusileros D. Antonio Ximenez: en el de Toledo á Capitán al Ayudante D. Fernando Vázquez: en el de León á Capitán de granaderos aL de fusileros D. Joseph de León: en el de América á Capitán al Ayudante D. Juan Calvo; á primer Teniente de granaderos al de fusileros D.</t>
  </si>
  <si>
    <t>Vázquez, Juan</t>
  </si>
  <si>
    <t>Juan Vázquez</t>
  </si>
  <si>
    <t>. Anselmo Plaza , D. Francisco González de la Vega, D. Joseph Antonio de Terán, D. Vicente Vázquez, Don Juan Vázquez, D. Manuel Quiroga y Cornide, D. Gonzalo4H¿1 Lema, D. Xavier García Flores, D. Rosendo Abal, D. Juan Joseph. Navajas, D. Juan Patricio Rodríguez, D. Joseph Benito Romero, D. Joaqu</t>
  </si>
  <si>
    <t>Vázquez, Pedro</t>
  </si>
  <si>
    <t>Pedro Vázquez</t>
  </si>
  <si>
    <t>zarte y A-valf, Antonio Pardo de Andrade, D. Bernardo de Eguia y Sanz, Don Joseph*García Güitléfmi, D. Pedro Vázquez deVelasco, D. Joseph Abreu y Orta', Ií Joseph de Villegas y Córdoba , D. Antonio Calvillo y Lata, Di Luis'Blanchi y Munarini, D. Joseph Kenrique Forvin, D. Joaquiir dé Villalba, D. C</t>
  </si>
  <si>
    <t>Vázquez, Vicente</t>
  </si>
  <si>
    <t>Vicente Vázquez</t>
  </si>
  <si>
    <t>D. Juan Navarro , D. Anselmo Plaza , D. Francisco González de la Vega, D. Joseph Antonio de Terán, D. Vicente Vázquez, Don Juan Vázquez, D. Manuel Quiroga y Cornide, D. Gonzalo4H¿1 Lema, D. Xavier García Flores, D. Rosendo Abal, D. Juan Joseph. Navajas, D. Juan Patricio Rodríguez, D. Joseph Benit</t>
  </si>
  <si>
    <t>Veazqua, Francisco</t>
  </si>
  <si>
    <t>Francisco Veazqua</t>
  </si>
  <si>
    <t>....... 540. 14/Id. Francisco Veazqua............. Gabriel, Libretas Martinez. Gabarros....... León.............. 537. Id. Josef Arias............................ Manuel, Marí</t>
  </si>
  <si>
    <t>Vega y Caballero, Juan Ignacio</t>
  </si>
  <si>
    <t>Juan Ignacio Vega y Caballero</t>
  </si>
  <si>
    <t>r para otra Canongía de la referida catedral, vacante por muerte de D. Ignacio Antonio Domenech , á D. Juan Ignacio Vega y Caballero, Racionero de la propia iglesia: para esta Ración al Medio-Racionero D. Juan Manuel de España: para esta Media-Ración á D. Ignacio Sánchez Ibañez, Capellán de las monjas de Sta. I</t>
  </si>
  <si>
    <t>Vega, Manuel</t>
  </si>
  <si>
    <t>Manuel Vega</t>
  </si>
  <si>
    <t>40. 24. Id. Manuel Vega......... Vicente, Manuela Calvete. Quintanilla.. León............... 87. 30. Id. Domingo Morillo..... Alonso, Ma</t>
  </si>
  <si>
    <t>Veguér' y Martiller, Antonio</t>
  </si>
  <si>
    <t>Antonio Veguér' y Martiller</t>
  </si>
  <si>
    <t>beyto, I&gt;. Juan de Bustamante y Bustamante, D. Joaquín del Pollo Sagasú, D. Pedro Negrete y Talla , Don Antonio Veguér' y Martiller, D. Joseph Salazar: jr. Ayendelagua, D. Ma-, nuel Abreu y Orta, D. Ignacio del Valle y ¡Máttmon , D. Manuel Primo de Ribera , D. Joseph de Santiago; y.García, D. Manuel de Clement</t>
  </si>
  <si>
    <t>Veiasco, Antonio</t>
  </si>
  <si>
    <t>Antonio Veiasco</t>
  </si>
  <si>
    <t>l6« 9* Icf* Antonio Veiasco.................. Viljamor..... Ciudad-Real. 64. 18. Id. Torquato Toribio................. M</t>
  </si>
  <si>
    <t>Veintiquatro de Sevilla</t>
  </si>
  <si>
    <t>eniente general de la artillería de las-quatro villas de la costa.de Cantabria, Veintiquatro de Sevilla, Teniente General de los Rea» Jes exércitos, Sargento Mayor é Inspector dél regimiento de Reales Guardias Españolas de Infantería, habiendo servido á S. M. desde 15 de Abril del año de 1748</t>
  </si>
  <si>
    <t>Velarde, Joseph Antonio</t>
  </si>
  <si>
    <t>Joseph Antonio Velarde</t>
  </si>
  <si>
    <t>seph María dé A y ala» y Subteoicñres de fusileros á los Cadetes í). Félix Paredes, D. Mateo Matos, D. Joseph Antonio Velarde y D. Joseplf Antonio Diaz. En el regimiento fixo de Cartagena ha promovido S. M. á Capitán al Ayudante D. Leandro Echevarría. r En la extracción de la Real lotería executada el lunes</t>
  </si>
  <si>
    <t>Velazquez, Diego</t>
  </si>
  <si>
    <t>Diego Velazquez</t>
  </si>
  <si>
    <t>de Rembrant pintado por él mismo. En el museo de esta ciudad está de venta otra pintura del célebre D. Diego Velazquez, conocida con el nombre de la degradación de los colores. Un aficionado ingles jjia ofrecido 1© guineas mas de lo que daba un Agente español por esta obra maravillosa. Haya jo de</t>
  </si>
  <si>
    <t>Velazquez, Joaquín</t>
  </si>
  <si>
    <t>Joaquín Velazquez</t>
  </si>
  <si>
    <t>de fusileros D. Francisco Nicasio Carrascosa; al empleo que este dexa al Subteniente de granaderos D. Joaquín Velazquez; a Subteniente de granaderos al de fusileros D. Alexo Alarcon, y á Subtenientes de bandera al Cadete D. Joseph Alaix y á D. Joseph de la Huelga, Sargento primero deí mismo cuerpo.</t>
  </si>
  <si>
    <t>Velazquez, Luis Joseph</t>
  </si>
  <si>
    <t>Luis Joseph Velazquez</t>
  </si>
  <si>
    <t>mero y propietario de su Ayuntamiento, hasta el 1 g de Marzo. Orígenes de la poesía castellana, por D. Luis Joseph Velazquez, caballero del érden de Santiago, de la academia Real de la historia , y de la de las inscripciones, medallas y bellas letras de París: un tomo en 4.0 , segunda edición muy mejora</t>
  </si>
  <si>
    <t>e las letras desconocidas que se encuentran en. las antiguas medallas y monumentos de Espafia , por D. Luis Joseph Velazquez, Marques de Valdeflores. z=zDiccionario geográfico-histórico de Espafia por la Real academia de la Historia : sección primera : comprehende el rey no de. Navarra , sefierío de Viz</t>
  </si>
  <si>
    <t>Velazquez, Ramón</t>
  </si>
  <si>
    <t>Ramón Velazquez</t>
  </si>
  <si>
    <t>tina, D. Ramón Velazquez, D. Joseph Domingo Martínez, D. Joseph Calderón y D. Ramón Ponce de León; y en el de infantería provincial de Valladolid de Mechoacan á Subteniente á D. Bernardino Pini y Ledos. H</t>
  </si>
  <si>
    <t>Velazqyez, Joaquín</t>
  </si>
  <si>
    <t>Joaquín Velazqyez</t>
  </si>
  <si>
    <t>o Guarda, D. Joseph ParboyD. Pedro Joseph de Benavente, D. Antonio Salcedo-, D. Gregorio Escamilla, D. Joaquín Velazqyez, D. Manuel</t>
  </si>
  <si>
    <t>Velez de Guevara, Luis</t>
  </si>
  <si>
    <t>Luis Velez de Guevara</t>
  </si>
  <si>
    <t>ión del libro ei Diablo coxuelo, verdades sofiadas y'novelas de la otra vida, traducidas á esta por D. Luis Velez de Guevara, añadidas con enigmas y dos novelas: un tomo en B.° Se hallará en ia librería de Calleja, calle de Majaderitos, á 8 rs. en pasta y 6 en pergamino. Los enredos de un lugar, ó histo</t>
  </si>
  <si>
    <t>Velez, Alonso</t>
  </si>
  <si>
    <t>Alonso Velez</t>
  </si>
  <si>
    <t>antiago de Córdoba y D. Juan Escudero; á Tenientes los Subtenientes de granaderos D. Miguel Agusto, D. Alonso Velez y D. Joseph Lino Garzón, y al de fusileros D. Juan de Lugo; y á Subte-' nientes de granaderos los de fusileros D. Francisco Romero, D. Vicente* Vinegra y D. Eugenio Tarrio. El Rey se</t>
  </si>
  <si>
    <t>Veminac</t>
  </si>
  <si>
    <t>e las tropas: francesas que hay en. Suiza. Ya salió de esta ciudad para León el ciud. Veminac llamado por el pri* qier Cónsul para, que: le informe sobre el actual estado de los asuntos de este pais. Venecia 8 dé Diciembre. E I Emperador en calidad de D</t>
  </si>
  <si>
    <t>Venancio de Vera, Luis</t>
  </si>
  <si>
    <t>Luis Venancio de Vera</t>
  </si>
  <si>
    <t>eros, Xefe de la Furriera con un Ayuda del propio oficio, firmaron SS. MM., sirviéndoles el tintero D. Luis Venancio de Vera, su Ayuda de cámara. Debaxo de las firmas de SS. MM. hiciéron las suyas en columna y por su orden el Príncipe Ntro. Sr., la Sra. Infanta novia y los Sres. Infantes D. Cárlos María</t>
  </si>
  <si>
    <t>Venancio Escanell</t>
  </si>
  <si>
    <t>do S. M. el empleo:de;Teniente al Alférez Dv Tiburcio Iglesias; y su resulta al Soldado distinguido D. Venancio Escanell*. Los accionistas de la Caxa de Descuentos; de. esta corte y residentes en Madrid?; cuyos, títulos y apellido^ comiencen condas iniciales , comprehendidasdesde la A basta la j inc</t>
  </si>
  <si>
    <t>Venceslao de Colloredo, Conde</t>
  </si>
  <si>
    <t>Conde Venceslao de Colloredo</t>
  </si>
  <si>
    <t>empleo de Inspector de las fortalezas y fronteras de la monarquía austríaca, vacante por muerte del Conde Venceslao de Colloredo. Entre el Ministro Conde de Cobentzel , el Embajador de Fratíeiír Champagni y el Enviado prusiano Conde- de Keller', se- han celebrado e's*tos dias varias conferencias relativas,</t>
  </si>
  <si>
    <t>Venceslao Prieto</t>
  </si>
  <si>
    <t>el de Murcia á Capitán ai primer Teniente D. Juan Irisarri: en el de Amé•rica á Cap-tan al Ayudante D. Venceslao Prieto-: en el de Málaga al empleo de Teniente Coronel al Comandante del tercer batallón deí de Mallorca D. Joseph Bermudez de Castro , y á Subteniente de granaderos al primer Subteniente</t>
  </si>
  <si>
    <t>Venegas y Aguilar, Diego</t>
  </si>
  <si>
    <t>Diego Venegas y Aguilar</t>
  </si>
  <si>
    <t>athéo, D. Femando Dominicis , y D. Juan de Cárdenas y Cárdenas. A Alféreces de Navio los de Fragata D. Diego Venegas y Aguilar, D. Manuel Murga, *p. Ventura Gutiérrez de Bustillo, D.: Joseph Roso y González, D. Joaquín Aróstegni, Don Joaquín Ibañez dé Corbera, D. Joseph Valdasano y Ros, D. Joseph del Rio</t>
  </si>
  <si>
    <t>Venéro y Senli, Juan</t>
  </si>
  <si>
    <t>Juan Venéro y Senli</t>
  </si>
  <si>
    <t>eph Sáavedra y Chaves, D. Miguel Basabru, £&gt;. Ramón Pardo y Lama, D. Francisco Ruiz de la Escalera, D. Juan Venéro y Senli, D. Francisco Lasqueti y Lasqueti, DI Joseph de Castró y Navarro, D. Ramón Saavedra y Guiralde, D. Juan de Castro Gómez, D. Manuel Uliente y Gabilla , t). Pedro Quevedo y Hoyos, D</t>
  </si>
  <si>
    <t>Ventara, Matías</t>
  </si>
  <si>
    <t>Matías Ventara</t>
  </si>
  <si>
    <t>el de Afagan segunda Tenencia de granaderos al de fusileros D. Matías Ventara : en-el de la Princesa primera Tenencia al segundo Teniente de granaderos IX Manuel Otero; y en el de Borbon segunda Tenencia al Subteniente de granaderos D. Juan pucro's: la resu</t>
  </si>
  <si>
    <t>Ventufe Merino</t>
  </si>
  <si>
    <t>agón f D. Joseph Losada RíV era /Ó.’Domíngolde^M^tienzd y ligarte , 1).*»Manuel Jove Huelgo Pifefo ,D. Ventufe Merino1 y Llanera^ D. Rafael Morales y Gallegás^ l!&gt;v Melchor Nieto Polo, D. RarnóñTa— oigoe | 'w»it j *^4 jw»i ^vv*vuv* j ( 4 «/vía Tomas Briones y^innuói, D-Mahuel C^ll^P^résy ^H. Pedr</t>
  </si>
  <si>
    <t>Verde, Gerónimo</t>
  </si>
  <si>
    <t>Gerónimo Verde</t>
  </si>
  <si>
    <t>orre del Freino, *DY Casimiro BofaruÜ, D."AntonioCorrea, D. Joseph Joaquín Martí, D. Mateo Arrióla, D. Gerónimo Verde, D. Juan Kindelan, D. Juan O-Neilie, el Conde de Castrillo y Orgaz, D. Joseph Casamayor , D. Joseph GenaroSa-? lazar, D. Gerónimo la Grúa* D. Joaquín Manuel de ViHena, D. Luis Idi</t>
  </si>
  <si>
    <t>Verdier, General</t>
  </si>
  <si>
    <t>General Verdier</t>
  </si>
  <si>
    <t>lange, Embajador de S. M. Católica en la corte dé Viena; y él día 17 salió para Roma, Por orden del General Verdier se le hicieron todos los* honores militares. Parnia 2.$ de Febrero. - &gt; E l 18 por la noche vino aquí el General Dedemm, Enviado extraordinario de la República bátava, que va á cu</t>
  </si>
  <si>
    <t>Verdugo, Domingo</t>
  </si>
  <si>
    <t>Domingo Verdugo</t>
  </si>
  <si>
    <t>l lugar de Terror, en aquel obispado; para una Canong'a de la misma catedral, vacante por muerte;de D. Domingo Verdugo,:á D. Santiago Bencomo; y para otra de la colegial de V alpue ta, en ¿a diócesi&gt; de: Burgos, vacante por fallecimiento de IX Juan Bautista de Alegría, á Don Santiago Izar de la Fu</t>
  </si>
  <si>
    <t>Verganza, Luis</t>
  </si>
  <si>
    <t>Luis Verganza</t>
  </si>
  <si>
    <t>Toribio Olalde, D. Joseph Mar ría Esquivel, D. Joseph Catalan, D. Blas de Lezo, D. Joseph Martínez, D. Luis Verganza y D. Zeferino Carrillo. En rudimentos.de latinidad, baxo la dirección de su maestro D. Andrés Beiztegui, los seminaristas D. Joseph de Torres, eí Marques de Iranda, D. Martin Esterrip</t>
  </si>
  <si>
    <t>estros D. Joseph Quintana y D. Joseph Soto, los seminaristas D. Toribio Olalde, D. Joachín del Rio, D. Luis Verganza, D. Joseph de Eíquivel , D. Iñigo Ortés , Don Blas de Lezo, D. Leopoldo Menendez y D. Ignacio de Lardizabal, Ln el ba) le, al cargo de su maestro D. J uan Castro, D. Joseph Kindel</t>
  </si>
  <si>
    <t>Verger, Joseph</t>
  </si>
  <si>
    <t>Joseph Verger</t>
  </si>
  <si>
    <t>la villa de Muía, en la diócesis de Cartagena, vacante por fallecimiento de D.'Valentín González, á D. Joseph Verger ; y para la Capellanía de la: Real capilla de Sres. Reyes nuevos de Toledo, vacante por muerte de D. Hilario Peñalver, á D. Juan Joseph Cano Tribaldos. S. M. se ha servido promove</t>
  </si>
  <si>
    <t>Verges, Juan</t>
  </si>
  <si>
    <t>Juan Verges</t>
  </si>
  <si>
    <t>expósitos) ios que lo fueron por dicho facultativo, y habiéndolo también sido muchos por los Dres. D. Juan Verges, Médico consultor de los Reales exércitos, y D. Ventura Roca, y por los Licenciados en cirugía D. Josepli</t>
  </si>
  <si>
    <t>Verges, Pedro Antonio</t>
  </si>
  <si>
    <t>Pedro Antonio Verges</t>
  </si>
  <si>
    <t>Beneficio simple de la villa de Arjona, diócesis de Jaén, vacante por muerte de D. Diego Ximenez, á D. Pedro Antonio Verges. También ha nombrado S. M. sugetos para los Beneficios siguientes, que han vacado por muerte del Sr. Cardenal Zelada, ocurrida in Curia, en esta forma: para los de VMaescusa de I-</t>
  </si>
  <si>
    <t>Verniaac</t>
  </si>
  <si>
    <t>no también de todos los suizos amantes de su patria." Berna j de Noviembre. E 1 ciud. Verniaac, Ministro de la República francesa, ha salido para París, en donde asistirá la consulta helvética. Parece que luego volverá aqi4 con su mismo destino; y entre</t>
  </si>
  <si>
    <t>Verninac</t>
  </si>
  <si>
    <t>lica bátava al ciud. Thormann , que anteriormente fué Secretario del Senado. El ciud. Verninac , Ministro de Francia, reconoció este nuevo gobierno luego que se imtaló el pequeño Consejo, y que así se lo. comunicaron de oficio dos Senadores. Al dia sigui</t>
  </si>
  <si>
    <t>o aquella corte ai ciud. Muiler por Encargado de negocios de esta República. El ciud. Verninac,-Ministro de Francia residente aquí, ha escrito la siguiente carta al Landammann. y ¿ los Stathalters,'con fecha de 18 de este mes. „ Ciudadanos. En vuestra fa</t>
  </si>
  <si>
    <t>Ayudante general fiel primer Cónsul; desdeJüego se ¿transfirió al Senado con el ciud. Verninac , Ministro de Francia , y entrego al Presidente una proclama dirigida por Bonaparte á los i^ cantohés, fecha en S. Claud 30 dé Setiembre. Después que se leyó d</t>
  </si>
  <si>
    <t>Vernlnac</t>
  </si>
  <si>
    <t>34§ por el ciud. Vernlnac , Ministro francés én Berna , y por el General Montrichard, comandante de las tropas francesas en Suiza, encargados del arreglo de dicho país en nombre del gob</t>
  </si>
  <si>
    <t>Vertizveria, Joseph</t>
  </si>
  <si>
    <t>Joseph Vertizveria</t>
  </si>
  <si>
    <t>Orozco y Herrera, D. Alexo Gutiérrez de Rubalcava, D. Martin Olavidey Andrade,D. Fernando Zambrano,D. Joseph Vertizveria, Don Joaquín Nuñez Falcon, D. Manuel Borroeta y Ozaeta, D. Antonio Piédrola y Verdugo,©. Pedro Mosti y Arrambide,D. Juan de Muía y Guevara, D. Joseph Achaval y Orueta, D. Pedro Ba</t>
  </si>
  <si>
    <t>Vescher</t>
  </si>
  <si>
    <t>guarnición. El dia 15 se convocó el Cuerpo legislativo, siendo su Presidente el ciudadano Vescher. El gobierno envió con un mensage el tratado definitivo de Amiens, y al dia siguiente le ratificó el Cuerpo legislativo , como también un convenio separado con</t>
  </si>
  <si>
    <t>Veyan, Luis</t>
  </si>
  <si>
    <t>Luis Veyan</t>
  </si>
  <si>
    <t>ario D. Miguel Rengel: á ordinario á D. Fernando Pirez, extraordinario; y á este empleo al Ayudante D. Luis Veyan. En América. El Rey se ha servido nombrar para el Arzobispado de México, vacante por fallecimiento de D. Alonso Nuñez de fíaro y Peralta, al Dr. D. Francisco Xavier de Lizana y Be</t>
  </si>
  <si>
    <t>Vfééifte Ganó Manuel</t>
  </si>
  <si>
    <t>promoción de D.: Sancho de Llamas á plaza del Consejo de Hacienda, ha venido él Rey éft ñothbrar £ D. Vfééifte Ganó Manuel^ Oidor de lá Cháncillería de ^ f “ :paráestá plaza áí D. Jüan RomerO Alpuéflté^ Fiscal dét crímeh J&gt;; Vícénté Fhfn¿ 'ÁshnwmoLjia vemdo S. M. eiyiibílár á los Oidores de la ]propia</t>
  </si>
  <si>
    <t>VFrancisco Ximenez</t>
  </si>
  <si>
    <t>l, é ilustradas con notas sacadas de los SS. PP. y expositores sagrados , por 3&gt;VFrancisco Ximenez , presbítero: nueva impresión, £ Ja qual se han añadido las canónicas de los Apóstoles Santiago, S. Pedro, S. Juaá y S. Judas'Tadeo, é igualmente con notas: un tomo en 8.° marquilla. ¿He halla</t>
  </si>
  <si>
    <t>Vi, Jorge</t>
  </si>
  <si>
    <t>Jorge Vi</t>
  </si>
  <si>
    <t>eph Eligió y D. Miguel Valera; á Subtenientes de granaderos los de fusileros D. Manuel María Perez, D. Jorge Vi«* llers y D. Joseph Recio ; á Subtenientes de compañía los de bandera Don Ramón Castillo, D. Joseph María Canalejo y D. Domingo Gallegos; y í esta última clase el Cadete D. Joseph</t>
  </si>
  <si>
    <t>Viages de Juan Gulliver</t>
  </si>
  <si>
    <t>lo y ¡Escribanocalle de las Carretas. ra ín recoger cali. El Nuevo Gúlíiver , ó Viages de Juan Gulliver, hijo del Capitán, traducid» ya enfrances, es una imitación;de aquel, y esta imitación es un buen testimonio del apreció qué ha merecido la obra que se anuncia. Véndense los tres tomos</t>
  </si>
  <si>
    <t>Vianqui, Juan</t>
  </si>
  <si>
    <t>Juan Vianqui</t>
  </si>
  <si>
    <t>uan del Pino y D. Pascual Agustín Martínez, y á Subtenientes de compañía y de bandera á los Cadetes D. Juan Vianqui, D. Miguel Celada, D. Cosme Ramírez de Arellano y D. Isidro Mendez, y á los Sargentos D. Joaquín Sánchez, D. Antonio Cermeño y D. Juan González. El Consejo, á consulta de la Comis</t>
  </si>
  <si>
    <t>Vicario, Cardenal</t>
  </si>
  <si>
    <t>Cardenal Vicario</t>
  </si>
  <si>
    <t>io'de húéStéb Cardenal Legado d latere, publicarémos en esta ciudad un jubileo por medio de nuestro Cardenal Vicario, y prescribiremos lo que se ha de éxecutar para ganarle.’* - París j $ de Junio. -■ . ■&gt;. P or el ministerio dé Marinarse han publicado las dos siguientesjcantas del General Lecle</t>
  </si>
  <si>
    <t>Vícéfíté Salcedo</t>
  </si>
  <si>
    <t>Lucas Salazar, D. Ramón Serrano, D. Juan Joseph Martínez, D. Joseph María Cano, D. Francisco Real,-D. Vícéfíté Salcedo, D. Lúeas de Mena, D. Joseph Viladomar, D. Juan de Álbarrilla, D. Gonzalo Martínez, D. Cosme Marín, D. Serafín del Rincón, D. Mariano Carrasco, D. Vicente Pico, í). Antonio Arias</t>
  </si>
  <si>
    <t>Vicenta López</t>
  </si>
  <si>
    <t>nombre de los niños , recitó una anacreóntica en acción de gracias, y dixo otra en el de las niñas Doña Vicenta López., Continuó D. Tomas de Otero, vice-secretario de la sociedad y secretario? de la junta de béneficencia unida á este Real cuerpo, leyendo un resumen histórico de su establecimiento</t>
  </si>
  <si>
    <t>Vicente Alonso</t>
  </si>
  <si>
    <t>yo. io. Muerto. Vicente Alonso.................... Andrés , Catalina Medina.. ViilardeFra- León............</t>
  </si>
  <si>
    <t>Vicente-Yanez, Pedro</t>
  </si>
  <si>
    <t>Pedro Vicente-Yanez</t>
  </si>
  <si>
    <t>Ó.I3 obtiene, y quedará;vacante, á D. Pedro Vicente-Yanez: para la Dignidad d[e Tesorero de la catedral de Canaria, vacante por fallecimiento de Don Diego Nicolás Eduardo, á JX Mateo Ponce de Vargas, Cura de la parroquia del lugar de Ter</t>
  </si>
  <si>
    <t>Víctor Amadeo</t>
  </si>
  <si>
    <t>compafíáron á dicho Príncipe en sus prosperidades y en sus infortunios, y traducida del francés por Don Víctor Amadeo, caballero de la Boyre. Véndese á 3 rs. en la librería de la viuda de Cerro, red de S. Luis, y en su puesto, calle de Alcalá. Cultura del entendimiento, ó medios para facilitar la</t>
  </si>
  <si>
    <t>Víctor Antonio, Archiduque</t>
  </si>
  <si>
    <t>Archiduque Víctor Antonio</t>
  </si>
  <si>
    <t>de Marzo. E 1 Cabildo de esta catedral y el de Wurtzburgo están en ánimo de elegir por Coadjutor al Archiduque Víctor Antonio. Por una nueva ordenanza del Elector de Baviera se suprimen varios conventos en el Alto-Palatinado. Los comisarios electorales han formado ya una razón de los bienes muebles y raí</t>
  </si>
  <si>
    <t>Víctor Moreno</t>
  </si>
  <si>
    <t>3. 16. Id. Víctor Moreno...................... Santiago, Manuela García. Nava del Rey...........</t>
  </si>
  <si>
    <t>Víctor Vinader y Paz</t>
  </si>
  <si>
    <t>nedo y Anuncibay, D. Ramón Truliól y Andreu, D. Juan Olaegui y Aguilar, D. Agustín Manglano y Ruiz, D. Víctor Vinader y Paz, D. Vicente de Lago y León, D. Per dro de Landazuri, D. Joaquín Soroa y Soroa , D. Fernando Bustamante y Bustamante, D. Adrián Morqúecho, D. Mateo Vicente y Crespo, Don Joseph Baz</t>
  </si>
  <si>
    <t>Víctor Wirtz</t>
  </si>
  <si>
    <t>García Orozco, D. Joaquín Regnart y Pont, D. Domingo Larripa, £&gt;. Juan Rayberte, D. Juan Borlasca, D. Víctor Wirtz , D. Francisco Schnernaver, Don Jayme Stóffel, D. Joseph Chaqué, D. Jayme Steudinger, D. Juan Cristiano Bagnioud, D. Francisco Zey, D. Ghristóbal Fohn, D. Joséph Trax* ler, D. Fra</t>
  </si>
  <si>
    <t>Victoria, María Ana</t>
  </si>
  <si>
    <t>María Ana Victoria</t>
  </si>
  <si>
    <t>ga, viuda; Grande de España de primera clase ; Camarera mayor que fue de la Serenísima Sra. Infanta Doña María Ana Victoria, y Dama Noble de la orden de la Reyna María Luisa. Su fondo de religión, cimentado sobre un juicio sólido; el acendrado amor que siempre tuvo á nuestros augustos Soberanos y Real</t>
  </si>
  <si>
    <t>Victorio, Antonio (archiduque)</t>
  </si>
  <si>
    <t>Archiduque Antonio Victorio</t>
  </si>
  <si>
    <t>de Múnster, y la parte del Electorado de Colonia situada en la derecha del Rhin, se concediesen al Archiduque Antonio Victorio, quien de este modo llegaría á obtener ambas dignidades; ó á lo menos que no se opusiese á que el Archiduque tomase á su cargo las riendas de los dos países hasta el momento en qu</t>
  </si>
  <si>
    <t>Vidal y Bou, Joseph María</t>
  </si>
  <si>
    <t>Joseph María Vidal y Bou</t>
  </si>
  <si>
    <t>tamiento, en particular D. Francisco dé Paula Puig de Samper; D. Juan Antonio Boixar y Tabregues, y D. Joseph María Vidal y Bou , habiendo presentado varios planos que tenían hechos, revistas de Comisario, extractos,, ajustes de tesorería, y particulares de pagas y compañías por el Habilitado , causas idea</t>
  </si>
  <si>
    <t>Vidal, Pedro Benito</t>
  </si>
  <si>
    <t>Pedro Benito Vidal</t>
  </si>
  <si>
    <t>calde mayor de la ciudad de Motril á D. Joseph Manuel Rodríguez Valderábano: para la de Algecíras á D. Pedro Benito Vidal: para la de la villa de Medellin á D. Joseph Meliton de Nava: para la de la isla de la Palma , en Canarias, á D. Juan de Mata Franco; y para la del Valle delguña, de nueva creació</t>
  </si>
  <si>
    <t>Vidal, Tomás</t>
  </si>
  <si>
    <t>Tomás Vidal</t>
  </si>
  <si>
    <t>200. Id. Tomas Vidal........................ Antonio, Manuela Fernandez................................ Andamas.... León............... 30 5. 17. Id. Joaquín Alonso................ . Hipólito, Is</t>
  </si>
  <si>
    <t>Vidaror, Juan</t>
  </si>
  <si>
    <t>Juan Vidaror</t>
  </si>
  <si>
    <t>pe López de Arjona, D. Joseph Rivera, D. Joseph Cabrera, D. Ignacio Salens , D. M.a-. nuel Vázquez, D. Juan Vidaror, D. Joseph Anillo, D. Mauricio Alva-, rez, D, Manuel Hinojosa, D. Joaquín Luyando, D. Juan Bosa, D. Bas^ cual Martinez, D. Juan Menendez,' D. Baltasar García Galio, D. Francisco P</t>
  </si>
  <si>
    <t>Vidarte, Blas</t>
  </si>
  <si>
    <t>Blas Vidarte</t>
  </si>
  <si>
    <t>s siguieron ios exámenes de las ciases de matemáticas establecidas por la sociedad, .en. los quales D. Blas Vidarte, Alférez de Carabineros de la Reyna María Luisa, discípulo del primer catedrático D. Sebastian Morera, se distinguió particularmente, mereciendo que todo el concurso elogiase la i</t>
  </si>
  <si>
    <t>Vidarte, Luis</t>
  </si>
  <si>
    <t>Luis Vidarte</t>
  </si>
  <si>
    <t>284 reecion de su maestro D. Joseph Joachín de Guevara fuéron examinados D. Joachín del Rio, D. Luis Vidarte, D. Toribio Olalde, D. Joseph Mar ría Esquivel, D. Joseph Catalan, D. Blas de Lezo, D. Joseph Martínez, D. Luis Verganza y D. Zeferino Carrillo. En rudimentos.de latinidad, baxo l</t>
  </si>
  <si>
    <t>üero, D. Joseph Cia, D. Leopoldo Menendez, D. Joseph de Torres, D. Joseph Munive, D. Luis Verganza, D. Luis Vidarte, D. Joachín del Rio, D. Francisco 1 respalacios , D. Francisco ÍNecochea , D. Joseph Gaitan , D. Mariano Zapata , D. Agustín y D. Luis Duran. Presentaron por último los car-l tapa</t>
  </si>
  <si>
    <t>tellana, baxo la dirección de D. Francisco Aranzabal, D. Bernardino Echagfte, el Marques de Iranda, D. Luis Vidarte, D. Toribio Olalde, D. Valentín Martínez, D. Ramón Carrillo, D. Ceferino Carrillo y D. Manuel Carnara. En matemáticas, baxo la dirección de sus dos profesores D. Joseph Antonio de</t>
  </si>
  <si>
    <t>Luí* Duran* D- .Manan®: Zapata, D.JEodngo y D. Pedro Tavíra, D. Leopoldo Menead», P- JosephTorres, D. Luis Vidarte, i D-Í'o¿qum del ÍÜo, D. Frabciscf» trespalaeios y D, JuanEantista Geram; los seminaristas D. Joseph María Munive y D. Agustín Duran ajo fueron examinados por indisposición de sal</t>
  </si>
  <si>
    <t>Vidaurre, Diego</t>
  </si>
  <si>
    <t>Diego Vidaurre</t>
  </si>
  <si>
    <t>te dexa á D. Joseph María San Martin, Tesorero de la propia ; y para esta al Canónigo Penitenciario D. Diego Vidaurre. S. M. se ha dignado conferir el Gobierno militar y político de la provincia de Cuenca, en el Vireynato de Sta. Fe, al Coronel D. Melchor Aymerich, Capitán que era deí regimiento</t>
  </si>
  <si>
    <t>Vieente Rosique</t>
  </si>
  <si>
    <t>go; Encina , D. Manuel de la Cruz., D¿ Diego de Mesa , fc)oñ Pedro déPCastillo, D. Joaquín Oquendo, D. Vieente Rosique, D. Cle^* mente Falcon 9 D. Francisco Reyna ¿ D; AntonioBracho, D.Juan Munar-i Hié, D. Vicente Reyna ,'D. Fernando AgniWe, D^Fernando Gabriel, Don Ramón Lope, D. Juan Camargo, D.</t>
  </si>
  <si>
    <t>Viernes Carrafa, Maria</t>
  </si>
  <si>
    <t>Maria Viernes Carrafa</t>
  </si>
  <si>
    <t>1288 Por testamento otorgado en Vallado’id á 26 de Octubre último por Doña Maria Viernes Carrafa instituyó herederos á sus sobrinos JD. Antonio Vismes y sus hermanos, y á los primos de estos hijos de í&gt;. Joseph Vismes: é ignorándose el paradero de estos últimos, se les avisa</t>
  </si>
  <si>
    <t>Vieyra, Joseph Ignacio</t>
  </si>
  <si>
    <t>Joseph Ignacio Vieyra</t>
  </si>
  <si>
    <t>da de la propia Factoría á D. Francisco Reynoso :. para la de Oficial 2.0 de la Factoría deOaxaca á D. Joseph Ignacio Vieyra : para la de Guarda de la misma á B. Juan Manuel Abalos: para la de Interventor de la de Orizava a D. Antonio Morillas : para Oficial 2.0 de. la Contaduría de la de Pueblaá D. Ana</t>
  </si>
  <si>
    <t>Vigil de Quiñones, Manuel</t>
  </si>
  <si>
    <t>Manuel Vigil de Quiñones</t>
  </si>
  <si>
    <t>fael Pezzino, D. Luis Ranea ño, Don Juan Meric, D. Antonio Bocarro, D. Juan Feliu, D. Juan Desnaux, Don Manuel Vigil de Quiñones, D. Joseph Ponce de León, D. Francisco Soler, el Conde de Maceda, D. Joseph Bermudez de Castro, D. Roque Antía, D. Antonio Darcourt, D. Tomas Kindelan , D. Juan de Dios Alvarez Or</t>
  </si>
  <si>
    <t>Vigneron</t>
  </si>
  <si>
    <t>correos de gabinete, ÍncIu.io uno ruso y otro turco. Hace algún tiempo se prendió en esta ciudad á Mr. Vigneron, como cómplice del Príncipe de Salín en la fal ificacion de billetes del banco de Altona, y se envió á aquella ciudad. Recientemente intentó escalar su cárcel, para lo qual cortó</t>
  </si>
  <si>
    <t>Vignole, General</t>
  </si>
  <si>
    <t>General Vignole</t>
  </si>
  <si>
    <t>de este mes dio S. B. la birreta cardenalicia á los nuevos Purpurados. El 31 de Marzo llegó aquí el General Vignole con su familia, como también el ciud. Deden, Enviado extraordinario y Ministro plenipotenciario cerca del Rey de Etruria. Al dia siguiente fueron presentados á S. S, por el Minist</t>
  </si>
  <si>
    <t>ViHeneuve, Almirante</t>
  </si>
  <si>
    <t>Almirante ViHeneuve</t>
  </si>
  <si>
    <t>an llegado á la mitad de su carrera, y se preparaban á volver al punto de donde saliéron. El Contra-Almirante ViHeneuve, comandante en xefe de las fuerzas navales apostadas en las islas de Barlovento y de Cayena ,ha escrito at Ministro de la Marina y de.las;«Colonias la siguiente carta. , í A bordo</t>
  </si>
  <si>
    <t>Viilaret, Almirante</t>
  </si>
  <si>
    <t>Almirante Viilaret</t>
  </si>
  <si>
    <t>ete-á-Pierrot. Se dará un .extracto de su relación, que contiene los mismos hechos que la carta del Almirante Viilaret ya publicada. h - - ■ - Con fecha de 31 de Marzo publicó elsiguiente aviso dicho Gjeneral Tedero en su quartel de Puerto- Republicano: »Artículo 1.° Todas las embarcaciones francesa</t>
  </si>
  <si>
    <t>Viít</t>
  </si>
  <si>
    <t>os de dicho Ayuntamiento. En él cafó de. Lioyd se ha Abierto subscripción para erigir una estatua ú Mr. Viít y en premio.de los,serviéios importantes que ha hecho á la patria durante su mmisferio. Pasaíyá de 200© rs. él fondo que se ha ¡untado. El dia 13 se ventiló en ambas Cámaras la.: qües</t>
  </si>
  <si>
    <t>Vil, Almirante</t>
  </si>
  <si>
    <t>Almirante Vil</t>
  </si>
  <si>
    <t>va decComisario general de relaciones de comercio á Petersburgo. . &gt; . 7^ Extracto de la carta del Almirante Vil!aret al Ministro de la Marina y de las Colonias, fecha el 10 de Febrero d 'bordo del navio Océano en la rada de Cabo-Francés. *,La esquadra salió de Brest el 14 de Diciembre, expe</t>
  </si>
  <si>
    <t>eobaldo y la corbeta Bacante, recien llegada del Havre. Paris 2j de Marzo. '¡Lx tracto de carta del Almirante Vil laret al- Ministro de Marina y las Colonias, fecha d bordo del navio Océano d ij de Febrero. ,, Ya sabéis como desempeñáron sus respectivos encargos las dos divisiones de la escuadra</t>
  </si>
  <si>
    <t>Vila y Camps, Antonio</t>
  </si>
  <si>
    <t>Antonio Vila y Camps</t>
  </si>
  <si>
    <t>la Calzada^ obispado de Calahorra, á D. Fausto Antonio Apellaniz. En la gazeta última se omitid que D. Antonio Vila y Camps es Obispo de Menorca &gt; para cuya resulta está nombrado D. Pedro Antonio Juano. -Se halla vacante él partido de Médica del lugar de Na valúe i líos dé Toledo y Talavera: su dotación</t>
  </si>
  <si>
    <t>Viladomar, Joseph</t>
  </si>
  <si>
    <t>Joseph Viladomar</t>
  </si>
  <si>
    <t>an Joseph Martínez, D. Joseph María Cano, D. Francisco Real,-D. Vícéfíté Salcedo, D. Lúeas de Mena, D. Joseph Viladomar, D. Juan de Álbarrilla, D. Gonzalo Martínez, D. Cosme Marín, D. Serafín del Rincón, D. Mariano Carrasco, D. Vicente Pico, í). Antonio Arias , D. Joseph Espinosa, D. Miguel de Gero</t>
  </si>
  <si>
    <t>Vileta, Manuel</t>
  </si>
  <si>
    <t>Manuel Vileta</t>
  </si>
  <si>
    <t>eriton y ai Cadete D. Manuel Peyrson: en el de Aragón segunda Tenencia al Subteniente de granaderos D. Manuel Vileta: en el de Jaén primera Subtenencia al segundo Subteniente Don Francisco Echegaraya; y en el de Nápoles primera Tenencia de granaderos ai primer Teniente D. Félix Poyan. íEn Améric</t>
  </si>
  <si>
    <t>Viliota, Cipriano</t>
  </si>
  <si>
    <t>Cipriano Viliota</t>
  </si>
  <si>
    <t>para la Chantría al Maestrescuela D. Simón Ximenez de Villalba ; para la Maestrescolía al Tesorero D. Cipriano Viliota; y para la Tesorería ai Doctoral D. Juan Joseph Manrique. Asimismo se ha servido S. M. nombrar para la Dignidad de Tesorero de</t>
  </si>
  <si>
    <t>Villa Ion, Santiago</t>
  </si>
  <si>
    <t>Santiago Villa Ion</t>
  </si>
  <si>
    <t>i» 17 * Id 1 Santiago Villa Ion............ ., I.nis, Ana Garcia......... ... Madrid......... Madrid.. .*. • 360. 20. Id. Antonio Mateos............... .. Felipe, María Marquina... Arroyo...... Llerena.</t>
  </si>
  <si>
    <t>Villa, Bernardo</t>
  </si>
  <si>
    <t>Bernardo Villa</t>
  </si>
  <si>
    <t>antería ;de Saboya se ha servido promover el Rey á Subteniente de .granaderos al primer Subteniente D. Bernardo Villa: en el de Córdoba á segundo Teniente de granaderos al de fusileros Don Francisco del Pozo : en el. de Guadalaxara á . primer Teniente al segundode granaderos D. Tomas Nieto: en el</t>
  </si>
  <si>
    <t>Villaescusa, Pedro</t>
  </si>
  <si>
    <t>Pedro Villaescusa</t>
  </si>
  <si>
    <t>Cárlos Meyner, D. Francisco Rodríguez , D. Tolhas Rocamora, D. Agustín Pinedo, D. Antonio Cordero,. D. Pedro Villaescusa, D. Miguel Emparan , D. Francesco Alburquerque, D. Blas González, D. Juan María de Soto, D. Francisco Caballero, D. Ignacio Merlos, Don Lorenzo Burgos^, D. .Joseph Arata,p. Ildefo</t>
  </si>
  <si>
    <t>Villafane, Alonso</t>
  </si>
  <si>
    <t>Alonso Villafane</t>
  </si>
  <si>
    <t>ales Guardias Españolas se ha servido el Rey promover á Comandante del quarto batallón al Brigadier D. Alonso Villafane, Capitán del propio Cuerpo. Y en el de Reales Guardias Walonas á primer Teniente de granaderos al de fusileros D. Carlos Conde de Moy ; á Alféreces de granaderos á los de fusilero</t>
  </si>
  <si>
    <t>Villaiba, Joseph</t>
  </si>
  <si>
    <t>Joseph Villaiba</t>
  </si>
  <si>
    <t>, D. Jóaquin Egaña, D. Alexandro Antonio Ojéá, D. Gaspar Barón de Rocreusse, D. Joseph María Lambí, D. Joseph Villaiba, Don Julián de Sequera, D. Joseph Graulle, D. Gerónimo Valladares, D. Rafael Cravallo, D. Guillermo Chicheri, D. Pedro Saenz, D. Angel de Lana, D. Felipe de la Mar, D. Angel Mijár</t>
  </si>
  <si>
    <t>Villamor, Mateo</t>
  </si>
  <si>
    <t>Mateo Villamor</t>
  </si>
  <si>
    <t>Mateo Villamor................... Juan, Ana Prieto....... Almeyda.... Zamora......... uso. 32. Licenciado Agustín Onrubia.................. Sebastian, Tomasa Alonso. Carabia...</t>
  </si>
  <si>
    <t>Villanueva, Joseph</t>
  </si>
  <si>
    <t>Joseph Villanueva</t>
  </si>
  <si>
    <t>nto de la citada villa para este efecto. Doña Manuela Estela y .Espinosa desea saber el paradero de D. Joseph Villanueva, á fin de comunicarle ciertos asuntos que le interesan. Quien lo supiere avisará ;á dicha Doña Manuela., que vive en Ja calle Real del Barquillo, núm 1J* quarto principal. Guia ó</t>
  </si>
  <si>
    <t>Villar, Isidoro</t>
  </si>
  <si>
    <t>Isidoro Villar</t>
  </si>
  <si>
    <t>regorio Díaz; y para la que este obtiene en el mismo monasterio , con carga de misa de hora fixa, ¿ D. Isidoro Villar. El Rey se ha servido conferir el empleo de Teniente Coronel del regimiento de infantería de la Reyna al Comandante del tercer batallón del de Málaga, graduado de Coronel, D. Pere</t>
  </si>
  <si>
    <t>Villar, Manuel</t>
  </si>
  <si>
    <t>Manuel Villar</t>
  </si>
  <si>
    <t>.... . 403. 29. Id. Manuel Villar...................... Julián, Cataliná Blanco... Serracin........... Búrgos.......... 76. 14. Id. Francisco Castaño......... Josef García, Rosa</t>
  </si>
  <si>
    <t>Villaranda y Francia, Tomás</t>
  </si>
  <si>
    <t>Tomás Villaranda y Francia</t>
  </si>
  <si>
    <t>gal, Dignidad de la catedraL de Ciudad Rodrigo , vacante por fallecimiento de D. rabio Melgarejo, á Don Tomas Villaranda y Francia: para el de Peñalba, Dignidad de la catedral de Astorga, vacante por muerte de D. Juan Becerra, á D. Juan Francisco de Avendaño ; para la Canongía de la metropolitana de Búrgos, v</t>
  </si>
  <si>
    <t>Villares, Almirante</t>
  </si>
  <si>
    <t>Almirante Villares</t>
  </si>
  <si>
    <t>s 4 navios y una fragata, se harán también á la vela de aqufá 8 dias, según parece para Francia. El Almirante Villares</t>
  </si>
  <si>
    <t>Villaret, Almirante</t>
  </si>
  <si>
    <t>Almirante Villaret</t>
  </si>
  <si>
    <t>o Gravina , Comandante general de la esquadra española, que combinada con la francesa del mando del Almirante Villaret dio la vela del puerto de Brest en 14 de Diciembre ultimo, llevando una y otra á sus bordos las tropas de la expedición destinada á la isla de Sto. Domingo, ha dado cuenta al Sr.</t>
  </si>
  <si>
    <t>l Cabo E ranees El i .° de Febrero estábamos á ía vista de él , y en la mañana del 2 despacharon el Almirante Villaret y el General en xefe Leclercuna balandra con un oficial parlamentario para informar al General de división Christophe, Gobernador que era del Cabo , de las intenciones pacíficas dei p</t>
  </si>
  <si>
    <t>d un General en xefe extrangero, he creído propio, de mi obligación dar cuenta á V. E. de ello. „E1 Almirante Villaret, con el objeto de distraer y llamar por otra parte la atención de los negros , mandó á las 5 de la tarde del día 4 á los navios. Scipion y Patriota, que batiesen á larga distancia</t>
  </si>
  <si>
    <t>independiente de la francesa, pues la antigüedad de mi grado no me permitía el ir á las órdenes del Almirante Villaret, con quien he conservado la mas perfecta inteligencia, habiendo reynado en los buqués españoles con los oficiales y tropas francesas de transporte la misma buena armonía que tuvim</t>
  </si>
  <si>
    <t>á los blancos. Respondí al General Christóbal, y le envié mi carta por el ciud. Lebrun, Edecán del Almirante Villaret. Entretanto vino una diputación de la municipalidad del Cabo á suplicarme considerase la desgraciada situación de los habitantes dé aquella ciudad. Por los informes que me diéron</t>
  </si>
  <si>
    <t>nzas de que dentro de pocos dias ocuparemos también el Muelle de S. Nicolás.” Extracto de carta del Almirante Villaret escrita al Comandante de las fuerzas navales inglesas en Jamayca , d 15 de Febrero. ,,Una esquadra de la República francesa ha entrado en los puertos de Sto. Domingo. Los negros reb</t>
  </si>
  <si>
    <t>del Havre habian llegado á la colonia. En el exército había pocos enfermos/* „ Brest 21 de Mayo. El Almirante Villaret, que zarpó de Sto. Domino el 10,de Abril con 8 navios de su esquadra , ha entrado aquí. Fiada f a -habido-de nuevo en aquella pose sión desde la partida de la fragata Fiel. Nuestr</t>
  </si>
  <si>
    <t>résjpoíídeñciá recibida últimamente dé nuestros Generales en la isla dé Sto. Domingo. Una carta del Almirante Villaret, fecha á 8 de Abril, dice así. „La conquista y la restauración de Sto. Domingo son el importante objeto que llamada atención del público, y á que se »an dirigido los movimientos d</t>
  </si>
  <si>
    <t>refiere que salió del Cabo' el 19 de Abril, cua4# tro dias después de la salida de la división del Almirante Villaret ; que el estado de aquella colonia es el que se sabe por las noticias: que traxo esta diyisionq que él General Leclerc había formado un cordon detropas, pará impedir la comunicaci</t>
  </si>
  <si>
    <t>Villaret- Joyeuse, Almirante</t>
  </si>
  <si>
    <t>Almirante Villaret- Joyeuse</t>
  </si>
  <si>
    <t>, se han portado de un modo correspondiente al beneficio que han recibido de la Francia.” Carta del Almirante Villaret- Joyeuse al Ministro de Marinaescrita el &amp; de Marzo en la rada de Cabo-Francés. ,,Quando la división del Almirante Gantheaume se disponia á dar la vela, entró en la rada la fragata Corneli</t>
  </si>
  <si>
    <t>Villaret-Joyeuse, Almirante</t>
  </si>
  <si>
    <t>Almirante Villaret-Joyeuse</t>
  </si>
  <si>
    <t>o de Paula, S. Pablo, Neptuno y Soledad. En aquellas naves y en los transportes van 25® hombres. El Almirante Villaret-Joyeuse, en virtud del decreto de los Cónsules de 10 de Diciembre de i8co, por el qual se concede á los comandantes de esquadras la facultad de hacer los reglamentos tjue juzguen necesari</t>
  </si>
  <si>
    <t>reen algunos barcos. Brest jy de Enero. I -a esquadra que salió de este puerto baxo las órdenes del Almirante Villaret-Joyeuse se juntó á la altura de Belle-Isle con la división que zarpó de Rocheíort al mando del Contra-Almirante Latouche-Treville , v con la de Loríente mandada por el ciud. Delmotte, y j</t>
  </si>
  <si>
    <t>erales de nuestro exército y armada en Sto. Domingo, traída por el navio el Cisalpino. La carta del Almirante Villaret-Joyeuse dice substanciaimente así: „A bordo del Jemmapes, al ancla en la rada de Cabo - Francés, 4 de Marzo. Desde mis últimos pliegos han ocurrido en las partes mas importantes de Sto. D</t>
  </si>
  <si>
    <t>imer Cónsul en la esquadra inglesa.” Respuesta del Almirante Ducknvorth, Comandante en Jamayca , al Almirante Villaret-Joyeuse, fecha el 79 de Febrero en Puerto-Real de la Jamayca. „He recibido la carta que V. E. me ha escrito comunicándome la llegada al Cabo de las fuerzas francesas de su mando, su estad</t>
  </si>
  <si>
    <t>mandada por el Almirante Villaret-Joyeuse, compuesta de los navios de lá República Berwick- y Jemmapes, una fragata, una corbeta, dos bergantines y otras tantas goletas. V.' *p Sttasburgo y de Julio* JVefiéren algunas car</t>
  </si>
  <si>
    <t>Villaret-Joyéuse, Almirante</t>
  </si>
  <si>
    <t>Almirante Villaret-Joyéuse</t>
  </si>
  <si>
    <t>do. Parts 2_9 de Noviembre* H a recibido y publicado el ministerio dé Marina la siguiente carta del Almirante Villaret-Joyéuse, Capitán General de la Martinica y Santa Lucía: su fecha en el Fuerte de Francia á 23 de Setiembre. ,,Ciudadano Ministro. La división destinada á tomar posesión de hi Matinica anc</t>
  </si>
  <si>
    <t>Villarino, Juan Antonio</t>
  </si>
  <si>
    <t>Juan Antonio Villarino</t>
  </si>
  <si>
    <t>uvieron exercicio público de chímica e» el Real colegio de cirugía? médica de S. Carlos sus alumnos D. Juan Antonio Villarino, p. Luis María Maffei , D. Manuel León y Dumenech y D* Josqph Palacian. Los dos. primeros abriéron el éxerciciocon tin discur-;, so .^iie algunos dias intesi les había encabado co</t>
  </si>
  <si>
    <t>Villaroel, Joseph</t>
  </si>
  <si>
    <t>Joseph Villaroel</t>
  </si>
  <si>
    <t>agregado en esta clase al de cazadores de Sagunto; y á Teniente en el dicho del Infante al Alférez D. Joseph Villaroel : á Ayudante en el de caballería de Santiago al Teniente, graduado de Capitán, D. Joseph del Campo; y i Alférez en el mismo al'Cadete D. Diego de Aguirre. S. M. se ha servido nomb</t>
  </si>
  <si>
    <t>Villavicencio y Garcés, Manuel</t>
  </si>
  <si>
    <t>Manuel Villavicencio y Garcés</t>
  </si>
  <si>
    <t>Nicolás Enrile y Desportes, D. Diego Gadéa y Fernandez de Arbina, D. Rafael de la Iglesia y Darrac ,D. Manuel Villavicencio y Garcés, D. Francisco de Hoyos y Laraviedra, D. Mariano Martínez y Vega, D. Gerónimo Fernandez dé Fuenmaybr, D. Alezo Ponce de León y Molejón , ,D. "Guillermo Auvarede: y Perez, D. Diego</t>
  </si>
  <si>
    <t>Villavicencio, Lorenzo</t>
  </si>
  <si>
    <t>Lorenzo Villavicencio</t>
  </si>
  <si>
    <t>Isla, D, Félix Pérez Vidal, Francisco de Paula Pa^ía, D. Fernando Sandoval, D. Francisco dé Yeste , D. Lorenzo Villavicencio, D. Agustín Rodríguez, D. Juan Bascon , D. Peclro Celés'tino Calvo, D. Henrique Texerizo, D. Benito Tolra Lafita , D. Serafín Alonso, D. Rafael Nestares, D. Joaquín Ruiz, D. Migue</t>
  </si>
  <si>
    <t>Villavicencioy Rodríguez de Aria, Felipe</t>
  </si>
  <si>
    <t>Felipe Villavicencioy Rodríguez de Aria</t>
  </si>
  <si>
    <t>seph-de Sesma y San Juan , D...Garlos Titear y» Pedrosa, D. Rá-' mon Martínez del Corro y los Ríos ,D. Felipe Villavicencioy Rodríguez de Aria , D. Nicolás Enrile y Desportes, D. Diego Gadéa y Fernandez de Arbina, D. Rafael de la Iglesia y Darrac ,D. Manuel Villavicencio y Garcés, D. Francisco de Hoyos y Laraviedra, D. M</t>
  </si>
  <si>
    <t>Villaviqencio, Antonio</t>
  </si>
  <si>
    <t>Antonio Villaviqencio</t>
  </si>
  <si>
    <t>y Jofre, D. Vicente Valcarcel y Qconri, D. Joseph Primo de Rivera, D. Salvador Ortuño-y Castañon , D. Antonio Villaviqencio, D. Joseph Delgado y Guerra, D. Joaquín Mioño y Quevedo, Don Diego Ponce dé León, D. Rufino Torrcntcgui, D. Nicolás Rubín de Barrio, D. Isidro Gago y Abarca, D. Pablo de Villa y G</t>
  </si>
  <si>
    <t>Villegas, Antonio</t>
  </si>
  <si>
    <t>Antonio Villegas</t>
  </si>
  <si>
    <t>scientiis ea una est tire. , que contiene una descripción de calenturas epidémicas, escrita por el Dr. Don Antonio Villegas, Médico en la ciudad de Gandía. Y ha acordado el accessit á la disertación sobre una epidemia de disenterias, señalada con el inore: Opinionum commenta delet dies naturae Indicia</t>
  </si>
  <si>
    <t>Villemandrin, Capitán</t>
  </si>
  <si>
    <t>Capitán Villemandrin</t>
  </si>
  <si>
    <t>Cornelia de vuelta de Jamayca. El Almirante ingles Mr. Juan Duckworth recibió con mil atenciones al Capitán Villemandrin, y al Alférez de navio Clouet , agregado á mi estado mayor, los quales le entregaron mis pliegos. Se a'egró mucho de tener ocasión de celebrar el restablecimiento de la paz entre</t>
  </si>
  <si>
    <t>Villemont, Carlos</t>
  </si>
  <si>
    <t>Carlos Villemont</t>
  </si>
  <si>
    <t>ancisco Leysél, D. Mauricio de Zúñiga, D. Pedro Bermudez, D. Ramón de Villar, D. Francisco Collell, D. Cárlos Villemont, D. Tomas Portel), D. Nicolás Iberri, D. Manuel Benisia, D. Manuel Cevallos, D. Pedro Fabregues, D. Agustín Ramírez, D. Joseph María Abate , D. Diego García Conde, D* Francisco Fr</t>
  </si>
  <si>
    <t>Villers, Coronel</t>
  </si>
  <si>
    <t>Coronel Villers</t>
  </si>
  <si>
    <t>viado extraordinario de la República bátava, que va á cumplimentar al Rey de Etruria : le acompañad Coronel Villers , agregado á la plana mayor del exército bátavo. El Consejero de Estado Moreau de Saint Merí, Ministro de la República francesa, los presentó á SS. AA. RR. los Sres. Duques ; y el</t>
  </si>
  <si>
    <t>Villesgris, Capitán</t>
  </si>
  <si>
    <t>Capitán Villesgris</t>
  </si>
  <si>
    <t>Milán; El navio de línea francés Atlante de s cañones y 900 hombres de tripulación, mandado porv el Capitán Villesgris, dio fondo en el puerto dé Cagliari en Cerdeña, y se detuvo allí algunos días. Agradecido el Capitán á la buena*acogida que le hiciéron, escribió la siguiente carta al Secretario</t>
  </si>
  <si>
    <t>Villoría, Alexandro</t>
  </si>
  <si>
    <t>Alexandro Villoría</t>
  </si>
  <si>
    <t>Pedro de la Lastra , Oficial primero de libros y Archivero del mismo.tribunal : para este destino á D. Alexandro Villoría, Oficial segundo del propio archivo: para esta resulta á D. Joseph Pió Domínguez : para el. empleo de Ministro de Real Hacienda de las caxas de Rio de la Hacha á D. Domingo Nieto,</t>
  </si>
  <si>
    <t>Vilton, Capitán</t>
  </si>
  <si>
    <t>Capitán Vilton</t>
  </si>
  <si>
    <t>lo.” Quartel general del Cabo 20 de Abril. Él General de división Hardy al General Christóbal. ,,E1 Capitán Vilton me? ha comunicado, ciud. General, la carta que le habéis escrito, y que yo he puesto en noticia del General en xefe. Por las particularidades que contáis a este oficial, se echa d</t>
  </si>
  <si>
    <t>Vinas y Pararols, Joseph</t>
  </si>
  <si>
    <t>Joseph Vinas y Pararols</t>
  </si>
  <si>
    <t>jp de Abril. E í Rey se ha servido nombrar para una Canongía Diaconii de la catetedral de Gerona á D. Joseph Vinas y Pararols: para una Ración con cargo de Sochantre ó Capiscol de Villanueva de la Huerva, en el arzobispado de Zaragoza, á D. Joseph Gascón: para un Beneficio Diaconii, llamado Mongía, de la</t>
  </si>
  <si>
    <t>Vincenti, Cardenal</t>
  </si>
  <si>
    <t>Cardenal Vincenti</t>
  </si>
  <si>
    <t>efecto de los estudios del Colegio romano, al Cardenal Borgia : el de Ecónomo dél propio Colegióla! Cardenal Vincenti; y el de Superior de la casa y de la iglesia de Jesús, al Cardenal Roverella. Igualmente ha conferido S. S. al Cardenal Caraccióló la Prefectura de la Sta. Congregación de indulge</t>
  </si>
  <si>
    <t>Viq-de-Azir</t>
  </si>
  <si>
    <t>e se había manifestado en- las dé aquella ciudad. (Diario de física de 1774, pdg. 73. j En 1774 usó Mr. Viq-de-Azir las mismas fumigaciones para ocurrir á una epizootia que asolaba las provincias meridionales de Francia. En el de 7 5 publicó Mr. de Montigny dos instrucciones sobre las enfermedades</t>
  </si>
  <si>
    <t>Virto de Vera, Tomás</t>
  </si>
  <si>
    <t>Tomás Virto de Vera</t>
  </si>
  <si>
    <t>coliseo. .Dirección de padres de huérfanos y superintendentes de escuelas del reyno de Navarra: por D. Tomas Virto de Vera, quien en esta obrita recopila sucinta y metódicamente quanto las leyes, ordenanzas y Reales cédulas mandan respecto á mendigos y escuelas de primeras letras,explicando las facult</t>
  </si>
  <si>
    <t>Vito, Agustín</t>
  </si>
  <si>
    <t>Agustín Vito</t>
  </si>
  <si>
    <t>obispado: para la Dignidad Cardenalicia, vacante cr ia expresada metropolitana por fallecimiento de D. Agustín Vito*ero’ *D: Joseph Aguado, Cura de la parroquia de ios dos Carabancheles de Madrid: para el Arcedianato titular de la catedral de Sigüenza, vacante por muerte de D Pedro de Miguel y</t>
  </si>
  <si>
    <t>Vitorio Galvó</t>
  </si>
  <si>
    <t>....:. 200. 22. Id. Vitorio Galvó............ Frechilla......... Patencia..... 42. Id. Fra ncisco A mores........:.::</t>
  </si>
  <si>
    <t>Vitringa</t>
  </si>
  <si>
    <t>mpresores de las principales ciudades de aquellos Estados. Haya 3 de Julio. E 1 ciud. Vitringa, célebre jurisconsulto, é individuo que fué del Cuerpo legislativo, está nombrado Presidente del Consejo de Guerra por toda su vida. Han entrado en Amsterdam 3</t>
  </si>
  <si>
    <t>ViUanueva, Joseph</t>
  </si>
  <si>
    <t>Joseph ViUanueva</t>
  </si>
  <si>
    <t>esulta al Teniente D. Félix López de Toledo; la Tenencia que este dexa al Subteniente de granaderos D. Joseph ViUanueva ;la Subr tenencia de granaderos al Subteniente de fusileros D. Joseph Luis de Medina , y una de bandera al Cadete Dv Joseph María del Tojo : Compamas eüii el batallón de milicias</t>
  </si>
  <si>
    <t>Viüaret, Almirante</t>
  </si>
  <si>
    <t>Almirante Viüaret</t>
  </si>
  <si>
    <t>ro de Estado al ciud. Dupui, Secretario de legación en las negociaciones del congreso de Amiens. Al Almirante Viüaret le ha nombrado Capitán General de la isla-de la Martinica y sus dependencias: y el ciud. Beileville, que era Comisario general de Relaciones mercantiles en Liorna, servirá el mism</t>
  </si>
  <si>
    <t>Vivant Denon</t>
  </si>
  <si>
    <t>l Baxo y en el Altó Egipto durante lá expedición del General Boinaparte, por él ciud. Vivant Denon ¿individuo dél instituto del Cayro y de otros cuerpos literarios. Tiene*'muchos mapas» vistasf de edificios ó de sus ruinas , y esobramuyápropósito para conser</t>
  </si>
  <si>
    <t>Vivas, Vicente</t>
  </si>
  <si>
    <t>Vicente Vivas</t>
  </si>
  <si>
    <t>agada en Europa, lo fué no ménos en esta ciudad por el esmero y zelo del Dr. D. Vicente Vivas, Médico honorario de los Reales exércitos,y titular del Real monasterio de S. Miguelde los Reyes del orden de S. Gerónimo; y ha sido tan feliz el éxito de sus operaciones que los 200 y ma</t>
  </si>
  <si>
    <t>Vives, Francisco Dionisio</t>
  </si>
  <si>
    <t>Francisco Dionisio Vives</t>
  </si>
  <si>
    <t>cisco Merino, D. Manuel María Pus* terla, D. Francisco Ayóla, D. Juan Tarrius, D. Manuel de Miedes, Don Francisco Dionisio Vives, D. Joseph Canellas, D. Joseph García Orozco, D. Joaquín Regnart y Pont, D. Domingo Larripa, £&gt;. Juan Rayberte, D. Juan Borlasca, D. Víctor Wirtz , D. Francisco Schnernaver, Don J</t>
  </si>
  <si>
    <t>Vives, Juan Francisco</t>
  </si>
  <si>
    <t>Juan Francisco Vives</t>
  </si>
  <si>
    <t>loreñza: la idel primero de Cataluña al Capitán ‘primero del iriifmo, graduado de Teniente Coronel, D. Juan Francisco Vives ; y la del referido segundo de Cataluña ál Capitán primero del primer batallón de Barcelona D. Joseph García de Orozco. El Consejo , á consulta de la Comisión gubernativa de conso</t>
  </si>
  <si>
    <t>Vizcaíno Pérez, Vicente</t>
  </si>
  <si>
    <t>Vicente Vizcaíno Pérez</t>
  </si>
  <si>
    <t>ro, conforme á las leyes, pragmáticas y ordenanzas militares publicadas hasta este año. Le escribió D. Vicente Vizcaíno Pérez, del Consejo de S. M. y Fiscal ds lo civil en la Real Audiencia de Galicia: un tomo en 8.®; quarta impresión , en pergamino á 8 rs. y en pasta 10.=Código y práctica criminal , arr</t>
  </si>
  <si>
    <t>Vizcaíno, Vicente</t>
  </si>
  <si>
    <t>Vicente Vizcaíno</t>
  </si>
  <si>
    <t>ña, que para dirección de los Alcaldes, Jueces ordinarios y Escribanos Reales escribió el mismo Sr. D. Vicente Vizcaíno /Perca; : tres, tornos en 8.®: en pergamino á 24 rs,. y en pasta ^d. Véndense $IV la librería de Baylo, calle de--las. Carretas. : ^ f "; Desahogos líricos de .Celio; cuyo objeto</t>
  </si>
  <si>
    <t>Vízcarrondo, Francisco</t>
  </si>
  <si>
    <t>Francisco Vízcarrondo</t>
  </si>
  <si>
    <t>arranza, D. Joseph Melendez, D. Antonio Pareja, D. Francisco Piedrola, D. Fernando Bustillo Cuéva,' D. Francisco Vízcarrondo, D. Santiago Irrisarri y Sarti, D. Joaquín: dé Castañeda , D. Francisco Riquelme , D. Joseph de la EnoU na, D. Pedro Saenz de la Guardia, D. Salvador del Castillo, D. Joaquín Rodr</t>
  </si>
  <si>
    <t>Volante, Antonio</t>
  </si>
  <si>
    <t>Antonio Volante</t>
  </si>
  <si>
    <t>Caunedo: en el batallón de cazadores Voluntarios^ de Barbastro áCapitán segundo al primer Teniente D. Antonio Volante: en el de Voluntarios de Valencia á segundo. Subteniente al Sargento primero Don Joaquín Zaragoza: en el regimiento Suizo de Rutimari.á Subteniente de granaderos al de fusileros D</t>
  </si>
  <si>
    <t>Vonderweid, General</t>
  </si>
  <si>
    <t>General Vonderweid</t>
  </si>
  <si>
    <t>danzas que juzguen convenientes. Basilea z 2 de Octubre. T odas las tropas helvéticas del mando de; General Vonderweid, que se ©pusiéron con mucho valor al exército confederado, han vue'to á ganar terreno y ocupado nuevamente á Friburgo, Páyense, Morat &amp;c. 5 y siguen desfilando por Berna para otro</t>
  </si>
  <si>
    <t>Vongen-Stierna, Coronel</t>
  </si>
  <si>
    <t>Coronel Vongen-Stierna</t>
  </si>
  <si>
    <t>A ntes de ayer se envió á Carlsruhe el corazón del difunto Príncipe de Badén en una caxa de oro: el Coronel Vongen-Stierna es el que va encargado de presentarlo ai Margrave de Badén (padre del difunto) , á quien este Soberano ha propuesto tener algún tiempo en su compañía al actual Príncipe heredero, cu</t>
  </si>
  <si>
    <t>VtlUfáñe, Alonso</t>
  </si>
  <si>
    <t>Alonso VtlUfáñe</t>
  </si>
  <si>
    <t>ábal* AoSÁatidb Látbüi ret, D. Ramón de San Martin, D. Santiago Lusarretá , D, Vicente rQasa' sola* D. Alonso VtlUfáñe, D. Cayetano Marimon * D. Jbseph Barón de Mer , D. Alexáñdro Conde de.Coupigni, D. Pedro Antonio TE^éjo, Don Pedro Fermín de Meiidinueta, el Marques Dpuchét, P. Ramón Fernández Id</t>
  </si>
  <si>
    <t>Waesmitoff, General</t>
  </si>
  <si>
    <t>General Waesmitoff</t>
  </si>
  <si>
    <t>l acompañamiento. El empleo que dexa de vice-Presidente del Colegio de la Guerra se ha conferido al General Waesmitoff. Ayer se celebró con la mayor magnificencia la fiesta llamada la consa-* gracion del Neva, á la que asistió la familia Imperial desde el pabellón construido á orilla de dicho rio</t>
  </si>
  <si>
    <t>Wallace</t>
  </si>
  <si>
    <t>ismo día los documentos relativos á los asuntos de la India, cuya impresión se mandó á solicitud de Mr. Wallace, quien pidió ademas se comunicasen á la Cámara los papeles hallados en el palacio de Tippoo-Saib en Seringapatnam: las 'declaraciones tomadas á las personas presas en Velleve el 4</t>
  </si>
  <si>
    <t>Walter, General</t>
  </si>
  <si>
    <t>General Walter</t>
  </si>
  <si>
    <t>ue el Duque de Módena tome posesión y se declare Soberano del mencionado país. Desde la partida del General Walter manda las tropas francesas el ciud. Rouville, xefe de brigada. Londres 23? de Abril. S e sostienen las voces de que no hay artículos secretos en el tratado definitivo de paz; pero</t>
  </si>
  <si>
    <t>Waltersdorf</t>
  </si>
  <si>
    <t>enciario de Francia, que saldrá quanto ántes de aquí ton sus Ayudantes. Según los últimos avisos de Mr. Waltersdorf ha concluido felizmente sus negociaciones con el ministerio ingles, consiguiendo entre otras cosas que los resarcimientos á favor de los dinamarqueses se paguen con dinero o con g</t>
  </si>
  <si>
    <t>Waltersdorf, General</t>
  </si>
  <si>
    <t>General Waltersdorf</t>
  </si>
  <si>
    <t>ro, Damieta, Roseta, Alexandría y Abukir. Copenhague 2 o de Diciembre. D esde Londres ha escrito el General Waltersdorf á este ministerio que aunque el gabinete ingles le recibió con señales de amistad, no se muestra aun dispuesto á concluir un arreglo definitivo sobre los asuntos pendientes en ord</t>
  </si>
  <si>
    <t>Walterstorff, General</t>
  </si>
  <si>
    <t>General Walterstorff</t>
  </si>
  <si>
    <t>de Febrero fué el día que los ingleses restituyéron la isla de Santa Cruz á los dinamarqueses, cuyo General Walterstorff llegó á la misma colonia el 17 en una fragata de su nación. Según avisos de Cantón, en la China, hubo el otoño del año último en muchas costas de aquel Imperio tempestades de que</t>
  </si>
  <si>
    <t>Washington, General</t>
  </si>
  <si>
    <t>General Washington</t>
  </si>
  <si>
    <t>ós votó el 10 de Junio una suma de 20® dolares ó pesos fuertes para erigir una estatua de bróncé'^1 General Washington. Añaden las noticias de «Nueva Yorck que en la Carotina septentrional se ha movido uná insurrección ?entre los negros; dé tos qualés «algunos han sido cogidos y ajusticiados corno</t>
  </si>
  <si>
    <t>Watteawy</t>
  </si>
  <si>
    <t>hiciéron dexacion de sus dignidades, y fuéron ai instante reemplazados por los ciudadanos Watteawy 1 y Monnod. Leyóse en seguida la dimisión del ciud. Doider. Los dos Statthalters Ruttiman y Fussly declararon que renunciaban igualmente sus empleos. £1 Senado</t>
  </si>
  <si>
    <t>Wattenwyl</t>
  </si>
  <si>
    <t>ió inmediatamente á formar un nuevo Consejo executivo. Nombró por Landammann al ciud. Wattenwyl, y por Statthalters á los ciudadanos Monnod y Egllse; pero Usté último y el primero no admitiéron su nombramiento. Él Ministró francés Verninac ha manifestado</t>
  </si>
  <si>
    <t>Wattville</t>
  </si>
  <si>
    <t>Landammann, Ruttiman y Fussly, Statthalters, eligió el Senado en su lugar á los ciudadanos Wattville, Monod y Eglise: y no habiendo podido estos admitir su nombramiento , pidió el Senado á los otros tres sugetos reasumiesen sus empleos; y en efecto lo han hech</t>
  </si>
  <si>
    <t>Wauters y Donesteves, Agustín</t>
  </si>
  <si>
    <t>Agustín Wauters y Donesteves</t>
  </si>
  <si>
    <t>Castro Gómez, D. Manuel Uliente y Gabilla , t). Pedro Quevedo y Hoyos, D. Joseph Ruiz de la Madrid, D. Agustín Wauters y Donesteves, D. Vicente Guillen y Busaran, D. Antonio Leal de Ibarra, D. Juan de Vivero y Silva, D. Angel Texeyro y Zafra, D. Joseph María Autran, D. Joseph de Varas Barnóla, D. Bartolomé Pos</t>
  </si>
  <si>
    <t>Wbanbrock y Agraz, Juan Bautista</t>
  </si>
  <si>
    <t>Juan Bautista Wbanbrock y Agraz</t>
  </si>
  <si>
    <t>la órden de Cirios m , y capitular de su Ayuntamiento, y D. Rafael Martinez de Ariza, apoderado de D. Juan Bautista Wbanbrock y Agraz, Teniente Coronel de los Reales exércitos y primer Teniente de Reales Guardias Walonas, y Dolía Leocadia de Salcedo y Tapia su esposa, vecinos de esta villa, patronos esta de sang</t>
  </si>
  <si>
    <t>Weikard</t>
  </si>
  <si>
    <t>as afecciones locales, que ocuparán 6 opúsculos serán las últimas, según el orden que ha seguido el Doctor Weikard en su manual de medicina práctica. £1 opúsculo 7.0 y 8.° se hallará á 6 rs. cada uno con los antecedentes en la librería de Castillo, en Valencia én la de Mallen, en Zaragoza en la</t>
  </si>
  <si>
    <t>Wellesley, Coronel</t>
  </si>
  <si>
    <t>Coronel Wellesley</t>
  </si>
  <si>
    <t>uno de dragones quedaban dispuestos á marchar hacia las fronteras de los maratas baxp el mando del Coronel Wellesley. Añaden que estas tropas se aumentarán con otras despachadas del pais de Mysore. . Han negado al Támésis los equipages del General Andreosi, Embaxador francés; y ha mandado el gob</t>
  </si>
  <si>
    <t>WHberforce</t>
  </si>
  <si>
    <t>n Sevilla , y que si se hubiese usado del mismo modo en Cádiz, hubiera librado la vida mucha gente. Mr. WHberforce apoyó la solicitud del Dr. Smith, añadiendo que si su descubrimiento era tan ventajoso como lo aseguraba el inventor, y él lo creía , no dexará la Cámara de premiarle. En efecto,</t>
  </si>
  <si>
    <t>Whitwbrth, Lord</t>
  </si>
  <si>
    <t>Lord Whitwbrth</t>
  </si>
  <si>
    <t>diferentes motivos. Algunos suponen qúe tiene parte en ello el atraso que se nota en la partida del Lord Whitwbrth , y en la llegada del General francés Andreosi, que están nombrados Eínbaxadores por S. M. Británica y el primer Cónsul. El Lord Whitworth se halla en su$ haciendas de Knówles; y</t>
  </si>
  <si>
    <t>Whitworth, Lord</t>
  </si>
  <si>
    <t>Lord Whitworth</t>
  </si>
  <si>
    <t>r del banco avisándole que el gobierno abrirá un empréstito de 22 millones de libras esterlinas. El Lord Whitworth, nombrado Embajador de Inglaterra en Francia, está disponiendo su viage, y hace grandes preparativos para presentarse con mucha ostentación en Paris : su tren se compone de 8 coch</t>
  </si>
  <si>
    <t>ía. En vista del nombramiento del General Andreosi para Embajador de Francia en Londres, acelera el Lord Whitworth los preparativos para su partida á Paris. Créese que hoy besará la mano á S« M., y que en todo este mes se transferirá á su destino. f Dase por cierto que el gobierno francés ha (hech</t>
  </si>
  <si>
    <t>ines. ' Londres 24 de Junio. n la gazeta de la corte del 19 se publicó de oñcio el nombramiento del Lord Whitworth como Embaxador extraordinario y plenipotenciario de S. M. Británica cerca de la República francesa, y el de Mr. Jayme Talbot como Secretario de embaxada. * Consiguiente al restabl</t>
  </si>
  <si>
    <t>neral francés Andreosi, que están nombrados Eínbaxadores por S. M. Británica y el primer Cónsul. El Lord Whitworth se halla en su$ haciendas de Knówles; y se asegura que no emprenderá SU viage á París hasta qué se sepa de cierto que ef General Andreosi ha emprendido el suyo para Inglaterra. En</t>
  </si>
  <si>
    <t>Wiberforce</t>
  </si>
  <si>
    <t>e otras razones que era incompatible con los usos observados en el Parlamento; pero el Presidente y Mr. Wiberforce opinaron de un modo contrario; y el Lord Hawkesbury pronunció á favor del antiguo ministerio un discurso enérgico y eloqüente, y de los mas largos que se han oido en la Cámara bax</t>
  </si>
  <si>
    <t>Wilberforce</t>
  </si>
  <si>
    <t>nto en la Cámara de los Pares por una junta de tres Lores autorizados para ello por S. M. Ha vuelto Mr. Wilberforce ¡a ofrecer , en la Cámara baxa que repetirá su proposición contra el comerció de negros. Mr. Canning dixo. que estaba igualmente en ánimo de hablát de este tráfico: no para pedir</t>
  </si>
  <si>
    <t>del Reyno importaron mas de 7300 pesos. En una de las últimas sesiones de la misma Cámara presentó Mr. Wilberforce una petición del Dr. Carmichael Smith, que ha tenido la felicidad de descubrir un remedio eficaz para las fiebres contagiosas, y al mismo tiempo preserva su propagación. Dice que</t>
  </si>
  <si>
    <t>Williams</t>
  </si>
  <si>
    <t>squadra de Mr. Home Popham tiene orden de salir para recoger las tropas inglesas que hay en Egipto. Mr. Williams, vecino de Londres, acaba de idear un método muy ingenioso para disminuir los accidentes mas comunes á que van expuestas las personas que viajan en coche. Basta tocar un resorte i</t>
  </si>
  <si>
    <t>Wilson</t>
  </si>
  <si>
    <t>r los últimos navios procedentes de la China han recibido ríos directores de las misiones cartas de Mr. Wilson, Capitán del navio nombrado Real Almirante. Avisa desde Cantón que desembarcó 9 misioneros en Otahiti, erí donde los recibieron con mucho gusto los xefes dé la isla. Los demas mis</t>
  </si>
  <si>
    <t>Windhaifi</t>
  </si>
  <si>
    <t>te premio; y qué este es uno de-ios- casos^én que la Cámara -no debe señalarlos.-¡^or él contrario, Mr. Windhaifi:Sostuvo que lift sumade; ib®&gt;íibfás-erala 'iñéiídt recompensa que podía; señalarsefcal dñ^ñtpipíd^-^úú^esculrtimiCOtd^cü^l felices efectos son aniquilar en kü órígétf tíná* dé las</t>
  </si>
  <si>
    <t>Windham</t>
  </si>
  <si>
    <t>ardaron muchos años el ajuste de la paz con grave perjuicio de la nación___En la Cámara baxa renovó Mr. Windham sus objeciones contra el artículo de los preliminares que trata de la integridad de Portugal, y pidió que ios Ministros diesen alguna explicación sobre ello. El Canciller del Ecli</t>
  </si>
  <si>
    <t>unos derechos á favor de los anglo-americanos conforme al tratado que se ha hecho con ellos. Volvió Mr. Windham á perorar contra la Francia , de cuyo gran poder se quejó, comparándolo con el que tuvo Cario Magno; pero estas y otras declamaciones y reconvenciones tan repetidas por algunos vo</t>
  </si>
  <si>
    <t>Windhám</t>
  </si>
  <si>
    <t>l Lord Peiham. En la Cámara baxa se hicieron las mismas &gt; proposiciones y hubo las mismas disputas. Mr. Windhám propuso una representación en el propia sentido que la del Lord Grenville, y le contestó el Lord Hawkesbury. A las tres de la madrugada pidió el General Gascoigne que se aplazára</t>
  </si>
  <si>
    <t>mpugnaciones y de las mis, mas defensas. Al fin se aprobó el tratado dé paz: pues la proposición dé Mr. Windham no tuvo á su favor mas que -20 votos , y la Ael Lord kesbury tuvo 276. ... .r-; ■ ‘■, .aliV.n» . Haya ifde-Mayol A . caba el gobierno de anular la ley de 24 de Setiembre de 1800 q</t>
  </si>
  <si>
    <t>;, Sheridan&amp;ci 5 y la ciudad de Rochester * ha'nombrado porsurepreíentante á Mr.SÍd&amp;ey-Smith.-i i ^ Mr. Windham no eonsiguióqueel veciridario ide Norwich ;le reeligiese 4 {&gt;or su representante en el Parlamento r pues estaba todavía i muy reciente ; a memoria de' los vehementes discursos con</t>
  </si>
  <si>
    <t>a espeta y mira como á un salvador. (Hablaba de Mr. Pitt.) ^ En la Cámara de los Cnmunes se explicó Mr. Windham en los mismos términos que el Lord Grenville en la alta. Mr. Fox peroró á favor de la paz, desvaneciendo quanto otros vocales habian dicho sobre ei poder exorbitante de la Francia.</t>
  </si>
  <si>
    <t>Wingfield, Coronel</t>
  </si>
  <si>
    <t>Coronel Wingfield</t>
  </si>
  <si>
    <t>uebot.en que vino de Francia se hallaban de pasageros los Coroneles Craddock y Spencer, el Teniente Coronel Wingfield, el Sargento mayor House, y el Capitán Rennel, que vuelven de Egipto, de donde saliéron á fines de Octubre, y en donde han dexado el batallón del regimiento numero 40, en el qual</t>
  </si>
  <si>
    <t>Winke</t>
  </si>
  <si>
    <t>de los vientos contrarios y tempestuosos que impidieron siguiesen su viage. De Berlín escriben que Mr. Winke va á España á costa de S.- M. Pnfsiana para comprar un buen numero de ovejas y carneros de las mejores castas. El dia 16 llegó el Príncipe de Orange á Altona: vino de allí á esta</t>
  </si>
  <si>
    <t>Wit, Lord</t>
  </si>
  <si>
    <t>Lord Wit</t>
  </si>
  <si>
    <t>rd Belgrave se aprobó por. 222 contra 52. Hasta íines de este mes no saldrá de aquí para Francia el Lord Wit h</t>
  </si>
  <si>
    <t>Withworth, Lord</t>
  </si>
  <si>
    <t>Lord Withworth</t>
  </si>
  <si>
    <t>tratado definitivo de paz, y que va á publicarse; pero hasta ahora no se cumple esta esperanza. El Lord Withworth, nombrado Embaxador ingles en la República de Francia , sigue sus preparativos para emprender su viage á París. Igualmente está para salir de aquí Mr.Wickham, que va de Embaxador</t>
  </si>
  <si>
    <t>córte á que ásistiéron los Ministros de Ñapóles, Cerdeña, Portugal Batiera, Silería y Hánñóver. El Lord Withworth sé de$pidi¿ entonces de Si M.|y no tardará én salir para Francia á servir su embáxadá cerca de los Cónsules. 5 Todás las disposiciones que sigue tomando este gobierno indican su d</t>
  </si>
  <si>
    <t>aban las disposiciones pacíficas de ámbos gobiernos. - Hoy se propone emprender su viage ¿ París el Lord Withworth, Embaxador de Inglaterra en Francia y con sus Secretarios y su comitiva. A mediados de éste^nes se espera ¿ Mr. Fox de vuelta dé su viagé á París; En el- navio de güeña Goliat- de</t>
  </si>
  <si>
    <t>imo el.gentío que acudía á ver al nuevo Embaxador. Se asegura que hoy emprende su marcha á París el Lord Withworth, Embaxador británico cerca del gobierno francés,y que dos dias después se embarcará en Douvres para Calais. Se han enviado órdenes á los astilleros y almacenes de Piimouth, Portsm</t>
  </si>
  <si>
    <t>Witwórth, Lord</t>
  </si>
  <si>
    <t>Lord Witwórth</t>
  </si>
  <si>
    <t>o de aquí con destino á París Mr. Henifique Kerremont, que servirá en la secretaría de embaxada del Lord Witwórth. En la sesión de la Cámara de los Comunes de antes de ayer ofreció el Secretario de Guerra presentar dos biles para arreglar las milicias del Reyno-Unido. Las de Inglaterra ascend</t>
  </si>
  <si>
    <t>Wlntte</t>
  </si>
  <si>
    <t>aquí nuestras tropas. Pronto sucederá esto ; y son ya muy pocas las que quedan en Egipto.” : . ' El Dr. Wlntte, que inoculó dos veces sin fruto la peste á muchos de nuestros soldados en Egipto, al intentar tercera prueba contraxo él mismo el contagio ,: y murió al'cabo de tres días. ' ; ‘</t>
  </si>
  <si>
    <t>Wolkousky, Príncipe</t>
  </si>
  <si>
    <t>Príncipe Wolkousky</t>
  </si>
  <si>
    <t>106 do efectivo Príncipe Wolkousky : el de la Pequeña Rusia al Consejero de Colegio Bajarinoft': el de Lithuania al Consejero de Estado Berg: el de Pensa al Consejero de Estado Linkoff: el de la Rusia Blanca al Con</t>
  </si>
  <si>
    <t>Woolby, Capitán</t>
  </si>
  <si>
    <t>Capitán Woolby</t>
  </si>
  <si>
    <t>ipas de vino. Escriben de Drouthém con fecha de a8 de Setiembre que la embarcación nombrada Samuel, Capitán Woolby, despachada de Arcángel© para Amsterdam, ardió en alta mar el 19 de este mes. Como tardó dos dias en consumirse, se habrá sin duda salvado la tripulación. Su cargamento consistía</t>
  </si>
  <si>
    <t>Wreden, General</t>
  </si>
  <si>
    <t>General Wreden</t>
  </si>
  <si>
    <t>reunido en la ciudad y contornos de Neuburgo pasó el Danubio el 25 por la tarde: va mandado por el General Wreden: tomaráspdsesifráí dé^»d^dád&gt;y¿iíi)fis^;2dó^d&lt;í.£iíhtprtt^nrfranconia; y dexando allí una competente guarnición-, continuará su marcha por el territorio de An&gt; pach á Bamberg. Lá</t>
  </si>
  <si>
    <t>WUlBerforCe</t>
  </si>
  <si>
    <t>lafidámara de los Gomuues.se Han renov-adtaolas? disputas sobre lasituacioir política ,de Europa*; Mr. WUlBerforCe respoivdio á los&gt; que declamaban contra el ajuste déla paz, presentándoles elquadro de la última liga , cuyo fin secreto era satisfacer laambicíondecada uno dedos miembros, y que</t>
  </si>
  <si>
    <t>Wyk</t>
  </si>
  <si>
    <t>ue refuercen la división que cruza en aquel m&lt;u*, en el qual protegerán el comercio, dinamarqués. , Mr. Wyk, Cónsul general de Suecia en Marruecos, ha remitido á su gobierno una declaración del Capitán Humpei, comandante de la galeota Neptuno, que estaba sarta en Tánger, y dice en suma:</t>
  </si>
  <si>
    <t>Xárier La Rrpa, FrañcisCo</t>
  </si>
  <si>
    <t>FrañcisCo Xárier La Rrpa</t>
  </si>
  <si>
    <t>o de Zaragora. 7 Asimismo ha concedido él Réy hoiíPrésT y antigüedad de Ministro del Consejo Real á D. FrañcisCo Xárier La Rrpa ; Difécfor&lt;:dé los Reales cañales dé Aragón: honóéés dé Afcaldéldéf ^/írñébí de Chaneillefía dé Gra-’ nada al Auditor de Guferri dél %^drcito dél campo de; Gibraltar D. Joseph Gar</t>
  </si>
  <si>
    <t>Xavier' Rodrigúez de Arellano, Joseph</t>
  </si>
  <si>
    <t>Joseph Xavier' Rodrigúez de Arellano</t>
  </si>
  <si>
    <t>lá instrucción de sus hijas, explicadas, en pláticas para beneficio denlos, fieles por.el limo. Sr. D. Joseph Xavier' Rodrigúez de Arellano;, Arzobispo que fué ,de¡ Burgos: ^.tornos en 4.°. Se hallarán en la librería de Calleja, calle de Majaderitos angosta. , r Reglas déla vida christiana, tomadas literalmente de la</t>
  </si>
  <si>
    <t>xefe Andermat</t>
  </si>
  <si>
    <t>Hecho en Lausana &amp;c.’* Desde el quartel general de Morat escribe el General en xefe Andermat al Ministro de Guerra con fecha del 27 diciéndole: ,;Así que logré reunir en Páyeme los 3 batallones del país de Vaud, salí de aquel pueblo para este. Al acerc</t>
  </si>
  <si>
    <t>xefe Bachman</t>
  </si>
  <si>
    <t>El General Aufder-Maur se ha trasladado de aquí L Schwitz,; pero el General en xefe Bachman permanece en esta ciudad con su estado mayor y su qUartel general. Acaba la junta de los Diez de dirigir una proclama á los habitantes del cantón de Berna dánd</t>
  </si>
  <si>
    <t>xefe Bonapartei</t>
  </si>
  <si>
    <t>ista de esta plaza había recibido el General de dimisión Miollis del General en xefe Bonapartei.200© francos enbienes rai-r ces para resarcir á aquellos cuyas tierras hubiesen ¿padecido por las nuevas obras de fortificación. Desempeñado este objeto,-ha im</t>
  </si>
  <si>
    <t>xefe Bourgeois</t>
  </si>
  <si>
    <t>os vientos contrarios. Se han concluido las obras dirigidas por el Ingeniero en xefe Bourgeois para hacer navegable el rio Mayena desde Chateau-Goatier hasta Laval.</t>
  </si>
  <si>
    <t>xefe Capitán General</t>
  </si>
  <si>
    <t>ellas dice substancialmente así:,,En nombre del gobierno francés. El General en xefe Capitán General decreta: Artículo i.° La religión católica apostólica romana es la única cuyo exercicio público queda autorizado en Sto. Domingo. 2.0 Dos eclesiásticos nombrados</t>
  </si>
  <si>
    <t>xefe Erlach</t>
  </si>
  <si>
    <t>á quien -e entregáron todas ías armas y los caudales públicos. El comandante en xefe Erlach publicó una proclama diciendo que -estaba encargado de restablecer en toda la República el antiguo gobierno. Destacó un cuerpo para ocupar la fortaleza de Arbu</t>
  </si>
  <si>
    <t>xefe Leclerc</t>
  </si>
  <si>
    <t>isfacción de que en la mañana del 6 viniese á bordo de este buque el General en xefe Leclerc acompañado de dos de sus Ayudantes á darme las gracias por lo bien que se habían conducido nuestros oficiales, y por la inteligencia y prontitud con qu^ execut</t>
  </si>
  <si>
    <t>de las tropas del General Rochambeau, que conforme á las órdenes del General en xefe Leclerc , se habia aproximado al Cabo , han puesto á cubierto los ingenios que estaban á la parte dél E. de la ciudad. Los blancos han escapado del horroroso y bárbaro</t>
  </si>
  <si>
    <t>as dos cartas siguientes: „Quartel general del Cabo, r.° de Mayo. El General en xefe Leclerc al General Santos Louverture , en nombre del gobierno francés. Veo con gusto, ciud. General, el partido que tomáis de someteros á las armas de la República. Lo</t>
  </si>
  <si>
    <t>xefe Leclercuna</t>
  </si>
  <si>
    <t>de él , y en la mañana del 2 despacharon el Almirante Villaret y el General en xefe Leclercuna balandra con un oficial parlamentario para informar al General de división Christophe, Gobernador que era del Cabo , de las intenciones pacíficas dei primer Có</t>
  </si>
  <si>
    <t>xefe May</t>
  </si>
  <si>
    <t>15 de este mes para la entrada de las tropas francesas en Suiza. El General en xefe May habia hecho todas sus disposiciones para marchar por Basilea á Lausana y Berna; pero habiendo recibido la noticia de que la Dieta de Schwitz habia cedido á las</t>
  </si>
  <si>
    <t>xefe Murat</t>
  </si>
  <si>
    <t>los servicios hechos á la patria, un sable con esta inscripción : al General en xefe Murat, el pueblo cisalpino agradecido. Respondió el General manifestando su agradecimiento por esta oferta ; pero añadió que el estado de las rentas dé la República</t>
  </si>
  <si>
    <t>a del ciud. Melzi para vice-Presidente. Antes de ayer tarde llegó el General en xefe Murat; el mismo día se cantó un solemne Te Deitm en la iglesia de Sta. Fidel: y por la noche se iluminó la ciudad, y hubo bayle público en los dos teatros. Dícese qu</t>
  </si>
  <si>
    <t>gislativa, y la Junta del gobierno interino. De allí á poco llegó el General en xefe Murat con el estado mayor y muchos Generales italianos. Revistó las tropas, y después de las evoluciones pasó también á palacio y se incorporó con los ciudadanos Som</t>
  </si>
  <si>
    <t>a de la instalación del gobierno de la República cisalpina regalo eí General en xefe Murat al VÍce-Presidente Melzi un precioso sable y dos. pares de pistolas igualmente ricas, dé la fábrica de Versálles. _ r El nuevo Consejo legislativo se ha dividi</t>
  </si>
  <si>
    <t>ni, que van á Ñapóles. .. . ■ /V;d - &gt;";• d Milán de. Marzoú ,jf J-l General en xefe Murat ha salido de aquí para Francia. A todos los italianos qué hay en París se les ha avisado que la Prusia ha reco»ocido;formalmenté.este gobierno,, y que las dema</t>
  </si>
  <si>
    <t>os. .Milán i.° de Abril. E n virtud de orden del primer Cónsul y del General en xefe Murat saldrán de aquí los Generales y los empleados en el ramo administrativo y económico del exército. La plana mayor del exército del Mediodía se trasladará á Bres</t>
  </si>
  <si>
    <t>xefe Ney</t>
  </si>
  <si>
    <t>los franceses la'ciudad de Zurich, en donde se hallan actualmente el General en xefe Ney y el General Serras. De resultas se disolvió el gobierno de los insurgentes* y los aldeanos han*recobrado la libertad de que ios habían privado los contrarevolucio</t>
  </si>
  <si>
    <t>s en partidos» quarteles &amp;c. Bastlea 11 de Noviembre, P or órden del General en xefe Ney se desarmará á los habitantes de todos los cantones ocupados por tropas francesas. En conseqüencia de dicha Órden, y de las instrucciones particulares del gobi</t>
  </si>
  <si>
    <t>Xftil, Almirante</t>
  </si>
  <si>
    <t>Almirante Xftil</t>
  </si>
  <si>
    <t>Mayo* Acaba ¿dé llegar^de Stt&gt;.Ltomiego la fragata la Fie!. Las noticias que trae son buenas. - El: Almirante Xftil sr et había salido ya de aquella isla, fel qu artel general quedaba en Puerto-Republicano. Santos Louverture estaba vivamente acosado*. La esquadra de Flesir.ga y la del Havre hab</t>
  </si>
  <si>
    <t>Ximenez de Arrutaré, Francisco</t>
  </si>
  <si>
    <t>Francisco Ximenez de Arrutaré</t>
  </si>
  <si>
    <t>mdo S. M. eiyiibílár á los Oidores de la ]propia Audiencia de Valencia Marqués; de la Térre Carrns, D. Francisco Ximenez de Arrutaré^ Conde delaGqnéépcioB ,enatendon ¿ su avanzada edad y achaques, consérVÍndoles Í$S siíéldos de sus plazas; y para bellas W ha iséívidó'hórhbfctr á ¿D¿ JoséphdelÑaWaBóla!lo$¿ D’.'O</t>
  </si>
  <si>
    <t>Ximenez de Cenarve, Joseph</t>
  </si>
  <si>
    <t>Joseph Ximenez de Cenarve</t>
  </si>
  <si>
    <t>s: para la primera de la de Córdoba, que este dexa, á D. Diego Merino y Zapata: para la de Murcia á D. Joseph Ximenez de Cenarve: para la de la villa de Don Benito á D. Ramón Satué; y para la de Alcalde mayor de la villa de Socuéllamos, territorio de la orden de Santiago, de primera clase ó entrada, á D. Jo</t>
  </si>
  <si>
    <t>Ximenez de Montalho, Rafael</t>
  </si>
  <si>
    <t>Rafael Ximenez de Montalho</t>
  </si>
  <si>
    <t>Obando, Don Dmñiirqo Mótiteverdéi¡ Dí Joireph' dé li Muela‘;Gutierrez , D Pedro Marfand ^Gallego i D. Rafael Ximenez de Montalho, D. Pedro Baeza y Alcalde ,D. Modesto Ibañéz de Corbera, L&gt;: Pedro de Lamas y la Torre, D. ifulio Róco y Massopagano, D. Miguel Roco y Massopagano , D. Juan Pascual y AyeL, D. Jos</t>
  </si>
  <si>
    <t>Ximenez de Villalba, Simón</t>
  </si>
  <si>
    <t>Simón Ximenez de Villalba</t>
  </si>
  <si>
    <t>dicho Arcedianato al Chantre D. Francisco Xavier de Echevarría : para la Chantría al Maestrescuela D. Simón Ximenez de Villalba ; para la Maestrescolía al Tesorero D. Cipriano Viliota; y para la Tesorería ai Doctoral D. Juan Joseph Manrique. Asimismo se ha servido S. M. nombrar para la Dignidad de Tesorero</t>
  </si>
  <si>
    <t>Xímenez del Rio, Vicente</t>
  </si>
  <si>
    <t>Vicente Xímenez del Rio</t>
  </si>
  <si>
    <t>io y los artículos, á pluralidad de 228 votos contra 21. JBorja, en Aragón, 1 $ de Abril. D escando D. Vicente Xímenez del Rio , cirujano titular del lugar de Agón, partido de esta ciudad, fomentar la inoculación de la vacuna, en vista de los progresos notorios que ha producido este descubrimiento , se pr</t>
  </si>
  <si>
    <t>Ximenez Leorin, Manuel</t>
  </si>
  <si>
    <t>Manuel Ximenez Leorin</t>
  </si>
  <si>
    <t>D. Rafael Miranda: en el de cazadores Voluntarios de la Corona á Subteniente al segundo Subteniente D. Manuel Ximenez Leorin; y en el batallón de infantería de Canarias á primer Teniente al segundo Teniente de granaderos D. Juan Sánchez. En los regimientos de milicias provinciales de Canarias ha promovi</t>
  </si>
  <si>
    <t>Ximenez, Andrés</t>
  </si>
  <si>
    <t>Andrés Ximenez</t>
  </si>
  <si>
    <t>Francisco Frías,-D. Manuel Pastor, D. Pedro Quevedo, Don Juan de Villanueva, D. Domingo.de Aragón , D. Andrés Ximenez, Doti Tomas de Figueroa, D. Juan Francisco Sánchez, D. Juan Sayers, D. Ignacio Guarda, D. Joseph ParboyD. Pedro Joseph de Benavente, D. Antonio Salcedo-, D. Gregorio Escamilla, D.</t>
  </si>
  <si>
    <t>Ximenez, Antonio</t>
  </si>
  <si>
    <t>Antonio Ximenez</t>
  </si>
  <si>
    <t>ente al Segundo D. Joseph Manjon: en el de Granada á segundo Teniente de granaderos al de fusileros D. Antonio Ximenez: en el de Toledo á Capitán al Ayudante D. Fernando Vázquez: en el de León á Capitán de granaderos aL de fusileros D. Joseph de León: en el de América á Capitán al Ayudante D. Juan</t>
  </si>
  <si>
    <t>dores de la Corona D. Manuel Ménica: en el de Granada i. primer Teriierite al segundo de granaderos D. Antonio Ximenez, y á seundo Teniente de granaderos al de fusileros D. Diego Pascual: en el de f 'oledo á segundo Teniente al Subteniente de granaderos D. Pascual Mo-. reno Cantos: ‘en el de León</t>
  </si>
  <si>
    <t>Ximenez, Chrístóbal</t>
  </si>
  <si>
    <t>Chrístóbal Ximenez</t>
  </si>
  <si>
    <t>ción de esta corte, vacante por fallecimiento de D. Joaquín Ambroz, músico en la cuerda de tenor, á D. Chrístóbal Ximenez , Capellán de altar, cantor en la cuerda de baxo en el mismo convento. En el regimiento de Reales Guardias Españolas se ha servido promover S. M. á Capitán at primer Teniente D. V</t>
  </si>
  <si>
    <t>Ximenez, Diego</t>
  </si>
  <si>
    <t>Diego Ximenez</t>
  </si>
  <si>
    <t>catedral; y para el Beneficio simple de la villa de Arjona, diócesis de Jaén, vacante por muerte de D. Diego Ximenez, á D. Pedro Antonio Verges. También ha nombrado S. M. sugetos para los Beneficios siguientes, que han vacado por muerte del Sr. Cardenal Zelada, ocurrida in Curia, en esta forma:</t>
  </si>
  <si>
    <t>Ximenez, Esteban</t>
  </si>
  <si>
    <t>Esteban Ximenez</t>
  </si>
  <si>
    <t>gimiento de infantería de Voluntarios de Cartagena á Capitán de fusileros al Teniente de granaderos D. Esteban Ximenez; ai empleo que este dexa al Teniente de fusileros D. Manuel Pantoja ; á este empleo al Subteniente D Manuel Cortee y Obel; á Subteniente de granaderos al de fusileros D. Joseph Ma</t>
  </si>
  <si>
    <t>Ximenez, Francisco</t>
  </si>
  <si>
    <t>Francisco Ximenez</t>
  </si>
  <si>
    <t>á esta resulta al Ayudante mayor, graduado de Teniente Coronel, D. Simón de Valencia; á Capitanes á D. Francisco Ximenez, D. Ignacio Padilla y D. Joseph del Toro, Tenientes de granaderos; á esta clase á los de fusileros Don Vicente Andino, D. Santiago de Córdoba y D. Juan Escudero; á Tenientes los S</t>
  </si>
  <si>
    <t>...... &lt;06. 33. Id. Francisco Ximenez............ Francisco, Lorenza Sánchez................................... S. Clemente.. Cuencáf.......... 443. 48. Id. Manuel Fernandez..............Josef, María Ortega...</t>
  </si>
  <si>
    <t>Ximenez, Joseph</t>
  </si>
  <si>
    <t>Joseph Ximenez</t>
  </si>
  <si>
    <t>as disciplinadas de infantería de la Havana, á Tenientes Veteranos de granaderos los de fusile* ros D. Joseph Ximenez, graduado de Capitán, y D. Juan Alentado; á Teniente al graduado de esta clase D. Joseph García, Sargento primero Veterano, y á Subteniente de bandera el agregado D. Agustín Ferna</t>
  </si>
  <si>
    <t>Ximenez, Juan</t>
  </si>
  <si>
    <t>Juan Ximenez</t>
  </si>
  <si>
    <t>á Alférez al Portaestandarte D. Pedro del Castillo; y en el de España á Portaestandarte al Sargento D. Juan Ximenez. En America. El Rey se ha dignado conferir la Comandancia general y el Gobierno militar y político de la plaza y provincia de Panamá al Coronel D. Juan de Urbina, Gobernador que e</t>
  </si>
  <si>
    <t>Joseph Edrnandez de la Reguera: en el de Sevilla primera Tenencia de granaderos al primer Teniente D. Juan Ximenez: en el de Granada primera Tenencia al segundo Teniente de granaderos D. Rafael Espinosa: en el de Mallorca Subtenencia de granaderos al primer Subteniente D. Juan Nicolás de la Fu</t>
  </si>
  <si>
    <t>rimer Siíbtenienté D. Mariano Hernández: eft ;ei dé Voluntarios dev Ca* tilla á Capitán af Ayudante D. Juan Ximenez; y en el de cazadores Volun ta riere de la Coró ha á~ segundó Teniente ai "Subteniente dé gastadores* D. Domingo Brancis. ^ El Rey se ha servido nombrar.para la plaza de Alcalde d</t>
  </si>
  <si>
    <t>D. FranciscoFaxardo, D. Andrés Orozco, D. Miguel Duran, D. Cárlos Chinchilla, D&gt;. Antonio Texád a, D. Juan Ximenez, D. Ma^ nuél Díaz, D. Martilel Fprcarda, I&gt;. Manuel Teran, D. Joaquín Ribera^ D;; Pedro Muñoz, D, Juán Davadié , D. Agustín Sánchez, I}. Manuel Mo¿ ro, D: EugenioTontas y Alcalá,</t>
  </si>
  <si>
    <t>Ximenez, Mateo Vicente</t>
  </si>
  <si>
    <t>Mateo Vicente Ximenez</t>
  </si>
  <si>
    <t>hri&amp;o d^ la Redonda, en la colegial de Logroño, diócesis deCalahorra, vacaiitf por failecimiento de D. Mateo Vicente Ximenez, á D. Anr tonio Cruz Gpnzalez. - . t ^ , En América. El Rey se ha dignado conferir la Sargentía mayor vete-» rana del batallón de milicias disciplinadas de blancos de Mérida al Te</t>
  </si>
  <si>
    <t>Ximenez, Melchor</t>
  </si>
  <si>
    <t>Melchor Ximenez</t>
  </si>
  <si>
    <t>tabacos de la Havana; á D. Felipe-Martínez de Viérgoí. , j. y Honores de la Juritá de Contercio . A D. Melchor Ximenez, Superintendente de la Casa de Moneda de Se-v</t>
  </si>
  <si>
    <t>Ximenez, Ramón</t>
  </si>
  <si>
    <t>Ramón Ximenez</t>
  </si>
  <si>
    <t>á su caballero Page Dí ¿tó Mpreno^?K x* En AméricaEl Rey se ha dignado conceder al Capitán graduado Don Ramón Ximenez, Ayudante Mayor del batallón fixo de infantería de la Concepción , el empleo de Capitán en el propio. cuerpo y ef que este dexa al Teniente D. Carlos Spano; su resulta al. Subteni</t>
  </si>
  <si>
    <t>Ximenez, Vicente</t>
  </si>
  <si>
    <t>Vicente Ximenez</t>
  </si>
  <si>
    <t>s efectos del frío excesivo; D. Juan Felipe Udaeta, de la utilidad de los inxertos, y sus especies; D. Vicente Ximenez, del modo de plantar las vinas, y su cultivo; D. Salvador Sobrevilia» de varios medios de.fomentar y perfeccionar la agricultura; D. Vicente Royo, sobre los abonos en general; D.</t>
  </si>
  <si>
    <t>Ximeno, Joseph</t>
  </si>
  <si>
    <t>Joseph Ximeno</t>
  </si>
  <si>
    <t>o de Padua, como se venera en la iglesia de PP. Capuchinos, vulgo del Prado de Madrid, dibuiada por D. Joseph Ximeno, y grabad* por D. Manuel Alegre. Se hallará en la librería de Arribas , calle de las Carretas. SUPLEMENTO</t>
  </si>
  <si>
    <t>o. Retrato del Exc. Sr. D. Pedro Rodríguez Campománes, Conde de Campománes , dibuxado y grabado por D. Joseph Ximeno. Se hallará á 3 rs. en la librería de la viuda de Cerro , red de S. Luis. En la librería de Campo, calle de Alcalá, se venden dos polacas para guitarra sola, por Ferrandiere, á 8</t>
  </si>
  <si>
    <t>Xmer de Tesorería, Francisco</t>
  </si>
  <si>
    <t>Francisco Xmer de Tesorería</t>
  </si>
  <si>
    <t>endáriz: para lá Chantná al Maestrescuela D Juan de DiósKPereyra: para la Mae trésCÓlía al Tesorero D. Francisco Xmer de Tesorería ál Cánonjgp D/ Josepli Fernando Baeza: para esta Canongía á D. Patricio Gabriel Menendez, Cura Rector de la iglesia matriz de la villa de Oruro; y para una Media Ración de la cate</t>
  </si>
  <si>
    <t>Xuis de Borbon</t>
  </si>
  <si>
    <t>sean dignos dispensadores de los divinos misterios. Está dedicada por el autor al Emo. y Excmo. Sr; D. Xuis de Borbon , Cardenal Arzobispo de Toledo , y recomendada su lectura en una Carta pastoral de su Eminencia, que se pone al frente con su retrato, dibuxado y grabado por profesores de acredit</t>
  </si>
  <si>
    <t>y Aguado, Joseph Mateo</t>
  </si>
  <si>
    <t>Joseph Mateo y Aguado</t>
  </si>
  <si>
    <t>de S. M. se ha pedido en el juzgado del Sr. D. Juan Antonio Santa María, y escribanía del numero de D. Joseph Mateo y Aguado, la venta en subasta publica de un censo de 30^ ducados de principal , y réditos de dos y medio por ciento , perteneciente á uno de los mayorazgos que fundaron los Sres. D. Juan B</t>
  </si>
  <si>
    <t>y Alcalá, Miguel Alonso</t>
  </si>
  <si>
    <t>Miguel Alonso y Alcalá</t>
  </si>
  <si>
    <t>dianato de Ayilon , Dignidad de la catedral de Sigüenza , que resultará vacante por la premoción de D. Miguel Alonso y Alcalá á una Canongía de Cuenca, á D.Pascual Lozano López: para la Canongía Magistral de nueva erección de la catedral de Tortosa á D. Manuel Ortell: para la Canongía de la catedral de C</t>
  </si>
  <si>
    <t>y Carmona, Juan Antonio Salvador</t>
  </si>
  <si>
    <t>Juan Antonio Salvador y Carmona</t>
  </si>
  <si>
    <t>s en tomos. Estampa nueva que representa á Ntra. Sra. de Atocha, dedicada á la Reyna Ntra. Sra. por D. Juan Antonio Salvador y Carmona,grabador de cámara, que ha presentado sus obras á SS. MM. y al Príncipe Ñero. Sr. y Sr. Infante D. Cárlos: dicha estampa es del tamaño de medio pliego de marca, mayor como la del</t>
  </si>
  <si>
    <t>y Carmoná, Juan Antonio Salvador</t>
  </si>
  <si>
    <t>Juan Antonio Salvador y Carmoná</t>
  </si>
  <si>
    <t>arretas. I&gt;os estampas nuevas, que representan á S. Sebastian y S. Eorentoc, Rliétires grabadas por D. Juan Antonio Salvador y Carmoná, grabador dé cán^rti de S,; m! Son del támáfiO de medio pliego de marca mayor, y compañéras de l^ a£ de que consta la colección del Apostolado, Evangelistas, Sacra-familia y IWtor</t>
  </si>
  <si>
    <t>y Crespo, Mateo Vicente</t>
  </si>
  <si>
    <t>Mateo Vicente y Crespo</t>
  </si>
  <si>
    <t>de Landazuri, D. Joaquín Soroa y Soroa , D. Fernando Bustamante y Bustamante, D. Adrián Morqúecho, D. Mateo Vicente y Crespo, Don Joseph Bazan y Villaroel, D. Juan Septien y Salinas , D. Domingo^ Pavía y Seix, D. Bartolomé Arguelles y Valdes, D. Femando Becerra .y Solis, D. Rafael Bobadilla y Pery, D. J</t>
  </si>
  <si>
    <t>y Dv NicolasRumán, Joseph</t>
  </si>
  <si>
    <t>Joseph y Dv NicolasRumán</t>
  </si>
  <si>
    <t>outn á Capitán primero ai Teniente del de ^dhwaller Jdan Jeannéquin, y ¿ Subtenientes a k&gt;s Cadetes D. Joseph y Dv NicolasRumán ;y enel de Courtfená Capitanes de granaderos á los Capitartességundos'D. Fernando y D. Etfgenió ^dóüneiii^^' '^ Támbiem'sé ha*^Capellán del regimiento deinfanterfá de Bórgbs ai pr</t>
  </si>
  <si>
    <t>y Juan Esponejra, Pedro</t>
  </si>
  <si>
    <t>Pedro y Juan Esponejra</t>
  </si>
  <si>
    <t>anada....^... D. Francisco Unzaga. En Qruadalaxara. D. Isidoro García Plaza. En Jaén.......?...,,.. D, Pedro y Juan Esponejra* En León.......... I). Pedro Gil de Tejada. EnMahon...,....... p. Jayme^Moncada-.</t>
  </si>
  <si>
    <t>y Juan Esponera, Pedro</t>
  </si>
  <si>
    <t>Pedro y Juan Esponera</t>
  </si>
  <si>
    <t>ranada........ D. Francisco Unzaga. En Guadalaxara. D. Isidoro García Plaza. En Jaén................D. Pedro y Juan Esponera. En León................ D. Pedro Gil de Tejada. En Málaga........... D.Antonio Mariano. En Murcia............Sres. Moreda y Ladalld. En Oviedo......... D. Manuel Rubiano. En Fale</t>
  </si>
  <si>
    <t>En Granada....... D. Francisco Unzaga. En Guadalaxara. D. Isidoro García Plaza. En Jaén........... D. Pedro y Juan Esponera. En León................. D. Pedro Gil de Tejada. En Málaga.......... . D. Antonio Mariano. En Murcia............. Sres. Moreda y Ladalid. En Oviedo.............. D. Manuel Rubian</t>
  </si>
  <si>
    <t>Granada........ D. Francisco Unzaga. En Guadalaxara.D. Isidoro García Plaza. En Jaén*...á......... D. Pedro y Juan Esponera. ; En León....... ........ D. Pedro Gil de Tejada. En Málaga.......... D. Antonio Mariano. En Murcia............Sres. Moreda y Ladalid. En Oviedo............. D. Manuel Rubiano. E</t>
  </si>
  <si>
    <t>anada........ D. Francisco Unzaga. En Guadalaxara. D. Isidoro García Plaza. En Jaén................ D. Pedro y Juan Esponera. En León.................D. Pedro Gil de Tejada. En Mdlag * • •••••• D. Antonio Mariano. En Murcia..... ..... Sres. Moreday Ladalid. En Oviedo........... D. Manuel Rubiano. En Pat</t>
  </si>
  <si>
    <t>anada......... D. Francisco Unzaga. En Guadalaxara. D. Isidoro García Plaza. En Jaén............... D. Pedro y Juan Esponera. En León............. . D. Pedro Gil de Tejada. En Málaga........... D. Antonio Mariano. En Murcia.......... Sres. Moreda y Ladalid. En Oviedo..... ...... D. Manuel Rubiano.</t>
  </si>
  <si>
    <t>Xl$t En Cruadalaxara. D. Isidoro García Plaza. En Jaén.................D. Pedro y Juan Esponera. En León............ . D. Pedro Gil de Tejada. Én Mahon............. D. Jayme Moneada. En Malaga.......... D. Antonio Mariano. En Murcia.............Sres. Moreda y Ladalid. En Ovi</t>
  </si>
  <si>
    <t>da........ D. Francisco Üftzaga. En Guadalaxara. D, Isidoro García Plaza. • En Jaén................ D. Pedro y Juan Esponera. En %eon.¿.:.;~...... D. Pedro Gil de Tejada. En Mahon.i.......... D. Jayme-Moneada. 1 En Malaga......... D. Antonio Mariano.. r ;* kl Én Mtircia.......... Sres. Moreda y Xadalid.</t>
  </si>
  <si>
    <t>y Orduña, Joseph Gonzalo</t>
  </si>
  <si>
    <t>Joseph Gonzalo y Orduña</t>
  </si>
  <si>
    <t>tedral de Calahorra, vacante por promoción de D. Antonio Carrillo al Deanato de la misma iglesia, á D. Joseph Gonzalo y Orduña, coa retención de la Canongia que obtiene: para una Canongía de la catedral de Mondoñedo, vacante por muerte de D. Tiburcio del Riego, á D. Joseph de Turnes, Racionero de la cated</t>
  </si>
  <si>
    <t>y Villena, Joaquín Manuel</t>
  </si>
  <si>
    <t>Joaquín Manuel y Villena</t>
  </si>
  <si>
    <t>rps de la compañía Italiana. En la zancajera, 6 estribo derecho, iba el primer Caballerizo de S. M. D. Joaquín Manuel y Villena, y en el izquierdo el Excmo. Sr. Conde de Corres, Gentilhombre de Cámara de servidumbre en dicho dia. Al lado de esta carroza iba un correo de la Real caballeriza para tomarla ord</t>
  </si>
  <si>
    <t>Yañez, Joseph</t>
  </si>
  <si>
    <t>Joseph Yañez</t>
  </si>
  <si>
    <t>onferir la Compañía de milicias regladas de caballería de la isla Margarita al Teniente de la misma D. Joseph Yañez; esta resulta al Subteniente D. Plácido Maneyro, y la Subtenencia que este dexa al Cadete D. Juan Bautista Aguirre. S. M. se ha servido conceder al Teniente de Navio D. Manuel de</t>
  </si>
  <si>
    <t>Yebrftx Pimentel, Fernando</t>
  </si>
  <si>
    <t>Fernando Yebrftx Pimentel</t>
  </si>
  <si>
    <t>e gobierno ciel Real Sitio de S. Lorenzo y villa del Escurial , a instancia de ‘Fernando Yebrftx Pimentel , vecino de ella, viudo de Doña Miaría Benita Guerra Lirón , natural de la villa de Cienpozuelos, arzobispado de Toledo, hija legítima de D. Luis Fernandez Guerra, natural de dicho Cienpoz</t>
  </si>
  <si>
    <t>Yolif, Juan</t>
  </si>
  <si>
    <t>Juan Yolif</t>
  </si>
  <si>
    <t>r bastante al seguimiento de la apelación que está pendiente,y fué interpuesta en autos que seguían D. Juan Yolif con los referidos D. Luis y D. Alonso sus hermanos, sobre cumplimiento de cierto compromiso celebrado para el ajuste de cuentas de diferentes compañías. Y se previene á dichos her</t>
  </si>
  <si>
    <t>Yorek, Cardenal</t>
  </si>
  <si>
    <t>Cardenal Yorek</t>
  </si>
  <si>
    <t>Sena, recibió el capelo de manos del Papa en un consistorio que S. B. celebró para este efecto. El Cardenal Yorek consagró en Frascati el dial 15 al Arzobispo de Nisibe, nombrado Nuncio Apostólico en lá corte de Lisboa; y el Emo. Lorenza na consagra el mismo día ¿ Monseñor Francisco-Porro., n</t>
  </si>
  <si>
    <t>Yuste, Manuel</t>
  </si>
  <si>
    <t>Manuel Yuste</t>
  </si>
  <si>
    <t>teniente de infantería D. Cayetano Gil y Lem &gt;s: Capitanes de i batallón fixo de Panamá al Ayudante D. Manuel Yuste y al Teniente de granaderos D. Joseph Antonio Kemon; Ayudante al Teniente D. Francisco Xavier de Arosemana; iTeniente de granaderos al de fusileros D. Juan Fernandez; Tenientes de f</t>
  </si>
  <si>
    <t>Yusti y Herrera, Alonso</t>
  </si>
  <si>
    <t>Alonso Yusti y Herrera</t>
  </si>
  <si>
    <t>de Aiscar y Piedrola , D. Anicetó Quixano y Arce, D. Fernando Ordoñez, D. Joseph de Salas Boxadors, Don Alonso Yusti y Herrera, D- Torquato Piedrola y Verdugo, D. Luis Cris y Sansón, D. Francisco Mendinueta, D. Joseph Orozco, y Herrera , D. Manuel Barruchi, D.Francisco Lafita, D.:Francisco Benitez y Antun</t>
  </si>
  <si>
    <t>Zaldivar y BurgíSa, Santiago</t>
  </si>
  <si>
    <t>Santiago Zaldivar y BurgíSa</t>
  </si>
  <si>
    <t>. Antolinez y Salazar , D. Joseph de la Cresta, D. Miguel Cavaleri, Don1 Ñuño de Ja Cueva y Alcedo, D. Santiago Zaldivar y BurgíSa, D. Joseph Caamuño y Pardo, IX Martin Sarratea y Mayora, D. Martín Lazaga ys Uria , D. Manuel- de Camba -y Leys, D. Salvador Escandon y Antayo, D. Asiutin Maldonadoy Piméntel,:D.</t>
  </si>
  <si>
    <t>Zaldivar, Melchor</t>
  </si>
  <si>
    <t>Melchor Zaldivar</t>
  </si>
  <si>
    <t>pañía de Fusileros. Melchor Zaldivar................ Josef, María González..... Ovigurí..........Triviño............. 90. 25- Muerto. Francisco Martinez.............Francisco, M</t>
  </si>
  <si>
    <t>Zalváburu, Francisco</t>
  </si>
  <si>
    <t>Francisco Zalváburu</t>
  </si>
  <si>
    <t>co Pardo de Andrade , D. Juan Bermudez de Castro, D. Gregorio de la Sota Ruiz, D. Manuel Olmedilla, D. Francisco Zalváburu , D. Joseph de Lama y Montes , D. Joseph Fernandez de las Peñas 9 D. Joseph García de Quesada, D. Vicente Rodrigo y Ros, D. Luis de la Gándara, D. Juan de la Cagiga, D.. Joseph de</t>
  </si>
  <si>
    <t>Zambeccari</t>
  </si>
  <si>
    <t>vacuarán esta República quando lo juzgue á propósito. Bolonia i * de Enero. E 1 ciud. Zambeccari ha publicado un aviso dirigido á los que se interesan en los progresos de la física * para que contribuyan á la construcción de un globo aerostático de 33F pie</t>
  </si>
  <si>
    <t>Zambrano, Fernando</t>
  </si>
  <si>
    <t>Fernando Zambrano</t>
  </si>
  <si>
    <t>ose Valledor, D. Juan Orozco y Herrera, D. Alexo Gutiérrez de Rubalcava, D. Martin Olavidey Andrade,D. Fernando Zambrano,D. Joseph Vertizveria, Don Joaquín Nuñez Falcon, D. Manuel Borroeta y Ozaeta, D. Antonio Piédrola y Verdugo,©. Pedro Mosti y Arrambide,D. Juan de Muía y Guevara, D. Joseph Achaval</t>
  </si>
  <si>
    <t>Zamiano y Francés, Antonio</t>
  </si>
  <si>
    <t>Antonio Zamiano y Francés</t>
  </si>
  <si>
    <t>go de ella: para una Canongía de la misma colegial, vacante también por muerte del propio Pinedo, á D. Antonio Zamiano y Francés, Racionero de la referida colegial: para otra de la metropolitana de Toledo, vacante por fallecimiento de D. Joseph Blanco, á D. Joseph de Aguilar y Valdes: para otra de la catedr</t>
  </si>
  <si>
    <t>Zamora, Francisco</t>
  </si>
  <si>
    <t>Francisco Zamora</t>
  </si>
  <si>
    <t>93. 37. Presidio. Francisco Zamora.... Francisco, Josefa Dueñas... Astudiilo........... Palencia............. 60. 14. Id*</t>
  </si>
  <si>
    <t>Zancada, Lorenzo</t>
  </si>
  <si>
    <t>Lorenzo Zancada</t>
  </si>
  <si>
    <t>372. 19. Id. Lorenzo Zancada... Manuel 1 María Lagarejos. Quintanilla... León......... 474. 9. Id. Isidro Améz........... Francisco</t>
  </si>
  <si>
    <t>Zapata, Felipe</t>
  </si>
  <si>
    <t>Felipe Zapata</t>
  </si>
  <si>
    <t>,saber , al citado estado de la Conquista de resultas de su administración , que estuvo á cargo del D. Felipe Zapata , y a] expresado concurso ó quiebra de D. Luis Montero del Carpió, dé la de una fianza de ducados otorgada para su administración por los testamentarios de la Doña Josepha de Herr</t>
  </si>
  <si>
    <t>e mes, comparezcan en los autos de testamentaria de Doña Maris Josepha de Herrera y Ret*s, viuda de D. Felipe Zapata, administrador que fué del citado catado de la Conquista , radicados en su jingadó y escribanía de D. Gervasio Fer</t>
  </si>
  <si>
    <t>a, á saber: al citado estado de la Conquista de resultásde su administración* que estuvo ¿ cargo de D. Felipe Zapata,y al expresado concurso ó quiebra de Don Luis Montero del Carpió, de las ds una üanza dé ad ducados, otorgada por su administrador, por los testamentarios de dicha Dofia JosephaHe</t>
  </si>
  <si>
    <t>Zaragoza, Fernando</t>
  </si>
  <si>
    <t>Fernando Zaragoza</t>
  </si>
  <si>
    <t>nónigo de la catedral de Patencia: para otra de la propia catedral de Cuenca, vacante por muerte de D. Fernando Zaragoza, á D. Pedro Antonio Denche, Cura de Tarancon: para otra de la catedral de Santander, vacante por promoción de D. Jacinto Antonio de</t>
  </si>
  <si>
    <t>Zaragoza, Joaquín</t>
  </si>
  <si>
    <t>Joaquín Zaragoza</t>
  </si>
  <si>
    <t>nte D. Antonio Volante: en el de Voluntarios de Valencia á segundo. Subteniente al Sargento primero Don Joaquín Zaragoza: en el regimiento Suizo de Rutimari.á Subteniente de granaderos al de fusileros D. Juan Godfrido Ebertz; y ha nombrado el Rey para la Capellanía del segundo batallón del regimient</t>
  </si>
  <si>
    <t>Zarate y Vargas, Joseph</t>
  </si>
  <si>
    <t>Joseph Zarate y Vargas</t>
  </si>
  <si>
    <t>para otra déla colegial de Santa Fe de Granada , vacante por fallecimiento de D. Andrés Guerrero á D. Joseph Zarate y Vargas, Colegial en el de Santa Cruz de aquella ciudad. Kl Consejo, i consulta de la Comisión gubernativa,y con aprobación de S. M., ha acordado la trigesimatercia amortización de 2S0 Va</t>
  </si>
  <si>
    <t>Zarauz, Joaquín</t>
  </si>
  <si>
    <t>Joaquín Zarauz</t>
  </si>
  <si>
    <t>azar, D. Miguel Gastón y Navarrete, D. Antonio de la Torre Puebla, Don Francisco de Castro Navarro, D. Joaquín Zarauz, D. Joseph Calderón, D. Antonio García' de Quesada, D. Joseph Manuel de Goicoa, D. Miguel Irigoyen, D^Joan Mesías* y D. Tomas Avalde. ' A Capitanes de Fragata los Tenientes de Nav</t>
  </si>
  <si>
    <t>Zarauz, Joseph</t>
  </si>
  <si>
    <t>Joseph Zarauz</t>
  </si>
  <si>
    <t>na, D. Luis Idia-’ quez, D.' Manuel Továrv -D.!‘Pascual1 de la V egay 0. R aymundo Capece Minutólo, D. Joseph Zarauz , D. Francisco- Salinas Moñino, 0. Pedrd Buch y O-Donell, D. Diego Artacho, D. Joseph Navarro Sangran, ,Don Mateo Perez, D. Francisco Réqu'ená, D. Antonio Parxearroyo, 0; Joseph M</t>
  </si>
  <si>
    <t>Zaro, Joseph María</t>
  </si>
  <si>
    <t>Joseph María Zaro</t>
  </si>
  <si>
    <t>o de granaderos D. Ignacio Espinosa: en el de Voluntarios de Castilla á Ayudante al primer 1 emente D. Joseph María Zaro: en el de Borbon á primer Subteniente al segundo D. Miguel Hermand: en el de Jaén á Capitán al caballero Page de S. M. I). Faustino Viana; y ha conferido S. M. en el de Extremadur</t>
  </si>
  <si>
    <t>Zarripolea, Joseph Ignacio</t>
  </si>
  <si>
    <t>Joseph Ignacio Zarripolea</t>
  </si>
  <si>
    <t>os Cadete*. P. Francisco Ósullivan, del batallón veterano de Castilla, y a p. Jaseplí María Ibarra, D. Joseph Ignacio Zarripolea, D.Jpseph lgpmo López, D. Juan Joseph Osuliivan , D. Joseph Timoteo Ortega y D.Francis^ |p Genaro de Cicero, que lo eran delpnismo batallón de milicias de Cam-r El dia 7 de Setiem</t>
  </si>
  <si>
    <t>Zchocze</t>
  </si>
  <si>
    <t>z en la de Pajáres. ( Aveliao, ó el gran Bandido : drama trágico en g actos , escrito én aleman por Mr. Zchocze , traducido ál francés por Lamarteliere , miembro de varias sociedades literarias, y de este al castellano por D. I. de O. Va adornada Ja traducción» con una estampa fina qué repr</t>
  </si>
  <si>
    <t>Zea, Francisco</t>
  </si>
  <si>
    <t>Francisco Zea</t>
  </si>
  <si>
    <t>nte descubiertas en el Perú por ¡D.- Juan; Tafalla, y Ja quina naranjada de San-í tafFe que inserté D. Francisco Zea en'los Anales de historia natural, pretendiendo igualar estas con. las preciosas quinas de LOxa y demas peruvianas; por Don Hipólito Ruir y D. Joseph Pavón. Véndese en la librería d</t>
  </si>
  <si>
    <t>Zea, Francisco Antonio</t>
  </si>
  <si>
    <t>Francisco Antonio Zea</t>
  </si>
  <si>
    <t>del rey no de Santa Fe , con noticias útiles de este especificó ,! en contestación á la Memoria de D. Francisco Antonio Zea : su autor el mismo descubridor D. Sebastian Joseph López Ruiz , honorario de la.'Réál academia médica de Madrid fice. : un quaderno en 4,0 Se halla: á á a rs. en la librería de C</t>
  </si>
  <si>
    <t>Zeidlitz</t>
  </si>
  <si>
    <t>ilán, y encontró aquí los estandartes que le ha enviado el gobierno francés. El ciud. Zeidlitz, xefe de esquadron y comandante interino del cuerpo ^convidó al Consejero de Estado Moreau de Saint-Merí, Ministro de la República en esta corte, para que asis</t>
  </si>
  <si>
    <t>Zeilweger</t>
  </si>
  <si>
    <t>gase»? allí , había el partido patriótico recobrado ánimo , no temiendo ya á los insurgentes: y así Mr. Zeilweger, que era delegado de dicho cantón en la Dieta de Schwitz, al .volver á^su .casa fué maltratado pardos^, paisanps, quienes también insuíjtárpfi' y-désarmárpni^lpcfntiqgentedi^pRC^?</t>
  </si>
  <si>
    <t>Zelada, Cardenal</t>
  </si>
  <si>
    <t>Cardenal Zelada</t>
  </si>
  <si>
    <t>ltas de un insulto apoplético ha muerto el Cardenal Gallo, Obispo de Viterbo; y está muy enfermo el Cardenal Zelada. Florencia u de Diciembre. E 1 ciud. Pareto, Enviado de la República Iiguriana en esta corte, ha sido presentado ai Rey, quien le encargó asegurase á su gobierno el deseo de S. Ai</t>
  </si>
  <si>
    <t>También ha nombrado S. M. sugetos para los Beneficios siguientes, que han vacado por muerte del Sr. Cardenal Zelada, ocurrida in Curia, en esta forma: para los de VMaescusa de I-Jaro y Castejon, en la diócesis de Cuenca, á D. Pedro Martínez de España; y para el de Pejalagar, en el obispado de J</t>
  </si>
  <si>
    <t>e la Reguera: para el Beneficio de Jumilla, en la diócesis de Cartagena, vacante por muerte del Sr. Cardenal Zelada, á D. Joseph Hidalgo Barquero de Godoy: para el Préstamo de Carrascal del Rio, en el obispado de Segovia, vacante por fallecimiento de D. Domingo de Sierra y Gil, á D. Francisco O</t>
  </si>
  <si>
    <t>a á D. Manuel Ortell: para la Canongía de la catedral de Córdoba, vacante por fallecimiento del Sr. Cardenal Zelada , á D. Luis Albarracin y Quero: para el Arciprestazgo de Cuellar , en la diócesis de Segovia, vacante por muerte de D. Leandro Quintana, á D. Juan Ramón de Iscar, con la obligació</t>
  </si>
  <si>
    <t>Zey, Francisco</t>
  </si>
  <si>
    <t>Francisco Zey</t>
  </si>
  <si>
    <t>Schnernaver, Don Jayme Stóffel, D. Joseph Chaqué, D. Jayme Steudinger, D. Juan Cristiano Bagnioud, D. Francisco Zey, D. Ghristóbal Fohn, D. Joséph Trax* ler, D. Francisco Joseph Márcos de Courten * D. Casimiro de Mendoza^ D. Baltasar Samitier, D. Joseph Plano, D. Camilo Arroyo , D. Rafael Maria</t>
  </si>
  <si>
    <t>Zichy de Vasankce, Conde</t>
  </si>
  <si>
    <t>Conde Zichy de Vasankce</t>
  </si>
  <si>
    <t>espáchen los asuntos im— portantes que se han puesto á su cargt»...— Una de ellas, presidida por el Conde Zichy de Vasankce, se ocupa en extender las representaciones que han de hacerse á S. M. I. en nombre del Reyno de Hungría; y la otra, baxo la presidencia del Archiduque Palatino; trata de arreglar</t>
  </si>
  <si>
    <t>Zimmerman</t>
  </si>
  <si>
    <t>Véndese en la librería de Ranz , en rústica á 8 rs. Diálogos de Federico 11, Rey de Prusia, con el Dr. Zimmerman , Médico y</t>
  </si>
  <si>
    <t>ica: traducidos del portugués P. J. R. y C. La reputación de Federico como Rey y filósofo, y la del Dr. Zimmerman como médico han hecho a preciables estos diálogos en Europa, por el candor y la sinceridad con que refiere el Dr. Zimmerman sus conversaciones con aquel Soberano en los últimos dí</t>
  </si>
  <si>
    <t>Zoco, Manuel</t>
  </si>
  <si>
    <t>Manuel Zoco</t>
  </si>
  <si>
    <t>29. xa. Licenciado. Manuel Zoco....................... Roque, Francisca Beriain. Puente la Reyna........Pamplona.,.. 47- *5. Presidio. Juan Maurin........................</t>
  </si>
  <si>
    <t>Zorrilla, Julián</t>
  </si>
  <si>
    <t>Julián Zorrilla</t>
  </si>
  <si>
    <t>7. 9. Licenciado. Julián Zorrilla.................... , Ignacio, Dominica Gómez. Búrgos.......... Búrgos........... 86. 28. Id. Pedro González................ . , Antonio, Manue</t>
  </si>
  <si>
    <t>Zuazo Ximentz, Luis</t>
  </si>
  <si>
    <t>Luis Zuazo Ximentz</t>
  </si>
  <si>
    <t>D. 'Antonio Albarracin y Quero, D¿ Igiácio Basabe, Joseph Póncé de Leonj DI Joseph QueVedo y Hoyos, D. Luis Zuazo Ximentz, D. Bernardo Bonávia, D. Manuel de Novales é Iruegas, D. Joaquín Asnn«ulo,D. Pedro de Mesa Baulen, D. Andrés Orive y Quiutano, D. Jo•seph Pascual de Vivero ,- D..t Francisco Mllla</t>
  </si>
  <si>
    <t>Zubeídia, Francisco</t>
  </si>
  <si>
    <t>Francisco Zubeídia</t>
  </si>
  <si>
    <t>e hecho quatro incisiones, las que prendieron; y enterados del hecho los dos Médicos de esta ciudad D. Francisco Zubeídia y D. Ignacio Mendibil, juntamente con otros facultativos , pasaron; al reconocimiento Idel carácter de la vacuna , y sin mas .treguad se-presentaron cón sus hijosy á quienes vacunó, c</t>
  </si>
  <si>
    <t>Zuccoli</t>
  </si>
  <si>
    <t>Zuloaga, Ramón</t>
  </si>
  <si>
    <t>Ramón Zuloaga</t>
  </si>
  <si>
    <t>rques de Iranda, D. Martin Esterripa, D. Ramón Carrillo, D. Francisco Barraicua, D. Mariano Zapata, D. Ramón Zuloaga y D. Luis Duran. En sintaxis, baxo la dirección de su maestro Dw Rufino Espada, D. Joachín Fernandez de Medrano, D. Francisco Necocheay D. Agustín Duran, D. Pedro Goossens, D. Joseph</t>
  </si>
  <si>
    <t>os de latinidad, baxo la dirección de su maestro D. Andrés de Beistegui, lo fueron.!). Luis D oran, D. Ramón Zuloaga, D. Francisco Barraícua, I). Ramón Carrillo, D. Mariano Zapata, D. Martin Esterripa, Cadete de R.eales Guardias Walonas, D. Joseph Torres, el Marques de "Iranda, D. .Joseph Catala</t>
  </si>
  <si>
    <t>Zurbano, Félix</t>
  </si>
  <si>
    <t>Félix Zurbano</t>
  </si>
  <si>
    <t>. Casimiro de Mendoza^ D. Baltasar Samitier, D. Joseph Plano, D. Camilo Arroyo , D. Rafael Mariano, D. Félix Zurbano, D. Juan Lieutaud, D.«Alonso Ribera, Don Pedro Joseph de GamezyD. Vicente Morodo, Di- Felipe Sicre, D. Baltasar Alvarez, D. Joseph Antonio de Calzada, D. Luis Calvo, D; Joseph Ast</t>
  </si>
  <si>
    <t>Fuentes y criterio de elaboración</t>
  </si>
  <si>
    <t>Páginas impresas</t>
  </si>
  <si>
    <t>Registros</t>
  </si>
  <si>
    <t>Fascículo oficial (PDF)</t>
  </si>
  <si>
    <t>1–8</t>
  </si>
  <si>
    <t>9–20</t>
  </si>
  <si>
    <t>21–28</t>
  </si>
  <si>
    <t>29–40</t>
  </si>
  <si>
    <t>4 (supl.)</t>
  </si>
  <si>
    <t>41–44</t>
  </si>
  <si>
    <t>45–52</t>
  </si>
  <si>
    <t>53–60</t>
  </si>
  <si>
    <t>61–68</t>
  </si>
  <si>
    <t>7 (supl.)</t>
  </si>
  <si>
    <t>69–72</t>
  </si>
  <si>
    <t>73–80</t>
  </si>
  <si>
    <t>81–92</t>
  </si>
  <si>
    <t>93–100</t>
  </si>
  <si>
    <t>10 (supl.)</t>
  </si>
  <si>
    <t>101–104</t>
  </si>
  <si>
    <t>105–116</t>
  </si>
  <si>
    <t>117–124</t>
  </si>
  <si>
    <t>125–132</t>
  </si>
  <si>
    <t>13 (supl.)</t>
  </si>
  <si>
    <t>133–136</t>
  </si>
  <si>
    <t>137–148</t>
  </si>
  <si>
    <t>149–160</t>
  </si>
  <si>
    <t>161–172</t>
  </si>
  <si>
    <t>16 (supl.)</t>
  </si>
  <si>
    <t>173–176</t>
  </si>
  <si>
    <t>177–188</t>
  </si>
  <si>
    <t>189–200</t>
  </si>
  <si>
    <t>201–212</t>
  </si>
  <si>
    <t>213–224</t>
  </si>
  <si>
    <t>225–236</t>
  </si>
  <si>
    <t>233–244</t>
  </si>
  <si>
    <t>22 (supl.)</t>
  </si>
  <si>
    <t>245–252</t>
  </si>
  <si>
    <t>253–264</t>
  </si>
  <si>
    <t>265–276</t>
  </si>
  <si>
    <t>277–288</t>
  </si>
  <si>
    <t>289–300</t>
  </si>
  <si>
    <t>26 (supl.)</t>
  </si>
  <si>
    <t>301–304</t>
  </si>
  <si>
    <t>305–320</t>
  </si>
  <si>
    <t>321–332</t>
  </si>
  <si>
    <t>333–344</t>
  </si>
  <si>
    <t>345–352</t>
  </si>
  <si>
    <t>30 (supl.)</t>
  </si>
  <si>
    <t>353–356</t>
  </si>
  <si>
    <t>357–368</t>
  </si>
  <si>
    <t>369–380</t>
  </si>
  <si>
    <t>381–388</t>
  </si>
  <si>
    <t>389–400</t>
  </si>
  <si>
    <t>401–416</t>
  </si>
  <si>
    <t>35 (supl.)</t>
  </si>
  <si>
    <t>417–420</t>
  </si>
  <si>
    <t>421–432</t>
  </si>
  <si>
    <t>433–444</t>
  </si>
  <si>
    <t>445–456</t>
  </si>
  <si>
    <t>457–472</t>
  </si>
  <si>
    <t>473–484</t>
  </si>
  <si>
    <t>485–496</t>
  </si>
  <si>
    <t>497–508</t>
  </si>
  <si>
    <t>509–520</t>
  </si>
  <si>
    <t>43 (supl.)</t>
  </si>
  <si>
    <t>521–524</t>
  </si>
  <si>
    <t>525–536</t>
  </si>
  <si>
    <t>537–548</t>
  </si>
  <si>
    <t>549–564</t>
  </si>
  <si>
    <t>565–576</t>
  </si>
  <si>
    <t>577–588</t>
  </si>
  <si>
    <t>589–600</t>
  </si>
  <si>
    <t>601–612</t>
  </si>
  <si>
    <t>613–624</t>
  </si>
  <si>
    <t>625–632</t>
  </si>
  <si>
    <t>633–644</t>
  </si>
  <si>
    <t>645–656</t>
  </si>
  <si>
    <t>657–668</t>
  </si>
  <si>
    <t>669–680</t>
  </si>
  <si>
    <t>681–692</t>
  </si>
  <si>
    <t>693–704</t>
  </si>
  <si>
    <t>705–716</t>
  </si>
  <si>
    <t>717–732</t>
  </si>
  <si>
    <t>733–744</t>
  </si>
  <si>
    <t>745–756</t>
  </si>
  <si>
    <t>62 (supl.)</t>
  </si>
  <si>
    <t>757–760</t>
  </si>
  <si>
    <t>761–772</t>
  </si>
  <si>
    <t>773–784</t>
  </si>
  <si>
    <t>785–796</t>
  </si>
  <si>
    <t>797–812</t>
  </si>
  <si>
    <t>813–824</t>
  </si>
  <si>
    <t>825–836</t>
  </si>
  <si>
    <t>68 (supl.)</t>
  </si>
  <si>
    <t>837–840</t>
  </si>
  <si>
    <t>841–852</t>
  </si>
  <si>
    <t>853–864</t>
  </si>
  <si>
    <t>865–876</t>
  </si>
  <si>
    <t>71 (supl.)</t>
  </si>
  <si>
    <t>877–880</t>
  </si>
  <si>
    <t>881–892</t>
  </si>
  <si>
    <t>893–904</t>
  </si>
  <si>
    <t>905–916</t>
  </si>
  <si>
    <t>917–928</t>
  </si>
  <si>
    <t>929–940</t>
  </si>
  <si>
    <t>941–952</t>
  </si>
  <si>
    <t>953–964</t>
  </si>
  <si>
    <t>78 (supl.)</t>
  </si>
  <si>
    <t>sin numerar (2 págs. PDF)</t>
  </si>
  <si>
    <t>965–976</t>
  </si>
  <si>
    <t>977–988</t>
  </si>
  <si>
    <t>989–1000</t>
  </si>
  <si>
    <t>1001–1012</t>
  </si>
  <si>
    <t>1013–1028</t>
  </si>
  <si>
    <t>83 (supl.)</t>
  </si>
  <si>
    <t>1029–1032</t>
  </si>
  <si>
    <t>1033–1048</t>
  </si>
  <si>
    <t>1049–1060</t>
  </si>
  <si>
    <t>1061–1072</t>
  </si>
  <si>
    <t>1073–1084</t>
  </si>
  <si>
    <t>1085–1096</t>
  </si>
  <si>
    <t>1097–1108</t>
  </si>
  <si>
    <t>1109–1120</t>
  </si>
  <si>
    <t>1121–1132</t>
  </si>
  <si>
    <t>1133–1140</t>
  </si>
  <si>
    <t>1141–1152</t>
  </si>
  <si>
    <t>1153–1164</t>
  </si>
  <si>
    <t>1165–1176</t>
  </si>
  <si>
    <t>95 (supl.)</t>
  </si>
  <si>
    <t>1177–1180</t>
  </si>
  <si>
    <t>1181–1192</t>
  </si>
  <si>
    <t>1193–1204</t>
  </si>
  <si>
    <t>1205–1216</t>
  </si>
  <si>
    <t>1217–1224</t>
  </si>
  <si>
    <t>99 (supl.)</t>
  </si>
  <si>
    <t>1225–1228</t>
  </si>
  <si>
    <t>99 (supl. 2)</t>
  </si>
  <si>
    <t>sin numerar (16 págs. PDF)</t>
  </si>
  <si>
    <t>1229–1236</t>
  </si>
  <si>
    <t>100 (supl.)</t>
  </si>
  <si>
    <t>sin numerar (4 págs. PDF)</t>
  </si>
  <si>
    <t>1237–1244</t>
  </si>
  <si>
    <t>1245–1256</t>
  </si>
  <si>
    <t>1257–1264</t>
  </si>
  <si>
    <t>1265–1272</t>
  </si>
  <si>
    <t>104 (supl.)</t>
  </si>
  <si>
    <t>1273–1276</t>
  </si>
  <si>
    <t>1277–1288</t>
  </si>
  <si>
    <t>1289–1296</t>
  </si>
  <si>
    <t>Alcance</t>
  </si>
  <si>
    <t>Índice de personas citadas en los 106 números y sus documentos asociados publicados durante 1802.</t>
  </si>
  <si>
    <t>Cobertura</t>
  </si>
  <si>
    <t>Desde el número 1, de 1 de enero, hasta el número 106, de 31 de diciembre de 1802.</t>
  </si>
  <si>
    <t>Documentos</t>
  </si>
  <si>
    <t>Se han procesado 126 PDF: 106 números —1 extraordinario— y 20 suplementos o relaciones.</t>
  </si>
  <si>
    <t>Paginación</t>
  </si>
  <si>
    <t>La numeración principal llega a la página 1296. Los números 21 y 22 repiten las páginas 233–236. Los suplementos 78 y 100 y la segunda relación del 99 tienen paginación independiente y se indican por página del PDF.</t>
  </si>
  <si>
    <t>Facsímiles</t>
  </si>
  <si>
    <t>Algunos suplementos reúnen cuatro páginas impresas en tres imágenes PDF; la hoja de fuentes conserva el rango impreso y cada registro enlaza con la imagen PDF correspondiente.</t>
  </si>
  <si>
    <t>Relaciones</t>
  </si>
  <si>
    <t>La segunda relación militar del número 99 se procesó también por columnas para recuperar los nombres de sus 672 integrantes identificados por el OCR.</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</si>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</sst>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20"/>
      <color rgb="FFFFFFFF"/>
      <name val="Aptos"/>
    </font>
    <font>
      <sz val="11"/>
      <color rgb="FFFFFFFF"/>
      <name val="Aptos"/>
    </font>
    <font>
      <b/>
      <sz val="10"/>
      <color rgb="FF17365D"/>
      <name val="Aptos"/>
    </font>
    <font>
      <i/>
      <sz val="10"/>
      <color rgb="FF7F6000"/>
      <name val="Aptos"/>
    </font>
    <font>
      <b/>
      <sz val="10"/>
      <color rgb="FFFFFFFF"/>
      <name val="Aptos"/>
    </font>
    <font>
      <sz val="9"/>
      <name val="Aptos"/>
    </font>
    <font>
      <sz val="9"/>
      <color rgb="FF0563C1"/>
      <name val="Aptos"/>
    </font>
    <font>
      <sz val="10"/>
      <name val="Aptos"/>
    </font>
    <font>
      <sz val="10"/>
      <color rgb="FF0563C1"/>
      <name val="Aptos"/>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2" displayName="IndiceOnomasticoAnual1802" ref="A6:K7247" totalsRowShown="0">
  <autoFilter ref="A6:K7247"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Nº Gazeta"/>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2" displayName="FuentesGacetaAnual1802" ref="A3:E129" totalsRowShown="0">
  <autoFilter ref="A3:E129" xr:uid="{00000000-0009-0000-0100-000002000000}"/>
  <tableColumns count="5">
    <tableColumn id="1" xr3:uid="{00000000-0010-0000-0100-000001000000}" name="Nº Gazeta"/>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7247"/>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14" customWidth="1"/>
    <col min="7" max="7" width="13" customWidth="1"/>
    <col min="8" max="8" width="38" customWidth="1"/>
    <col min="9" max="9" width="45" customWidth="1"/>
    <col min="10" max="10" width="18" customWidth="1"/>
    <col min="11" max="11" width="17" customWidth="1"/>
  </cols>
  <sheetData>
    <row r="1" spans="1:11" ht="32.1"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3.950000000000003"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17</v>
      </c>
      <c r="C7" s="3" t="s">
        <v>18</v>
      </c>
      <c r="D7" s="3" t="s">
        <v>19</v>
      </c>
      <c r="E7" s="3" t="s">
        <v>20</v>
      </c>
      <c r="F7" s="8">
        <v>84</v>
      </c>
      <c r="G7" s="8">
        <v>1043</v>
      </c>
      <c r="H7" s="3" t="s">
        <v>21</v>
      </c>
      <c r="I7" s="3" t="s">
        <v>22</v>
      </c>
      <c r="J7" s="11" t="str">
        <f>HYPERLINK("https://www.boe.es/gazeta/dias/1802/10/15/pdfs/GMD-1802-84.pdf#page=11","Abrir facsímil")</f>
        <v>Abrir facsímil</v>
      </c>
      <c r="K7" s="14" t="s">
        <v>23</v>
      </c>
    </row>
    <row r="8" spans="1:11" ht="42" customHeight="1">
      <c r="A8" s="4" t="s">
        <v>24</v>
      </c>
      <c r="B8" s="5" t="s">
        <v>24</v>
      </c>
      <c r="C8" s="5" t="s">
        <v>18</v>
      </c>
      <c r="D8" s="5" t="s">
        <v>19</v>
      </c>
      <c r="E8" s="5" t="s">
        <v>25</v>
      </c>
      <c r="F8" s="9">
        <v>44</v>
      </c>
      <c r="G8" s="9">
        <v>533</v>
      </c>
      <c r="H8" s="5" t="s">
        <v>21</v>
      </c>
      <c r="I8" s="5" t="s">
        <v>26</v>
      </c>
      <c r="J8" s="12" t="str">
        <f>HYPERLINK("https://www.boe.es/gazeta/dias/1802/06/01/pdfs/GMD-1802-44.pdf#page=9","Abrir facsímil")</f>
        <v>Abrir facsímil</v>
      </c>
      <c r="K8" s="15" t="s">
        <v>23</v>
      </c>
    </row>
    <row r="9" spans="1:11" ht="42" customHeight="1">
      <c r="A9" s="4" t="s">
        <v>27</v>
      </c>
      <c r="B9" s="5" t="s">
        <v>28</v>
      </c>
      <c r="C9" s="5" t="s">
        <v>29</v>
      </c>
      <c r="D9" s="5" t="s">
        <v>30</v>
      </c>
      <c r="E9" s="5" t="s">
        <v>31</v>
      </c>
      <c r="F9" s="9">
        <v>27</v>
      </c>
      <c r="G9" s="9">
        <v>317</v>
      </c>
      <c r="H9" s="5" t="s">
        <v>21</v>
      </c>
      <c r="I9" s="5" t="s">
        <v>32</v>
      </c>
      <c r="J9" s="12" t="str">
        <f>HYPERLINK("https://www.boe.es/gazeta/dias/1802/04/02/pdfs/GMD-1802-27.pdf#page=13","Abrir facsímil")</f>
        <v>Abrir facsímil</v>
      </c>
      <c r="K9" s="15" t="s">
        <v>23</v>
      </c>
    </row>
    <row r="10" spans="1:11" ht="42" customHeight="1">
      <c r="A10" s="4" t="s">
        <v>33</v>
      </c>
      <c r="B10" s="5" t="s">
        <v>34</v>
      </c>
      <c r="C10" s="5" t="s">
        <v>35</v>
      </c>
      <c r="D10" s="5" t="s">
        <v>36</v>
      </c>
      <c r="E10" s="5" t="s">
        <v>37</v>
      </c>
      <c r="F10" s="9">
        <v>106</v>
      </c>
      <c r="G10" s="9">
        <v>1290</v>
      </c>
      <c r="H10" s="5" t="s">
        <v>21</v>
      </c>
      <c r="I10" s="5" t="s">
        <v>38</v>
      </c>
      <c r="J10" s="12" t="str">
        <f>HYPERLINK("https://www.boe.es/gazeta/dias/1802/12/31/pdfs/GMD-1802-106.pdf#page=2","Abrir facsímil")</f>
        <v>Abrir facsímil</v>
      </c>
      <c r="K10" s="15" t="s">
        <v>23</v>
      </c>
    </row>
    <row r="11" spans="1:11" ht="42" customHeight="1">
      <c r="A11" s="4" t="s">
        <v>33</v>
      </c>
      <c r="B11" s="5" t="s">
        <v>34</v>
      </c>
      <c r="C11" s="5" t="s">
        <v>35</v>
      </c>
      <c r="D11" s="5" t="s">
        <v>36</v>
      </c>
      <c r="E11" s="5" t="s">
        <v>37</v>
      </c>
      <c r="F11" s="9">
        <v>106</v>
      </c>
      <c r="G11" s="9">
        <v>1291</v>
      </c>
      <c r="H11" s="5" t="s">
        <v>21</v>
      </c>
      <c r="I11" s="5" t="s">
        <v>39</v>
      </c>
      <c r="J11" s="12" t="str">
        <f>HYPERLINK("https://www.boe.es/gazeta/dias/1802/12/31/pdfs/GMD-1802-106.pdf#page=3","Abrir facsímil")</f>
        <v>Abrir facsímil</v>
      </c>
      <c r="K11" s="15" t="s">
        <v>23</v>
      </c>
    </row>
    <row r="12" spans="1:11" ht="42" customHeight="1">
      <c r="A12" s="4" t="s">
        <v>40</v>
      </c>
      <c r="B12" s="5" t="s">
        <v>41</v>
      </c>
      <c r="C12" s="5" t="s">
        <v>42</v>
      </c>
      <c r="D12" s="5" t="s">
        <v>43</v>
      </c>
      <c r="E12" s="5" t="s">
        <v>44</v>
      </c>
      <c r="F12" s="9">
        <v>99</v>
      </c>
      <c r="G12" s="9" t="s">
        <v>45</v>
      </c>
      <c r="H12" s="5" t="s">
        <v>21</v>
      </c>
      <c r="I12" s="5" t="s">
        <v>46</v>
      </c>
      <c r="J12" s="12" t="str">
        <f>HYPERLINK("https://www.boe.es/gazeta/dias/1802/12/07/pdfs/GMD-D-1802-99.pdf#page=14","Abrir facsímil")</f>
        <v>Abrir facsímil</v>
      </c>
      <c r="K12" s="15" t="s">
        <v>23</v>
      </c>
    </row>
    <row r="13" spans="1:11" ht="42" customHeight="1">
      <c r="A13" s="4" t="s">
        <v>47</v>
      </c>
      <c r="B13" s="5" t="s">
        <v>48</v>
      </c>
      <c r="C13" s="5" t="s">
        <v>18</v>
      </c>
      <c r="D13" s="5" t="s">
        <v>19</v>
      </c>
      <c r="E13" s="5" t="s">
        <v>49</v>
      </c>
      <c r="F13" s="9">
        <v>83</v>
      </c>
      <c r="G13" s="9">
        <v>1024</v>
      </c>
      <c r="H13" s="5" t="s">
        <v>21</v>
      </c>
      <c r="I13" s="5" t="s">
        <v>50</v>
      </c>
      <c r="J13" s="12" t="str">
        <f>HYPERLINK("https://www.boe.es/gazeta/dias/1802/10/12/pdfs/GMD-1802-83.pdf#page=12","Abrir facsímil")</f>
        <v>Abrir facsímil</v>
      </c>
      <c r="K13" s="15" t="s">
        <v>23</v>
      </c>
    </row>
    <row r="14" spans="1:11" ht="42" customHeight="1">
      <c r="A14" s="4" t="s">
        <v>51</v>
      </c>
      <c r="B14" s="5" t="s">
        <v>52</v>
      </c>
      <c r="C14" s="5" t="s">
        <v>18</v>
      </c>
      <c r="D14" s="5" t="s">
        <v>19</v>
      </c>
      <c r="E14" s="5" t="s">
        <v>49</v>
      </c>
      <c r="F14" s="9">
        <v>83</v>
      </c>
      <c r="G14" s="9">
        <v>1022</v>
      </c>
      <c r="H14" s="5" t="s">
        <v>21</v>
      </c>
      <c r="I14" s="5" t="s">
        <v>53</v>
      </c>
      <c r="J14" s="12" t="str">
        <f>HYPERLINK("https://www.boe.es/gazeta/dias/1802/10/12/pdfs/GMD-1802-83.pdf#page=10","Abrir facsímil")</f>
        <v>Abrir facsímil</v>
      </c>
      <c r="K14" s="15" t="s">
        <v>23</v>
      </c>
    </row>
    <row r="15" spans="1:11" ht="42" customHeight="1">
      <c r="A15" s="4" t="s">
        <v>54</v>
      </c>
      <c r="B15" s="5" t="s">
        <v>54</v>
      </c>
      <c r="C15" s="5" t="s">
        <v>55</v>
      </c>
      <c r="D15" s="5" t="s">
        <v>56</v>
      </c>
      <c r="E15" s="5" t="s">
        <v>57</v>
      </c>
      <c r="F15" s="9">
        <v>54</v>
      </c>
      <c r="G15" s="9">
        <v>646</v>
      </c>
      <c r="H15" s="5" t="s">
        <v>21</v>
      </c>
      <c r="I15" s="5" t="s">
        <v>58</v>
      </c>
      <c r="J15" s="12" t="str">
        <f>HYPERLINK("https://www.boe.es/gazeta/dias/1802/07/06/pdfs/GMD-1802-54.pdf#page=2","Abrir facsímil")</f>
        <v>Abrir facsímil</v>
      </c>
      <c r="K15" s="15" t="s">
        <v>23</v>
      </c>
    </row>
    <row r="16" spans="1:11" ht="42" customHeight="1">
      <c r="A16" s="4" t="s">
        <v>59</v>
      </c>
      <c r="B16" s="5" t="s">
        <v>59</v>
      </c>
      <c r="C16" s="5" t="s">
        <v>35</v>
      </c>
      <c r="D16" s="5" t="s">
        <v>36</v>
      </c>
      <c r="E16" s="5" t="s">
        <v>60</v>
      </c>
      <c r="F16" s="9">
        <v>5</v>
      </c>
      <c r="G16" s="9">
        <v>46</v>
      </c>
      <c r="H16" s="5" t="s">
        <v>21</v>
      </c>
      <c r="I16" s="5" t="s">
        <v>61</v>
      </c>
      <c r="J16" s="12" t="str">
        <f>HYPERLINK("https://www.boe.es/gazeta/dias/1802/01/15/pdfs/GMD-1802-5.pdf#page=2","Abrir facsímil")</f>
        <v>Abrir facsímil</v>
      </c>
      <c r="K16" s="15" t="s">
        <v>23</v>
      </c>
    </row>
    <row r="17" spans="1:11" ht="42" customHeight="1">
      <c r="A17" s="4" t="s">
        <v>62</v>
      </c>
      <c r="B17" s="5" t="s">
        <v>62</v>
      </c>
      <c r="C17" s="5" t="s">
        <v>29</v>
      </c>
      <c r="D17" s="5" t="s">
        <v>30</v>
      </c>
      <c r="E17" s="5" t="s">
        <v>31</v>
      </c>
      <c r="F17" s="9">
        <v>27</v>
      </c>
      <c r="G17" s="9">
        <v>320</v>
      </c>
      <c r="H17" s="5" t="s">
        <v>21</v>
      </c>
      <c r="I17" s="5" t="s">
        <v>63</v>
      </c>
      <c r="J17" s="12" t="str">
        <f>HYPERLINK("https://www.boe.es/gazeta/dias/1802/04/02/pdfs/GMD-1802-27.pdf#page=16","Abrir facsímil")</f>
        <v>Abrir facsímil</v>
      </c>
      <c r="K17" s="15" t="s">
        <v>23</v>
      </c>
    </row>
    <row r="18" spans="1:11" ht="42" customHeight="1">
      <c r="A18" s="4" t="s">
        <v>64</v>
      </c>
      <c r="B18" s="5" t="s">
        <v>65</v>
      </c>
      <c r="C18" s="5" t="s">
        <v>18</v>
      </c>
      <c r="D18" s="5" t="s">
        <v>19</v>
      </c>
      <c r="E18" s="5" t="s">
        <v>49</v>
      </c>
      <c r="F18" s="9">
        <v>83</v>
      </c>
      <c r="G18" s="9">
        <v>1025</v>
      </c>
      <c r="H18" s="5" t="s">
        <v>21</v>
      </c>
      <c r="I18" s="5" t="s">
        <v>66</v>
      </c>
      <c r="J18" s="12" t="str">
        <f>HYPERLINK("https://www.boe.es/gazeta/dias/1802/10/12/pdfs/GMD-1802-83.pdf#page=13","Abrir facsímil")</f>
        <v>Abrir facsímil</v>
      </c>
      <c r="K18" s="15" t="s">
        <v>23</v>
      </c>
    </row>
    <row r="19" spans="1:11" ht="42" customHeight="1">
      <c r="A19" s="4" t="s">
        <v>67</v>
      </c>
      <c r="B19" s="5" t="s">
        <v>68</v>
      </c>
      <c r="C19" s="5" t="s">
        <v>18</v>
      </c>
      <c r="D19" s="5" t="s">
        <v>19</v>
      </c>
      <c r="E19" s="5" t="s">
        <v>20</v>
      </c>
      <c r="F19" s="9">
        <v>84</v>
      </c>
      <c r="G19" s="9">
        <v>1046</v>
      </c>
      <c r="H19" s="5" t="s">
        <v>21</v>
      </c>
      <c r="I19" s="5" t="s">
        <v>69</v>
      </c>
      <c r="J19" s="12" t="str">
        <f>HYPERLINK("https://www.boe.es/gazeta/dias/1802/10/15/pdfs/GMD-1802-84.pdf#page=14","Abrir facsímil")</f>
        <v>Abrir facsímil</v>
      </c>
      <c r="K19" s="15" t="s">
        <v>23</v>
      </c>
    </row>
    <row r="20" spans="1:11" ht="42" customHeight="1">
      <c r="A20" s="4" t="s">
        <v>70</v>
      </c>
      <c r="B20" s="5" t="s">
        <v>70</v>
      </c>
      <c r="C20" s="5" t="s">
        <v>29</v>
      </c>
      <c r="D20" s="5" t="s">
        <v>30</v>
      </c>
      <c r="E20" s="5" t="s">
        <v>71</v>
      </c>
      <c r="F20" s="9">
        <v>21</v>
      </c>
      <c r="G20" s="9">
        <v>226</v>
      </c>
      <c r="H20" s="5" t="s">
        <v>21</v>
      </c>
      <c r="I20" s="5" t="s">
        <v>72</v>
      </c>
      <c r="J20" s="12" t="str">
        <f>HYPERLINK("https://www.boe.es/gazeta/dias/1802/03/12/pdfs/GMD-1802-21.pdf#page=2","Abrir facsímil")</f>
        <v>Abrir facsímil</v>
      </c>
      <c r="K20" s="15" t="s">
        <v>23</v>
      </c>
    </row>
    <row r="21" spans="1:11" ht="42" customHeight="1">
      <c r="A21" s="4" t="s">
        <v>70</v>
      </c>
      <c r="B21" s="5" t="s">
        <v>70</v>
      </c>
      <c r="C21" s="5" t="s">
        <v>29</v>
      </c>
      <c r="D21" s="5" t="s">
        <v>30</v>
      </c>
      <c r="E21" s="5" t="s">
        <v>73</v>
      </c>
      <c r="F21" s="9">
        <v>102</v>
      </c>
      <c r="G21" s="9">
        <v>1249</v>
      </c>
      <c r="H21" s="5" t="s">
        <v>21</v>
      </c>
      <c r="I21" s="5" t="s">
        <v>74</v>
      </c>
      <c r="J21" s="12" t="str">
        <f>HYPERLINK("https://www.boe.es/gazeta/dias/1802/12/17/pdfs/GMD-1802-102.pdf#page=5","Abrir facsímil")</f>
        <v>Abrir facsímil</v>
      </c>
      <c r="K21" s="15" t="s">
        <v>23</v>
      </c>
    </row>
    <row r="22" spans="1:11" ht="42" customHeight="1">
      <c r="A22" s="4" t="s">
        <v>70</v>
      </c>
      <c r="B22" s="5" t="s">
        <v>70</v>
      </c>
      <c r="C22" s="5" t="s">
        <v>35</v>
      </c>
      <c r="D22" s="5" t="s">
        <v>36</v>
      </c>
      <c r="E22" s="5" t="s">
        <v>75</v>
      </c>
      <c r="F22" s="9">
        <v>103</v>
      </c>
      <c r="G22" s="9">
        <v>1258</v>
      </c>
      <c r="H22" s="5" t="s">
        <v>21</v>
      </c>
      <c r="I22" s="5" t="s">
        <v>76</v>
      </c>
      <c r="J22" s="12" t="str">
        <f>HYPERLINK("https://www.boe.es/gazeta/dias/1802/12/21/pdfs/GMD-1802-103.pdf#page=2","Abrir facsímil")</f>
        <v>Abrir facsímil</v>
      </c>
      <c r="K22" s="15" t="s">
        <v>23</v>
      </c>
    </row>
    <row r="23" spans="1:11" ht="42" customHeight="1">
      <c r="A23" s="4" t="s">
        <v>77</v>
      </c>
      <c r="B23" s="5" t="s">
        <v>77</v>
      </c>
      <c r="C23" s="5" t="s">
        <v>42</v>
      </c>
      <c r="D23" s="5" t="s">
        <v>43</v>
      </c>
      <c r="E23" s="5" t="s">
        <v>44</v>
      </c>
      <c r="F23" s="9">
        <v>99</v>
      </c>
      <c r="G23" s="9" t="s">
        <v>78</v>
      </c>
      <c r="H23" s="5" t="s">
        <v>21</v>
      </c>
      <c r="I23" s="5" t="s">
        <v>79</v>
      </c>
      <c r="J23" s="12" t="str">
        <f>HYPERLINK("https://www.boe.es/gazeta/dias/1802/12/07/pdfs/GMD-D-1802-99.pdf#page=15","Abrir facsímil")</f>
        <v>Abrir facsímil</v>
      </c>
      <c r="K23" s="15" t="s">
        <v>23</v>
      </c>
    </row>
    <row r="24" spans="1:11" ht="42" customHeight="1">
      <c r="A24" s="4" t="s">
        <v>80</v>
      </c>
      <c r="B24" s="5" t="s">
        <v>81</v>
      </c>
      <c r="C24" s="5" t="s">
        <v>18</v>
      </c>
      <c r="D24" s="5" t="s">
        <v>19</v>
      </c>
      <c r="E24" s="5" t="s">
        <v>82</v>
      </c>
      <c r="F24" s="9">
        <v>74</v>
      </c>
      <c r="G24" s="9">
        <v>914</v>
      </c>
      <c r="H24" s="5" t="s">
        <v>21</v>
      </c>
      <c r="I24" s="5" t="s">
        <v>83</v>
      </c>
      <c r="J24" s="12" t="str">
        <f>HYPERLINK("https://www.boe.es/gazeta/dias/1802/09/10/pdfs/GMD-1802-74.pdf#page=10","Abrir facsímil")</f>
        <v>Abrir facsímil</v>
      </c>
      <c r="K24" s="15" t="s">
        <v>23</v>
      </c>
    </row>
    <row r="25" spans="1:11" ht="42" customHeight="1">
      <c r="A25" s="4" t="s">
        <v>84</v>
      </c>
      <c r="B25" s="5" t="s">
        <v>85</v>
      </c>
      <c r="C25" s="5" t="s">
        <v>18</v>
      </c>
      <c r="D25" s="5" t="s">
        <v>19</v>
      </c>
      <c r="E25" s="5" t="s">
        <v>86</v>
      </c>
      <c r="F25" s="9">
        <v>26</v>
      </c>
      <c r="G25" s="9">
        <v>297</v>
      </c>
      <c r="H25" s="5" t="s">
        <v>21</v>
      </c>
      <c r="I25" s="5" t="s">
        <v>87</v>
      </c>
      <c r="J25" s="12" t="str">
        <f>HYPERLINK("https://www.boe.es/gazeta/dias/1802/03/30/pdfs/GMD-1802-26.pdf#page=9","Abrir facsímil")</f>
        <v>Abrir facsímil</v>
      </c>
      <c r="K25" s="15" t="s">
        <v>23</v>
      </c>
    </row>
    <row r="26" spans="1:11" ht="42" customHeight="1">
      <c r="A26" s="4" t="s">
        <v>88</v>
      </c>
      <c r="B26" s="5" t="s">
        <v>89</v>
      </c>
      <c r="C26" s="5" t="s">
        <v>90</v>
      </c>
      <c r="D26" s="5" t="s">
        <v>91</v>
      </c>
      <c r="E26" s="5" t="s">
        <v>92</v>
      </c>
      <c r="F26" s="9">
        <v>29</v>
      </c>
      <c r="G26" s="9">
        <v>336</v>
      </c>
      <c r="H26" s="5" t="s">
        <v>21</v>
      </c>
      <c r="I26" s="5" t="s">
        <v>93</v>
      </c>
      <c r="J26" s="12" t="str">
        <f>HYPERLINK("https://www.boe.es/gazeta/dias/1802/04/09/pdfs/GMD-1802-29.pdf#page=4","Abrir facsímil")</f>
        <v>Abrir facsímil</v>
      </c>
      <c r="K26" s="15" t="s">
        <v>23</v>
      </c>
    </row>
    <row r="27" spans="1:11" ht="42" customHeight="1">
      <c r="A27" s="4" t="s">
        <v>88</v>
      </c>
      <c r="B27" s="5" t="s">
        <v>89</v>
      </c>
      <c r="C27" s="5" t="s">
        <v>18</v>
      </c>
      <c r="D27" s="5" t="s">
        <v>19</v>
      </c>
      <c r="E27" s="5" t="s">
        <v>25</v>
      </c>
      <c r="F27" s="9">
        <v>44</v>
      </c>
      <c r="G27" s="9">
        <v>527</v>
      </c>
      <c r="H27" s="5" t="s">
        <v>21</v>
      </c>
      <c r="I27" s="5" t="s">
        <v>94</v>
      </c>
      <c r="J27" s="12" t="str">
        <f>HYPERLINK("https://www.boe.es/gazeta/dias/1802/06/01/pdfs/GMD-1802-44.pdf#page=3","Abrir facsímil")</f>
        <v>Abrir facsímil</v>
      </c>
      <c r="K27" s="15" t="s">
        <v>23</v>
      </c>
    </row>
    <row r="28" spans="1:11" ht="42" customHeight="1">
      <c r="A28" s="4" t="s">
        <v>95</v>
      </c>
      <c r="B28" s="5" t="s">
        <v>96</v>
      </c>
      <c r="C28" s="5" t="s">
        <v>18</v>
      </c>
      <c r="D28" s="5" t="s">
        <v>19</v>
      </c>
      <c r="E28" s="5" t="s">
        <v>49</v>
      </c>
      <c r="F28" s="9">
        <v>83</v>
      </c>
      <c r="G28" s="9">
        <v>1017</v>
      </c>
      <c r="H28" s="5" t="s">
        <v>21</v>
      </c>
      <c r="I28" s="5" t="s">
        <v>97</v>
      </c>
      <c r="J28" s="12" t="str">
        <f>HYPERLINK("https://www.boe.es/gazeta/dias/1802/10/12/pdfs/GMD-1802-83.pdf#page=5","Abrir facsímil")</f>
        <v>Abrir facsímil</v>
      </c>
      <c r="K28" s="15" t="s">
        <v>23</v>
      </c>
    </row>
    <row r="29" spans="1:11" ht="42" customHeight="1">
      <c r="A29" s="4" t="s">
        <v>98</v>
      </c>
      <c r="B29" s="5" t="s">
        <v>98</v>
      </c>
      <c r="C29" s="5" t="s">
        <v>90</v>
      </c>
      <c r="D29" s="5" t="s">
        <v>91</v>
      </c>
      <c r="E29" s="5" t="s">
        <v>99</v>
      </c>
      <c r="F29" s="9">
        <v>86</v>
      </c>
      <c r="G29" s="9">
        <v>1062</v>
      </c>
      <c r="H29" s="5" t="s">
        <v>21</v>
      </c>
      <c r="I29" s="5" t="s">
        <v>100</v>
      </c>
      <c r="J29" s="12" t="str">
        <f>HYPERLINK("https://www.boe.es/gazeta/dias/1802/10/22/pdfs/GMD-1802-86.pdf#page=2","Abrir facsímil")</f>
        <v>Abrir facsímil</v>
      </c>
      <c r="K29" s="15" t="s">
        <v>23</v>
      </c>
    </row>
    <row r="30" spans="1:11" ht="42" customHeight="1">
      <c r="A30" s="4" t="s">
        <v>101</v>
      </c>
      <c r="B30" s="5" t="s">
        <v>101</v>
      </c>
      <c r="C30" s="5" t="s">
        <v>29</v>
      </c>
      <c r="D30" s="5" t="s">
        <v>30</v>
      </c>
      <c r="E30" s="5" t="s">
        <v>102</v>
      </c>
      <c r="F30" s="9">
        <v>73</v>
      </c>
      <c r="G30" s="9">
        <v>895</v>
      </c>
      <c r="H30" s="5" t="s">
        <v>21</v>
      </c>
      <c r="I30" s="5" t="s">
        <v>103</v>
      </c>
      <c r="J30" s="12" t="str">
        <f>HYPERLINK("https://www.boe.es/gazeta/dias/1802/09/07/pdfs/GMD-1802-73.pdf#page=3","Abrir facsímil")</f>
        <v>Abrir facsímil</v>
      </c>
      <c r="K30" s="15" t="s">
        <v>23</v>
      </c>
    </row>
    <row r="31" spans="1:11" ht="42" customHeight="1">
      <c r="A31" s="4" t="s">
        <v>104</v>
      </c>
      <c r="B31" s="5" t="s">
        <v>105</v>
      </c>
      <c r="C31" s="5" t="s">
        <v>18</v>
      </c>
      <c r="D31" s="5" t="s">
        <v>19</v>
      </c>
      <c r="E31" s="5" t="s">
        <v>20</v>
      </c>
      <c r="F31" s="9">
        <v>84</v>
      </c>
      <c r="G31" s="9">
        <v>1043</v>
      </c>
      <c r="H31" s="5" t="s">
        <v>21</v>
      </c>
      <c r="I31" s="5" t="s">
        <v>106</v>
      </c>
      <c r="J31" s="12" t="str">
        <f>HYPERLINK("https://www.boe.es/gazeta/dias/1802/10/15/pdfs/GMD-1802-84.pdf#page=11","Abrir facsímil")</f>
        <v>Abrir facsímil</v>
      </c>
      <c r="K31" s="15" t="s">
        <v>23</v>
      </c>
    </row>
    <row r="32" spans="1:11" ht="42" customHeight="1">
      <c r="A32" s="4" t="s">
        <v>107</v>
      </c>
      <c r="B32" s="5" t="s">
        <v>108</v>
      </c>
      <c r="C32" s="5" t="s">
        <v>29</v>
      </c>
      <c r="D32" s="5" t="s">
        <v>30</v>
      </c>
      <c r="E32" s="5" t="s">
        <v>109</v>
      </c>
      <c r="F32" s="9">
        <v>10</v>
      </c>
      <c r="G32" s="9">
        <v>98</v>
      </c>
      <c r="H32" s="5" t="s">
        <v>21</v>
      </c>
      <c r="I32" s="5" t="s">
        <v>110</v>
      </c>
      <c r="J32" s="12" t="str">
        <f>HYPERLINK("https://www.boe.es/gazeta/dias/1802/02/02/pdfs/GMD-1802-10.pdf#page=6","Abrir facsímil")</f>
        <v>Abrir facsímil</v>
      </c>
      <c r="K32" s="15" t="s">
        <v>23</v>
      </c>
    </row>
    <row r="33" spans="1:11" ht="42" customHeight="1">
      <c r="A33" s="4" t="s">
        <v>111</v>
      </c>
      <c r="B33" s="5" t="s">
        <v>111</v>
      </c>
      <c r="C33" s="5" t="s">
        <v>18</v>
      </c>
      <c r="D33" s="5" t="s">
        <v>19</v>
      </c>
      <c r="E33" s="5" t="s">
        <v>49</v>
      </c>
      <c r="F33" s="9">
        <v>83</v>
      </c>
      <c r="G33" s="9">
        <v>1017</v>
      </c>
      <c r="H33" s="5" t="s">
        <v>21</v>
      </c>
      <c r="I33" s="5" t="s">
        <v>112</v>
      </c>
      <c r="J33" s="12" t="str">
        <f>HYPERLINK("https://www.boe.es/gazeta/dias/1802/10/12/pdfs/GMD-1802-83.pdf#page=5","Abrir facsímil")</f>
        <v>Abrir facsímil</v>
      </c>
      <c r="K33" s="15" t="s">
        <v>23</v>
      </c>
    </row>
    <row r="34" spans="1:11" ht="42" customHeight="1">
      <c r="A34" s="4" t="s">
        <v>113</v>
      </c>
      <c r="B34" s="5" t="s">
        <v>113</v>
      </c>
      <c r="C34" s="5" t="s">
        <v>29</v>
      </c>
      <c r="D34" s="5" t="s">
        <v>30</v>
      </c>
      <c r="E34" s="5" t="s">
        <v>114</v>
      </c>
      <c r="F34" s="9">
        <v>82</v>
      </c>
      <c r="G34" s="9">
        <v>1008</v>
      </c>
      <c r="H34" s="5" t="s">
        <v>21</v>
      </c>
      <c r="I34" s="5" t="s">
        <v>115</v>
      </c>
      <c r="J34" s="12" t="str">
        <f>HYPERLINK("https://www.boe.es/gazeta/dias/1802/10/08/pdfs/GMD-1802-82.pdf#page=8","Abrir facsímil")</f>
        <v>Abrir facsímil</v>
      </c>
      <c r="K34" s="15" t="s">
        <v>23</v>
      </c>
    </row>
    <row r="35" spans="1:11" ht="42" customHeight="1">
      <c r="A35" s="4" t="s">
        <v>116</v>
      </c>
      <c r="B35" s="5" t="s">
        <v>117</v>
      </c>
      <c r="C35" s="5" t="s">
        <v>29</v>
      </c>
      <c r="D35" s="5" t="s">
        <v>30</v>
      </c>
      <c r="E35" s="5" t="s">
        <v>86</v>
      </c>
      <c r="F35" s="9">
        <v>26</v>
      </c>
      <c r="G35" s="9">
        <v>298</v>
      </c>
      <c r="H35" s="5" t="s">
        <v>21</v>
      </c>
      <c r="I35" s="5" t="s">
        <v>118</v>
      </c>
      <c r="J35" s="12" t="str">
        <f>HYPERLINK("https://www.boe.es/gazeta/dias/1802/03/30/pdfs/GMD-1802-26.pdf#page=10","Abrir facsímil")</f>
        <v>Abrir facsímil</v>
      </c>
      <c r="K35" s="15" t="s">
        <v>23</v>
      </c>
    </row>
    <row r="36" spans="1:11" ht="42" customHeight="1">
      <c r="A36" s="4" t="s">
        <v>119</v>
      </c>
      <c r="B36" s="5" t="s">
        <v>120</v>
      </c>
      <c r="C36" s="5" t="s">
        <v>18</v>
      </c>
      <c r="D36" s="5" t="s">
        <v>19</v>
      </c>
      <c r="E36" s="5" t="s">
        <v>121</v>
      </c>
      <c r="F36" s="9">
        <v>87</v>
      </c>
      <c r="G36" s="9">
        <v>1082</v>
      </c>
      <c r="H36" s="5" t="s">
        <v>21</v>
      </c>
      <c r="I36" s="5" t="s">
        <v>122</v>
      </c>
      <c r="J36" s="12" t="str">
        <f>HYPERLINK("https://www.boe.es/gazeta/dias/1802/10/26/pdfs/GMD-1802-87.pdf#page=10","Abrir facsímil")</f>
        <v>Abrir facsímil</v>
      </c>
      <c r="K36" s="15" t="s">
        <v>23</v>
      </c>
    </row>
    <row r="37" spans="1:11" ht="42" customHeight="1">
      <c r="A37" s="4" t="s">
        <v>123</v>
      </c>
      <c r="B37" s="5" t="s">
        <v>124</v>
      </c>
      <c r="C37" s="5" t="s">
        <v>18</v>
      </c>
      <c r="D37" s="5" t="s">
        <v>19</v>
      </c>
      <c r="E37" s="5" t="s">
        <v>20</v>
      </c>
      <c r="F37" s="9">
        <v>84</v>
      </c>
      <c r="G37" s="9">
        <v>1041</v>
      </c>
      <c r="H37" s="5" t="s">
        <v>21</v>
      </c>
      <c r="I37" s="5" t="s">
        <v>125</v>
      </c>
      <c r="J37" s="12" t="str">
        <f>HYPERLINK("https://www.boe.es/gazeta/dias/1802/10/15/pdfs/GMD-1802-84.pdf#page=9","Abrir facsímil")</f>
        <v>Abrir facsímil</v>
      </c>
      <c r="K37" s="15" t="s">
        <v>23</v>
      </c>
    </row>
    <row r="38" spans="1:11" ht="42" customHeight="1">
      <c r="A38" s="4" t="s">
        <v>126</v>
      </c>
      <c r="B38" s="5" t="s">
        <v>127</v>
      </c>
      <c r="C38" s="5" t="s">
        <v>29</v>
      </c>
      <c r="D38" s="5" t="s">
        <v>30</v>
      </c>
      <c r="E38" s="5" t="s">
        <v>128</v>
      </c>
      <c r="F38" s="9">
        <v>9</v>
      </c>
      <c r="G38" s="9">
        <v>89</v>
      </c>
      <c r="H38" s="5" t="s">
        <v>21</v>
      </c>
      <c r="I38" s="5" t="s">
        <v>129</v>
      </c>
      <c r="J38" s="12" t="str">
        <f>HYPERLINK("https://www.boe.es/gazeta/dias/1802/01/29/pdfs/GMD-1802-9.pdf#page=9","Abrir facsímil")</f>
        <v>Abrir facsímil</v>
      </c>
      <c r="K38" s="15" t="s">
        <v>23</v>
      </c>
    </row>
    <row r="39" spans="1:11" ht="42" customHeight="1">
      <c r="A39" s="4" t="s">
        <v>130</v>
      </c>
      <c r="B39" s="5" t="s">
        <v>130</v>
      </c>
      <c r="C39" s="5" t="s">
        <v>35</v>
      </c>
      <c r="D39" s="5" t="s">
        <v>36</v>
      </c>
      <c r="E39" s="5" t="s">
        <v>131</v>
      </c>
      <c r="F39" s="9">
        <v>11</v>
      </c>
      <c r="G39" s="9">
        <v>108</v>
      </c>
      <c r="H39" s="5" t="s">
        <v>21</v>
      </c>
      <c r="I39" s="5" t="s">
        <v>132</v>
      </c>
      <c r="J39" s="12" t="str">
        <f>HYPERLINK("https://www.boe.es/gazeta/dias/1802/02/05/pdfs/GMD-1802-11.pdf#page=4","Abrir facsímil")</f>
        <v>Abrir facsímil</v>
      </c>
      <c r="K39" s="15" t="s">
        <v>23</v>
      </c>
    </row>
    <row r="40" spans="1:11" ht="42" customHeight="1">
      <c r="A40" s="4" t="s">
        <v>130</v>
      </c>
      <c r="B40" s="5" t="s">
        <v>130</v>
      </c>
      <c r="C40" s="5" t="s">
        <v>35</v>
      </c>
      <c r="D40" s="5" t="s">
        <v>36</v>
      </c>
      <c r="E40" s="5" t="s">
        <v>133</v>
      </c>
      <c r="F40" s="9">
        <v>33</v>
      </c>
      <c r="G40" s="9">
        <v>383</v>
      </c>
      <c r="H40" s="5" t="s">
        <v>21</v>
      </c>
      <c r="I40" s="5" t="s">
        <v>134</v>
      </c>
      <c r="J40" s="12" t="str">
        <f>HYPERLINK("https://www.boe.es/gazeta/dias/1802/04/23/pdfs/GMD-1802-33.pdf#page=3","Abrir facsímil")</f>
        <v>Abrir facsímil</v>
      </c>
      <c r="K40" s="15" t="s">
        <v>23</v>
      </c>
    </row>
    <row r="41" spans="1:11" ht="42" customHeight="1">
      <c r="A41" s="4" t="s">
        <v>130</v>
      </c>
      <c r="B41" s="5" t="s">
        <v>130</v>
      </c>
      <c r="C41" s="5" t="s">
        <v>29</v>
      </c>
      <c r="D41" s="5" t="s">
        <v>30</v>
      </c>
      <c r="E41" s="5" t="s">
        <v>49</v>
      </c>
      <c r="F41" s="9">
        <v>83</v>
      </c>
      <c r="G41" s="9">
        <v>1013</v>
      </c>
      <c r="H41" s="5" t="s">
        <v>21</v>
      </c>
      <c r="I41" s="5" t="s">
        <v>135</v>
      </c>
      <c r="J41" s="12" t="str">
        <f>HYPERLINK("https://www.boe.es/gazeta/dias/1802/10/12/pdfs/GMD-1802-83.pdf#page=1","Abrir facsímil")</f>
        <v>Abrir facsímil</v>
      </c>
      <c r="K41" s="15" t="s">
        <v>23</v>
      </c>
    </row>
    <row r="42" spans="1:11" ht="42" customHeight="1">
      <c r="A42" s="4" t="s">
        <v>136</v>
      </c>
      <c r="B42" s="5" t="s">
        <v>136</v>
      </c>
      <c r="C42" s="5" t="s">
        <v>55</v>
      </c>
      <c r="D42" s="5" t="s">
        <v>56</v>
      </c>
      <c r="E42" s="5" t="s">
        <v>131</v>
      </c>
      <c r="F42" s="9">
        <v>11</v>
      </c>
      <c r="G42" s="9">
        <v>108</v>
      </c>
      <c r="H42" s="5" t="s">
        <v>21</v>
      </c>
      <c r="I42" s="5" t="s">
        <v>137</v>
      </c>
      <c r="J42" s="12" t="str">
        <f>HYPERLINK("https://www.boe.es/gazeta/dias/1802/02/05/pdfs/GMD-1802-11.pdf#page=4","Abrir facsímil")</f>
        <v>Abrir facsímil</v>
      </c>
      <c r="K42" s="15" t="s">
        <v>23</v>
      </c>
    </row>
    <row r="43" spans="1:11" ht="42" customHeight="1">
      <c r="A43" s="4" t="s">
        <v>138</v>
      </c>
      <c r="B43" s="5" t="s">
        <v>139</v>
      </c>
      <c r="C43" s="5" t="s">
        <v>18</v>
      </c>
      <c r="D43" s="5" t="s">
        <v>19</v>
      </c>
      <c r="E43" s="5" t="s">
        <v>20</v>
      </c>
      <c r="F43" s="9">
        <v>84</v>
      </c>
      <c r="G43" s="9">
        <v>1041</v>
      </c>
      <c r="H43" s="5" t="s">
        <v>21</v>
      </c>
      <c r="I43" s="5" t="s">
        <v>140</v>
      </c>
      <c r="J43" s="12" t="str">
        <f>HYPERLINK("https://www.boe.es/gazeta/dias/1802/10/15/pdfs/GMD-1802-84.pdf#page=9","Abrir facsímil")</f>
        <v>Abrir facsímil</v>
      </c>
      <c r="K43" s="15" t="s">
        <v>23</v>
      </c>
    </row>
    <row r="44" spans="1:11" ht="42" customHeight="1">
      <c r="A44" s="4" t="s">
        <v>141</v>
      </c>
      <c r="B44" s="5" t="s">
        <v>141</v>
      </c>
      <c r="C44" s="5" t="s">
        <v>35</v>
      </c>
      <c r="D44" s="5" t="s">
        <v>36</v>
      </c>
      <c r="E44" s="5" t="s">
        <v>142</v>
      </c>
      <c r="F44" s="9">
        <v>64</v>
      </c>
      <c r="G44" s="9">
        <v>779</v>
      </c>
      <c r="H44" s="5" t="s">
        <v>21</v>
      </c>
      <c r="I44" s="5" t="s">
        <v>143</v>
      </c>
      <c r="J44" s="12" t="str">
        <f>HYPERLINK("https://www.boe.es/gazeta/dias/1802/08/06/pdfs/GMD-1802-64.pdf#page=7","Abrir facsímil")</f>
        <v>Abrir facsímil</v>
      </c>
      <c r="K44" s="15" t="s">
        <v>23</v>
      </c>
    </row>
    <row r="45" spans="1:11" ht="42" customHeight="1">
      <c r="A45" s="4" t="s">
        <v>144</v>
      </c>
      <c r="B45" s="5" t="s">
        <v>145</v>
      </c>
      <c r="C45" s="5" t="s">
        <v>35</v>
      </c>
      <c r="D45" s="5" t="s">
        <v>36</v>
      </c>
      <c r="E45" s="5" t="s">
        <v>146</v>
      </c>
      <c r="F45" s="9">
        <v>42</v>
      </c>
      <c r="G45" s="9">
        <v>501</v>
      </c>
      <c r="H45" s="5" t="s">
        <v>21</v>
      </c>
      <c r="I45" s="5" t="s">
        <v>147</v>
      </c>
      <c r="J45" s="12" t="str">
        <f>HYPERLINK("https://www.boe.es/gazeta/dias/1802/05/25/pdfs/GMD-1802-42.pdf#page=5","Abrir facsímil")</f>
        <v>Abrir facsímil</v>
      </c>
      <c r="K45" s="15" t="s">
        <v>23</v>
      </c>
    </row>
    <row r="46" spans="1:11" ht="42" customHeight="1">
      <c r="A46" s="4" t="s">
        <v>144</v>
      </c>
      <c r="B46" s="5" t="s">
        <v>145</v>
      </c>
      <c r="C46" s="5" t="s">
        <v>35</v>
      </c>
      <c r="D46" s="5" t="s">
        <v>36</v>
      </c>
      <c r="E46" s="5" t="s">
        <v>148</v>
      </c>
      <c r="F46" s="9">
        <v>66</v>
      </c>
      <c r="G46" s="9">
        <v>802</v>
      </c>
      <c r="H46" s="5" t="s">
        <v>21</v>
      </c>
      <c r="I46" s="5" t="s">
        <v>149</v>
      </c>
      <c r="J46" s="12" t="str">
        <f>HYPERLINK("https://www.boe.es/gazeta/dias/1802/08/13/pdfs/GMD-1802-66.pdf#page=6","Abrir facsímil")</f>
        <v>Abrir facsímil</v>
      </c>
      <c r="K46" s="15" t="s">
        <v>23</v>
      </c>
    </row>
    <row r="47" spans="1:11" ht="42" customHeight="1">
      <c r="A47" s="4" t="s">
        <v>150</v>
      </c>
      <c r="B47" s="5" t="s">
        <v>151</v>
      </c>
      <c r="C47" s="5" t="s">
        <v>18</v>
      </c>
      <c r="D47" s="5" t="s">
        <v>19</v>
      </c>
      <c r="E47" s="5" t="s">
        <v>152</v>
      </c>
      <c r="F47" s="9">
        <v>25</v>
      </c>
      <c r="G47" s="9">
        <v>284</v>
      </c>
      <c r="H47" s="5" t="s">
        <v>21</v>
      </c>
      <c r="I47" s="5" t="s">
        <v>153</v>
      </c>
      <c r="J47" s="12" t="str">
        <f>HYPERLINK("https://www.boe.es/gazeta/dias/1802/03/26/pdfs/GMD-1802-25.pdf#page=8","Abrir facsímil")</f>
        <v>Abrir facsímil</v>
      </c>
      <c r="K47" s="15" t="s">
        <v>23</v>
      </c>
    </row>
    <row r="48" spans="1:11" ht="42" customHeight="1">
      <c r="A48" s="4" t="s">
        <v>154</v>
      </c>
      <c r="B48" s="5" t="s">
        <v>155</v>
      </c>
      <c r="C48" s="5" t="s">
        <v>18</v>
      </c>
      <c r="D48" s="5" t="s">
        <v>19</v>
      </c>
      <c r="E48" s="5" t="s">
        <v>152</v>
      </c>
      <c r="F48" s="9">
        <v>25</v>
      </c>
      <c r="G48" s="9">
        <v>284</v>
      </c>
      <c r="H48" s="5" t="s">
        <v>21</v>
      </c>
      <c r="I48" s="5" t="s">
        <v>156</v>
      </c>
      <c r="J48" s="12" t="str">
        <f>HYPERLINK("https://www.boe.es/gazeta/dias/1802/03/26/pdfs/GMD-1802-25.pdf#page=8","Abrir facsímil")</f>
        <v>Abrir facsímil</v>
      </c>
      <c r="K48" s="15" t="s">
        <v>23</v>
      </c>
    </row>
    <row r="49" spans="1:11" ht="42" customHeight="1">
      <c r="A49" s="4" t="s">
        <v>154</v>
      </c>
      <c r="B49" s="5" t="s">
        <v>155</v>
      </c>
      <c r="C49" s="5" t="s">
        <v>18</v>
      </c>
      <c r="D49" s="5" t="s">
        <v>19</v>
      </c>
      <c r="E49" s="5" t="s">
        <v>152</v>
      </c>
      <c r="F49" s="9">
        <v>25</v>
      </c>
      <c r="G49" s="9">
        <v>285</v>
      </c>
      <c r="H49" s="5" t="s">
        <v>21</v>
      </c>
      <c r="I49" s="5" t="s">
        <v>157</v>
      </c>
      <c r="J49" s="12" t="str">
        <f>HYPERLINK("https://www.boe.es/gazeta/dias/1802/03/26/pdfs/GMD-1802-25.pdf#page=9","Abrir facsímil")</f>
        <v>Abrir facsímil</v>
      </c>
      <c r="K49" s="15" t="s">
        <v>23</v>
      </c>
    </row>
    <row r="50" spans="1:11" ht="42" customHeight="1">
      <c r="A50" s="4" t="s">
        <v>158</v>
      </c>
      <c r="B50" s="5" t="s">
        <v>159</v>
      </c>
      <c r="C50" s="5" t="s">
        <v>160</v>
      </c>
      <c r="D50" s="5" t="s">
        <v>91</v>
      </c>
      <c r="E50" s="5" t="s">
        <v>92</v>
      </c>
      <c r="F50" s="9">
        <v>29</v>
      </c>
      <c r="G50" s="9">
        <v>342</v>
      </c>
      <c r="H50" s="5" t="s">
        <v>21</v>
      </c>
      <c r="I50" s="5" t="s">
        <v>161</v>
      </c>
      <c r="J50" s="12" t="str">
        <f>HYPERLINK("https://www.boe.es/gazeta/dias/1802/04/09/pdfs/GMD-1802-29.pdf#page=10","Abrir facsímil")</f>
        <v>Abrir facsímil</v>
      </c>
      <c r="K50" s="15" t="s">
        <v>23</v>
      </c>
    </row>
    <row r="51" spans="1:11" ht="42" customHeight="1">
      <c r="A51" s="4" t="s">
        <v>162</v>
      </c>
      <c r="B51" s="5" t="s">
        <v>162</v>
      </c>
      <c r="C51" s="5" t="s">
        <v>29</v>
      </c>
      <c r="D51" s="5" t="s">
        <v>30</v>
      </c>
      <c r="E51" s="5" t="s">
        <v>163</v>
      </c>
      <c r="F51" s="9">
        <v>1</v>
      </c>
      <c r="G51" s="9">
        <v>3</v>
      </c>
      <c r="H51" s="5" t="s">
        <v>21</v>
      </c>
      <c r="I51" s="5" t="s">
        <v>164</v>
      </c>
      <c r="J51" s="12" t="str">
        <f>HYPERLINK("https://www.boe.es/gazeta/dias/1802/01/01/pdfs/GMD-1802-1.pdf#page=3","Abrir facsímil")</f>
        <v>Abrir facsímil</v>
      </c>
      <c r="K51" s="15" t="s">
        <v>23</v>
      </c>
    </row>
    <row r="52" spans="1:11" ht="42" customHeight="1">
      <c r="A52" s="4" t="s">
        <v>162</v>
      </c>
      <c r="B52" s="5" t="s">
        <v>162</v>
      </c>
      <c r="C52" s="5" t="s">
        <v>35</v>
      </c>
      <c r="D52" s="5" t="s">
        <v>36</v>
      </c>
      <c r="E52" s="5" t="s">
        <v>165</v>
      </c>
      <c r="F52" s="9">
        <v>3</v>
      </c>
      <c r="G52" s="9">
        <v>23</v>
      </c>
      <c r="H52" s="5" t="s">
        <v>21</v>
      </c>
      <c r="I52" s="5" t="s">
        <v>166</v>
      </c>
      <c r="J52" s="12" t="str">
        <f>HYPERLINK("https://www.boe.es/gazeta/dias/1802/01/08/pdfs/GMD-1802-3.pdf#page=3","Abrir facsímil")</f>
        <v>Abrir facsímil</v>
      </c>
      <c r="K52" s="15" t="s">
        <v>23</v>
      </c>
    </row>
    <row r="53" spans="1:11" ht="42" customHeight="1">
      <c r="A53" s="4" t="s">
        <v>162</v>
      </c>
      <c r="B53" s="5" t="s">
        <v>162</v>
      </c>
      <c r="C53" s="5" t="s">
        <v>160</v>
      </c>
      <c r="D53" s="5" t="s">
        <v>91</v>
      </c>
      <c r="E53" s="5" t="s">
        <v>167</v>
      </c>
      <c r="F53" s="9">
        <v>23</v>
      </c>
      <c r="G53" s="9">
        <v>256</v>
      </c>
      <c r="H53" s="5" t="s">
        <v>21</v>
      </c>
      <c r="I53" s="5" t="s">
        <v>168</v>
      </c>
      <c r="J53" s="12" t="str">
        <f>HYPERLINK("https://www.boe.es/gazeta/dias/1802/03/19/pdfs/GMD-1802-23.pdf#page=4","Abrir facsímil")</f>
        <v>Abrir facsímil</v>
      </c>
      <c r="K53" s="15" t="s">
        <v>23</v>
      </c>
    </row>
    <row r="54" spans="1:11" ht="42" customHeight="1">
      <c r="A54" s="4" t="s">
        <v>162</v>
      </c>
      <c r="B54" s="5" t="s">
        <v>162</v>
      </c>
      <c r="C54" s="5" t="s">
        <v>90</v>
      </c>
      <c r="D54" s="5" t="s">
        <v>91</v>
      </c>
      <c r="E54" s="5" t="s">
        <v>86</v>
      </c>
      <c r="F54" s="9">
        <v>26</v>
      </c>
      <c r="G54" s="9">
        <v>293</v>
      </c>
      <c r="H54" s="5" t="s">
        <v>21</v>
      </c>
      <c r="I54" s="5" t="s">
        <v>169</v>
      </c>
      <c r="J54" s="12" t="str">
        <f>HYPERLINK("https://www.boe.es/gazeta/dias/1802/03/30/pdfs/GMD-1802-26.pdf#page=5","Abrir facsímil")</f>
        <v>Abrir facsímil</v>
      </c>
      <c r="K54" s="15" t="s">
        <v>23</v>
      </c>
    </row>
    <row r="55" spans="1:11" ht="42" customHeight="1">
      <c r="A55" s="4" t="s">
        <v>162</v>
      </c>
      <c r="B55" s="5" t="s">
        <v>162</v>
      </c>
      <c r="C55" s="5" t="s">
        <v>35</v>
      </c>
      <c r="D55" s="5" t="s">
        <v>36</v>
      </c>
      <c r="E55" s="5" t="s">
        <v>170</v>
      </c>
      <c r="F55" s="9">
        <v>28</v>
      </c>
      <c r="G55" s="9">
        <v>323</v>
      </c>
      <c r="H55" s="5" t="s">
        <v>21</v>
      </c>
      <c r="I55" s="5" t="s">
        <v>171</v>
      </c>
      <c r="J55" s="12" t="str">
        <f>HYPERLINK("https://www.boe.es/gazeta/dias/1802/04/06/pdfs/GMD-1802-28.pdf#page=3","Abrir facsímil")</f>
        <v>Abrir facsímil</v>
      </c>
      <c r="K55" s="15" t="s">
        <v>23</v>
      </c>
    </row>
    <row r="56" spans="1:11" ht="42" customHeight="1">
      <c r="A56" s="4" t="s">
        <v>162</v>
      </c>
      <c r="B56" s="5" t="s">
        <v>162</v>
      </c>
      <c r="C56" s="5" t="s">
        <v>35</v>
      </c>
      <c r="D56" s="5" t="s">
        <v>36</v>
      </c>
      <c r="E56" s="5" t="s">
        <v>172</v>
      </c>
      <c r="F56" s="9">
        <v>35</v>
      </c>
      <c r="G56" s="9">
        <v>405</v>
      </c>
      <c r="H56" s="5" t="s">
        <v>21</v>
      </c>
      <c r="I56" s="5" t="s">
        <v>173</v>
      </c>
      <c r="J56" s="12" t="str">
        <f>HYPERLINK("https://www.boe.es/gazeta/dias/1802/04/30/pdfs/GMD-1802-35.pdf#page=5","Abrir facsímil")</f>
        <v>Abrir facsímil</v>
      </c>
      <c r="K56" s="15" t="s">
        <v>23</v>
      </c>
    </row>
    <row r="57" spans="1:11" ht="42" customHeight="1">
      <c r="A57" s="4" t="s">
        <v>162</v>
      </c>
      <c r="B57" s="5" t="s">
        <v>162</v>
      </c>
      <c r="C57" s="5" t="s">
        <v>35</v>
      </c>
      <c r="D57" s="5" t="s">
        <v>36</v>
      </c>
      <c r="E57" s="5" t="s">
        <v>172</v>
      </c>
      <c r="F57" s="9">
        <v>35</v>
      </c>
      <c r="G57" s="9">
        <v>406</v>
      </c>
      <c r="H57" s="5" t="s">
        <v>21</v>
      </c>
      <c r="I57" s="5" t="s">
        <v>174</v>
      </c>
      <c r="J57" s="12" t="str">
        <f>HYPERLINK("https://www.boe.es/gazeta/dias/1802/04/30/pdfs/GMD-1802-35.pdf#page=6","Abrir facsímil")</f>
        <v>Abrir facsímil</v>
      </c>
      <c r="K57" s="15" t="s">
        <v>23</v>
      </c>
    </row>
    <row r="58" spans="1:11" ht="42" customHeight="1">
      <c r="A58" s="4" t="s">
        <v>162</v>
      </c>
      <c r="B58" s="5" t="s">
        <v>162</v>
      </c>
      <c r="C58" s="5" t="s">
        <v>160</v>
      </c>
      <c r="D58" s="5" t="s">
        <v>91</v>
      </c>
      <c r="E58" s="5" t="s">
        <v>175</v>
      </c>
      <c r="F58" s="9">
        <v>37</v>
      </c>
      <c r="G58" s="9">
        <v>435</v>
      </c>
      <c r="H58" s="5" t="s">
        <v>21</v>
      </c>
      <c r="I58" s="5" t="s">
        <v>176</v>
      </c>
      <c r="J58" s="12" t="str">
        <f>HYPERLINK("https://www.boe.es/gazeta/dias/1802/05/07/pdfs/GMD-1802-37.pdf#page=3","Abrir facsímil")</f>
        <v>Abrir facsímil</v>
      </c>
      <c r="K58" s="15" t="s">
        <v>23</v>
      </c>
    </row>
    <row r="59" spans="1:11" ht="42" customHeight="1">
      <c r="A59" s="4" t="s">
        <v>162</v>
      </c>
      <c r="B59" s="5" t="s">
        <v>162</v>
      </c>
      <c r="C59" s="5" t="s">
        <v>35</v>
      </c>
      <c r="D59" s="5" t="s">
        <v>36</v>
      </c>
      <c r="E59" s="5" t="s">
        <v>146</v>
      </c>
      <c r="F59" s="9">
        <v>42</v>
      </c>
      <c r="G59" s="9">
        <v>498</v>
      </c>
      <c r="H59" s="5" t="s">
        <v>21</v>
      </c>
      <c r="I59" s="5" t="s">
        <v>177</v>
      </c>
      <c r="J59" s="12" t="str">
        <f>HYPERLINK("https://www.boe.es/gazeta/dias/1802/05/25/pdfs/GMD-1802-42.pdf#page=2","Abrir facsímil")</f>
        <v>Abrir facsímil</v>
      </c>
      <c r="K59" s="15" t="s">
        <v>23</v>
      </c>
    </row>
    <row r="60" spans="1:11" ht="42" customHeight="1">
      <c r="A60" s="4" t="s">
        <v>178</v>
      </c>
      <c r="B60" s="5" t="s">
        <v>178</v>
      </c>
      <c r="C60" s="5" t="s">
        <v>35</v>
      </c>
      <c r="D60" s="5" t="s">
        <v>36</v>
      </c>
      <c r="E60" s="5" t="s">
        <v>146</v>
      </c>
      <c r="F60" s="9">
        <v>42</v>
      </c>
      <c r="G60" s="9">
        <v>499</v>
      </c>
      <c r="H60" s="5" t="s">
        <v>21</v>
      </c>
      <c r="I60" s="5" t="s">
        <v>179</v>
      </c>
      <c r="J60" s="12" t="str">
        <f>HYPERLINK("https://www.boe.es/gazeta/dias/1802/05/25/pdfs/GMD-1802-42.pdf#page=3","Abrir facsímil")</f>
        <v>Abrir facsímil</v>
      </c>
      <c r="K60" s="15" t="s">
        <v>23</v>
      </c>
    </row>
    <row r="61" spans="1:11" ht="42" customHeight="1">
      <c r="A61" s="4" t="s">
        <v>162</v>
      </c>
      <c r="B61" s="5" t="s">
        <v>162</v>
      </c>
      <c r="C61" s="5" t="s">
        <v>35</v>
      </c>
      <c r="D61" s="5" t="s">
        <v>36</v>
      </c>
      <c r="E61" s="5" t="s">
        <v>57</v>
      </c>
      <c r="F61" s="9">
        <v>54</v>
      </c>
      <c r="G61" s="9">
        <v>647</v>
      </c>
      <c r="H61" s="5" t="s">
        <v>21</v>
      </c>
      <c r="I61" s="5" t="s">
        <v>180</v>
      </c>
      <c r="J61" s="12" t="str">
        <f>HYPERLINK("https://www.boe.es/gazeta/dias/1802/07/06/pdfs/GMD-1802-54.pdf#page=3","Abrir facsímil")</f>
        <v>Abrir facsímil</v>
      </c>
      <c r="K61" s="15" t="s">
        <v>23</v>
      </c>
    </row>
    <row r="62" spans="1:11" ht="42" customHeight="1">
      <c r="A62" s="4" t="s">
        <v>162</v>
      </c>
      <c r="B62" s="5" t="s">
        <v>162</v>
      </c>
      <c r="C62" s="5" t="s">
        <v>35</v>
      </c>
      <c r="D62" s="5" t="s">
        <v>36</v>
      </c>
      <c r="E62" s="5" t="s">
        <v>181</v>
      </c>
      <c r="F62" s="9">
        <v>55</v>
      </c>
      <c r="G62" s="9">
        <v>660</v>
      </c>
      <c r="H62" s="5" t="s">
        <v>21</v>
      </c>
      <c r="I62" s="5" t="s">
        <v>182</v>
      </c>
      <c r="J62" s="12" t="str">
        <f>HYPERLINK("https://www.boe.es/gazeta/dias/1802/07/09/pdfs/GMD-1802-55.pdf#page=4","Abrir facsímil")</f>
        <v>Abrir facsímil</v>
      </c>
      <c r="K62" s="15" t="s">
        <v>23</v>
      </c>
    </row>
    <row r="63" spans="1:11" ht="42" customHeight="1">
      <c r="A63" s="4" t="s">
        <v>162</v>
      </c>
      <c r="B63" s="5" t="s">
        <v>162</v>
      </c>
      <c r="C63" s="5" t="s">
        <v>35</v>
      </c>
      <c r="D63" s="5" t="s">
        <v>36</v>
      </c>
      <c r="E63" s="5" t="s">
        <v>183</v>
      </c>
      <c r="F63" s="9">
        <v>56</v>
      </c>
      <c r="G63" s="9">
        <v>673</v>
      </c>
      <c r="H63" s="5" t="s">
        <v>21</v>
      </c>
      <c r="I63" s="5" t="s">
        <v>184</v>
      </c>
      <c r="J63" s="12" t="str">
        <f>HYPERLINK("https://www.boe.es/gazeta/dias/1802/07/13/pdfs/GMD-1802-56.pdf#page=5","Abrir facsímil")</f>
        <v>Abrir facsímil</v>
      </c>
      <c r="K63" s="15" t="s">
        <v>23</v>
      </c>
    </row>
    <row r="64" spans="1:11" ht="42" customHeight="1">
      <c r="A64" s="4" t="s">
        <v>162</v>
      </c>
      <c r="B64" s="5" t="s">
        <v>162</v>
      </c>
      <c r="C64" s="5" t="s">
        <v>35</v>
      </c>
      <c r="D64" s="5" t="s">
        <v>36</v>
      </c>
      <c r="E64" s="5" t="s">
        <v>185</v>
      </c>
      <c r="F64" s="9">
        <v>95</v>
      </c>
      <c r="G64" s="9">
        <v>1168</v>
      </c>
      <c r="H64" s="5" t="s">
        <v>21</v>
      </c>
      <c r="I64" s="5" t="s">
        <v>186</v>
      </c>
      <c r="J64" s="12" t="str">
        <f>HYPERLINK("https://www.boe.es/gazeta/dias/1802/11/23/pdfs/GMD-1802-95.pdf#page=4","Abrir facsímil")</f>
        <v>Abrir facsímil</v>
      </c>
      <c r="K64" s="15" t="s">
        <v>23</v>
      </c>
    </row>
    <row r="65" spans="1:11" ht="42" customHeight="1">
      <c r="A65" s="4" t="s">
        <v>187</v>
      </c>
      <c r="B65" s="5" t="s">
        <v>187</v>
      </c>
      <c r="C65" s="5" t="s">
        <v>35</v>
      </c>
      <c r="D65" s="5" t="s">
        <v>36</v>
      </c>
      <c r="E65" s="5" t="s">
        <v>188</v>
      </c>
      <c r="F65" s="9">
        <v>49</v>
      </c>
      <c r="G65" s="9">
        <v>590</v>
      </c>
      <c r="H65" s="5" t="s">
        <v>21</v>
      </c>
      <c r="I65" s="5" t="s">
        <v>189</v>
      </c>
      <c r="J65" s="12" t="str">
        <f>HYPERLINK("https://www.boe.es/gazeta/dias/1802/06/18/pdfs/GMD-1802-49.pdf#page=2","Abrir facsímil")</f>
        <v>Abrir facsímil</v>
      </c>
      <c r="K65" s="15" t="s">
        <v>23</v>
      </c>
    </row>
    <row r="66" spans="1:11" ht="42" customHeight="1">
      <c r="A66" s="4" t="s">
        <v>190</v>
      </c>
      <c r="B66" s="5" t="s">
        <v>191</v>
      </c>
      <c r="C66" s="5" t="s">
        <v>35</v>
      </c>
      <c r="D66" s="5" t="s">
        <v>36</v>
      </c>
      <c r="E66" s="5" t="s">
        <v>192</v>
      </c>
      <c r="F66" s="9">
        <v>53</v>
      </c>
      <c r="G66" s="9">
        <v>635</v>
      </c>
      <c r="H66" s="5" t="s">
        <v>21</v>
      </c>
      <c r="I66" s="5" t="s">
        <v>193</v>
      </c>
      <c r="J66" s="12" t="str">
        <f>HYPERLINK("https://www.boe.es/gazeta/dias/1802/07/02/pdfs/GMD-1802-53.pdf#page=3","Abrir facsímil")</f>
        <v>Abrir facsímil</v>
      </c>
      <c r="K66" s="15" t="s">
        <v>23</v>
      </c>
    </row>
    <row r="67" spans="1:11" ht="42" customHeight="1">
      <c r="A67" s="4" t="s">
        <v>194</v>
      </c>
      <c r="B67" s="5" t="s">
        <v>195</v>
      </c>
      <c r="C67" s="5" t="s">
        <v>29</v>
      </c>
      <c r="D67" s="5" t="s">
        <v>30</v>
      </c>
      <c r="E67" s="5" t="s">
        <v>196</v>
      </c>
      <c r="F67" s="9">
        <v>2</v>
      </c>
      <c r="G67" s="9">
        <v>12</v>
      </c>
      <c r="H67" s="5" t="s">
        <v>21</v>
      </c>
      <c r="I67" s="5" t="s">
        <v>197</v>
      </c>
      <c r="J67" s="12" t="str">
        <f>HYPERLINK("https://www.boe.es/gazeta/dias/1802/01/05/pdfs/GMD-1802-2.pdf#page=4","Abrir facsímil")</f>
        <v>Abrir facsímil</v>
      </c>
      <c r="K67" s="15" t="s">
        <v>23</v>
      </c>
    </row>
    <row r="68" spans="1:11" ht="42" customHeight="1">
      <c r="A68" s="4" t="s">
        <v>198</v>
      </c>
      <c r="B68" s="5" t="s">
        <v>199</v>
      </c>
      <c r="C68" s="5" t="s">
        <v>35</v>
      </c>
      <c r="D68" s="5" t="s">
        <v>36</v>
      </c>
      <c r="E68" s="5" t="s">
        <v>60</v>
      </c>
      <c r="F68" s="9">
        <v>5</v>
      </c>
      <c r="G68" s="9">
        <v>47</v>
      </c>
      <c r="H68" s="5" t="s">
        <v>21</v>
      </c>
      <c r="I68" s="5" t="s">
        <v>200</v>
      </c>
      <c r="J68" s="12" t="str">
        <f>HYPERLINK("https://www.boe.es/gazeta/dias/1802/01/15/pdfs/GMD-1802-5.pdf#page=3","Abrir facsímil")</f>
        <v>Abrir facsímil</v>
      </c>
      <c r="K68" s="15" t="s">
        <v>23</v>
      </c>
    </row>
    <row r="69" spans="1:11" ht="42" customHeight="1">
      <c r="A69" s="4" t="s">
        <v>201</v>
      </c>
      <c r="B69" s="5" t="s">
        <v>202</v>
      </c>
      <c r="C69" s="5" t="s">
        <v>29</v>
      </c>
      <c r="D69" s="5" t="s">
        <v>30</v>
      </c>
      <c r="E69" s="5" t="s">
        <v>71</v>
      </c>
      <c r="F69" s="9">
        <v>21</v>
      </c>
      <c r="G69" s="9">
        <v>227</v>
      </c>
      <c r="H69" s="5" t="s">
        <v>21</v>
      </c>
      <c r="I69" s="5" t="s">
        <v>203</v>
      </c>
      <c r="J69" s="12" t="str">
        <f>HYPERLINK("https://www.boe.es/gazeta/dias/1802/03/12/pdfs/GMD-1802-21.pdf#page=3","Abrir facsímil")</f>
        <v>Abrir facsímil</v>
      </c>
      <c r="K69" s="15" t="s">
        <v>23</v>
      </c>
    </row>
    <row r="70" spans="1:11" ht="42" customHeight="1">
      <c r="A70" s="4" t="s">
        <v>201</v>
      </c>
      <c r="B70" s="5" t="s">
        <v>202</v>
      </c>
      <c r="C70" s="5" t="s">
        <v>160</v>
      </c>
      <c r="D70" s="5" t="s">
        <v>91</v>
      </c>
      <c r="E70" s="5" t="s">
        <v>31</v>
      </c>
      <c r="F70" s="9">
        <v>27</v>
      </c>
      <c r="G70" s="9">
        <v>307</v>
      </c>
      <c r="H70" s="5" t="s">
        <v>21</v>
      </c>
      <c r="I70" s="5" t="s">
        <v>204</v>
      </c>
      <c r="J70" s="12" t="str">
        <f>HYPERLINK("https://www.boe.es/gazeta/dias/1802/04/02/pdfs/GMD-1802-27.pdf#page=3","Abrir facsímil")</f>
        <v>Abrir facsímil</v>
      </c>
      <c r="K70" s="15" t="s">
        <v>23</v>
      </c>
    </row>
    <row r="71" spans="1:11" ht="42" customHeight="1">
      <c r="A71" s="4" t="s">
        <v>205</v>
      </c>
      <c r="B71" s="5" t="s">
        <v>205</v>
      </c>
      <c r="C71" s="5" t="s">
        <v>29</v>
      </c>
      <c r="D71" s="5" t="s">
        <v>30</v>
      </c>
      <c r="E71" s="5" t="s">
        <v>206</v>
      </c>
      <c r="F71" s="9">
        <v>22</v>
      </c>
      <c r="G71" s="9">
        <v>241</v>
      </c>
      <c r="H71" s="5" t="s">
        <v>21</v>
      </c>
      <c r="I71" s="5" t="s">
        <v>207</v>
      </c>
      <c r="J71" s="12" t="str">
        <f>HYPERLINK("https://www.boe.es/gazeta/dias/1802/03/16/pdfs/GMD-1802-22.pdf#page=9","Abrir facsímil")</f>
        <v>Abrir facsímil</v>
      </c>
      <c r="K71" s="15" t="s">
        <v>23</v>
      </c>
    </row>
    <row r="72" spans="1:11" ht="42" customHeight="1">
      <c r="A72" s="4" t="s">
        <v>208</v>
      </c>
      <c r="B72" s="5" t="s">
        <v>208</v>
      </c>
      <c r="C72" s="5" t="s">
        <v>18</v>
      </c>
      <c r="D72" s="5" t="s">
        <v>19</v>
      </c>
      <c r="E72" s="5" t="s">
        <v>20</v>
      </c>
      <c r="F72" s="9">
        <v>84</v>
      </c>
      <c r="G72" s="9">
        <v>1044</v>
      </c>
      <c r="H72" s="5" t="s">
        <v>21</v>
      </c>
      <c r="I72" s="5" t="s">
        <v>209</v>
      </c>
      <c r="J72" s="12" t="str">
        <f>HYPERLINK("https://www.boe.es/gazeta/dias/1802/10/15/pdfs/GMD-1802-84.pdf#page=12","Abrir facsímil")</f>
        <v>Abrir facsímil</v>
      </c>
      <c r="K72" s="15" t="s">
        <v>23</v>
      </c>
    </row>
    <row r="73" spans="1:11" ht="42" customHeight="1">
      <c r="A73" s="4" t="s">
        <v>210</v>
      </c>
      <c r="B73" s="5" t="s">
        <v>211</v>
      </c>
      <c r="C73" s="5" t="s">
        <v>18</v>
      </c>
      <c r="D73" s="5" t="s">
        <v>19</v>
      </c>
      <c r="E73" s="5" t="s">
        <v>49</v>
      </c>
      <c r="F73" s="9">
        <v>83</v>
      </c>
      <c r="G73" s="9">
        <v>1025</v>
      </c>
      <c r="H73" s="5" t="s">
        <v>21</v>
      </c>
      <c r="I73" s="5" t="s">
        <v>212</v>
      </c>
      <c r="J73" s="12" t="str">
        <f>HYPERLINK("https://www.boe.es/gazeta/dias/1802/10/12/pdfs/GMD-1802-83.pdf#page=13","Abrir facsímil")</f>
        <v>Abrir facsímil</v>
      </c>
      <c r="K73" s="15" t="s">
        <v>23</v>
      </c>
    </row>
    <row r="74" spans="1:11" ht="42" customHeight="1">
      <c r="A74" s="4" t="s">
        <v>213</v>
      </c>
      <c r="B74" s="5" t="s">
        <v>214</v>
      </c>
      <c r="C74" s="5" t="s">
        <v>18</v>
      </c>
      <c r="D74" s="5" t="s">
        <v>19</v>
      </c>
      <c r="E74" s="5" t="s">
        <v>20</v>
      </c>
      <c r="F74" s="9">
        <v>84</v>
      </c>
      <c r="G74" s="9">
        <v>1041</v>
      </c>
      <c r="H74" s="5" t="s">
        <v>21</v>
      </c>
      <c r="I74" s="5" t="s">
        <v>215</v>
      </c>
      <c r="J74" s="12" t="str">
        <f>HYPERLINK("https://www.boe.es/gazeta/dias/1802/10/15/pdfs/GMD-1802-84.pdf#page=9","Abrir facsímil")</f>
        <v>Abrir facsímil</v>
      </c>
      <c r="K74" s="15" t="s">
        <v>23</v>
      </c>
    </row>
    <row r="75" spans="1:11" ht="42" customHeight="1">
      <c r="A75" s="4" t="s">
        <v>216</v>
      </c>
      <c r="B75" s="5" t="s">
        <v>216</v>
      </c>
      <c r="C75" s="5" t="s">
        <v>18</v>
      </c>
      <c r="D75" s="5" t="s">
        <v>19</v>
      </c>
      <c r="E75" s="5" t="s">
        <v>44</v>
      </c>
      <c r="F75" s="9">
        <v>99</v>
      </c>
      <c r="G75" s="9">
        <v>1220</v>
      </c>
      <c r="H75" s="5" t="s">
        <v>21</v>
      </c>
      <c r="I75" s="5" t="s">
        <v>217</v>
      </c>
      <c r="J75" s="12" t="str">
        <f>HYPERLINK("https://www.boe.es/gazeta/dias/1802/12/07/pdfs/GMD-1802-99.pdf#page=4","Abrir facsímil")</f>
        <v>Abrir facsímil</v>
      </c>
      <c r="K75" s="15" t="s">
        <v>23</v>
      </c>
    </row>
    <row r="76" spans="1:11" ht="42" customHeight="1">
      <c r="A76" s="4" t="s">
        <v>218</v>
      </c>
      <c r="B76" s="5" t="s">
        <v>218</v>
      </c>
      <c r="C76" s="5" t="s">
        <v>18</v>
      </c>
      <c r="D76" s="5" t="s">
        <v>19</v>
      </c>
      <c r="E76" s="5" t="s">
        <v>219</v>
      </c>
      <c r="F76" s="9">
        <v>81</v>
      </c>
      <c r="G76" s="9">
        <v>998</v>
      </c>
      <c r="H76" s="5" t="s">
        <v>21</v>
      </c>
      <c r="I76" s="5" t="s">
        <v>220</v>
      </c>
      <c r="J76" s="12" t="str">
        <f>HYPERLINK("https://www.boe.es/gazeta/dias/1802/10/05/pdfs/GMD-1802-81.pdf#page=10","Abrir facsímil")</f>
        <v>Abrir facsímil</v>
      </c>
      <c r="K76" s="15" t="s">
        <v>23</v>
      </c>
    </row>
    <row r="77" spans="1:11" ht="42" customHeight="1">
      <c r="A77" s="4" t="s">
        <v>221</v>
      </c>
      <c r="B77" s="5" t="s">
        <v>221</v>
      </c>
      <c r="C77" s="5" t="s">
        <v>42</v>
      </c>
      <c r="D77" s="5" t="s">
        <v>43</v>
      </c>
      <c r="E77" s="5" t="s">
        <v>44</v>
      </c>
      <c r="F77" s="9">
        <v>99</v>
      </c>
      <c r="G77" s="9" t="s">
        <v>222</v>
      </c>
      <c r="H77" s="5" t="s">
        <v>21</v>
      </c>
      <c r="I77" s="5" t="s">
        <v>223</v>
      </c>
      <c r="J77" s="12" t="str">
        <f>HYPERLINK("https://www.boe.es/gazeta/dias/1802/12/07/pdfs/GMD-D-1802-99.pdf#page=5","Abrir facsímil")</f>
        <v>Abrir facsímil</v>
      </c>
      <c r="K77" s="15" t="s">
        <v>23</v>
      </c>
    </row>
    <row r="78" spans="1:11" ht="42" customHeight="1">
      <c r="A78" s="4" t="s">
        <v>224</v>
      </c>
      <c r="B78" s="5" t="s">
        <v>225</v>
      </c>
      <c r="C78" s="5" t="s">
        <v>35</v>
      </c>
      <c r="D78" s="5" t="s">
        <v>36</v>
      </c>
      <c r="E78" s="5" t="s">
        <v>148</v>
      </c>
      <c r="F78" s="9">
        <v>66</v>
      </c>
      <c r="G78" s="9">
        <v>807</v>
      </c>
      <c r="H78" s="5" t="s">
        <v>21</v>
      </c>
      <c r="I78" s="5" t="s">
        <v>226</v>
      </c>
      <c r="J78" s="12" t="str">
        <f>HYPERLINK("https://www.boe.es/gazeta/dias/1802/08/13/pdfs/GMD-1802-66.pdf#page=11","Abrir facsímil")</f>
        <v>Abrir facsímil</v>
      </c>
      <c r="K78" s="15" t="s">
        <v>23</v>
      </c>
    </row>
    <row r="79" spans="1:11" ht="42" customHeight="1">
      <c r="A79" s="4" t="s">
        <v>227</v>
      </c>
      <c r="B79" s="5" t="s">
        <v>228</v>
      </c>
      <c r="C79" s="5" t="s">
        <v>18</v>
      </c>
      <c r="D79" s="5" t="s">
        <v>19</v>
      </c>
      <c r="E79" s="5" t="s">
        <v>20</v>
      </c>
      <c r="F79" s="9">
        <v>84</v>
      </c>
      <c r="G79" s="9">
        <v>1040</v>
      </c>
      <c r="H79" s="5" t="s">
        <v>21</v>
      </c>
      <c r="I79" s="5" t="s">
        <v>229</v>
      </c>
      <c r="J79" s="12" t="str">
        <f>HYPERLINK("https://www.boe.es/gazeta/dias/1802/10/15/pdfs/GMD-1802-84.pdf#page=8","Abrir facsímil")</f>
        <v>Abrir facsímil</v>
      </c>
      <c r="K79" s="15" t="s">
        <v>23</v>
      </c>
    </row>
    <row r="80" spans="1:11" ht="42" customHeight="1">
      <c r="A80" s="4" t="s">
        <v>230</v>
      </c>
      <c r="B80" s="5" t="s">
        <v>231</v>
      </c>
      <c r="C80" s="5" t="s">
        <v>18</v>
      </c>
      <c r="D80" s="5" t="s">
        <v>19</v>
      </c>
      <c r="E80" s="5" t="s">
        <v>232</v>
      </c>
      <c r="F80" s="9">
        <v>30</v>
      </c>
      <c r="G80" s="9">
        <v>349</v>
      </c>
      <c r="H80" s="5" t="s">
        <v>21</v>
      </c>
      <c r="I80" s="5" t="s">
        <v>233</v>
      </c>
      <c r="J80" s="12" t="str">
        <f>HYPERLINK("https://www.boe.es/gazeta/dias/1802/04/13/pdfs/GMD-1802-30.pdf#page=5","Abrir facsímil")</f>
        <v>Abrir facsímil</v>
      </c>
      <c r="K80" s="15" t="s">
        <v>23</v>
      </c>
    </row>
    <row r="81" spans="1:11" ht="42" customHeight="1">
      <c r="A81" s="4" t="s">
        <v>234</v>
      </c>
      <c r="B81" s="5" t="s">
        <v>234</v>
      </c>
      <c r="C81" s="5" t="s">
        <v>29</v>
      </c>
      <c r="D81" s="5" t="s">
        <v>30</v>
      </c>
      <c r="E81" s="5" t="s">
        <v>181</v>
      </c>
      <c r="F81" s="9">
        <v>55</v>
      </c>
      <c r="G81" s="9">
        <v>666</v>
      </c>
      <c r="H81" s="5" t="s">
        <v>21</v>
      </c>
      <c r="I81" s="5" t="s">
        <v>235</v>
      </c>
      <c r="J81" s="12" t="str">
        <f>HYPERLINK("https://www.boe.es/gazeta/dias/1802/07/09/pdfs/GMD-1802-55.pdf#page=10","Abrir facsímil")</f>
        <v>Abrir facsímil</v>
      </c>
      <c r="K81" s="15" t="s">
        <v>23</v>
      </c>
    </row>
    <row r="82" spans="1:11" ht="42" customHeight="1">
      <c r="A82" s="4" t="s">
        <v>236</v>
      </c>
      <c r="B82" s="5" t="s">
        <v>237</v>
      </c>
      <c r="C82" s="5" t="s">
        <v>35</v>
      </c>
      <c r="D82" s="5" t="s">
        <v>36</v>
      </c>
      <c r="E82" s="5" t="s">
        <v>20</v>
      </c>
      <c r="F82" s="9">
        <v>84</v>
      </c>
      <c r="G82" s="9">
        <v>1037</v>
      </c>
      <c r="H82" s="5" t="s">
        <v>21</v>
      </c>
      <c r="I82" s="5" t="s">
        <v>238</v>
      </c>
      <c r="J82" s="12" t="str">
        <f>HYPERLINK("https://www.boe.es/gazeta/dias/1802/10/15/pdfs/GMD-1802-84.pdf#page=5","Abrir facsímil")</f>
        <v>Abrir facsímil</v>
      </c>
      <c r="K82" s="15" t="s">
        <v>23</v>
      </c>
    </row>
    <row r="83" spans="1:11" ht="42" customHeight="1">
      <c r="A83" s="4" t="s">
        <v>239</v>
      </c>
      <c r="B83" s="5" t="s">
        <v>240</v>
      </c>
      <c r="C83" s="5" t="s">
        <v>55</v>
      </c>
      <c r="D83" s="5" t="s">
        <v>56</v>
      </c>
      <c r="E83" s="5" t="s">
        <v>49</v>
      </c>
      <c r="F83" s="9">
        <v>83</v>
      </c>
      <c r="G83" s="9">
        <v>1024</v>
      </c>
      <c r="H83" s="5" t="s">
        <v>21</v>
      </c>
      <c r="I83" s="5" t="s">
        <v>241</v>
      </c>
      <c r="J83" s="12" t="str">
        <f>HYPERLINK("https://www.boe.es/gazeta/dias/1802/10/12/pdfs/GMD-1802-83.pdf#page=12","Abrir facsímil")</f>
        <v>Abrir facsímil</v>
      </c>
      <c r="K83" s="15" t="s">
        <v>23</v>
      </c>
    </row>
    <row r="84" spans="1:11" ht="42" customHeight="1">
      <c r="A84" s="4" t="s">
        <v>242</v>
      </c>
      <c r="B84" s="5" t="s">
        <v>243</v>
      </c>
      <c r="C84" s="5" t="s">
        <v>29</v>
      </c>
      <c r="D84" s="5" t="s">
        <v>30</v>
      </c>
      <c r="E84" s="5" t="s">
        <v>92</v>
      </c>
      <c r="F84" s="9">
        <v>29</v>
      </c>
      <c r="G84" s="9">
        <v>342</v>
      </c>
      <c r="H84" s="5" t="s">
        <v>21</v>
      </c>
      <c r="I84" s="5" t="s">
        <v>244</v>
      </c>
      <c r="J84" s="12" t="str">
        <f>HYPERLINK("https://www.boe.es/gazeta/dias/1802/04/09/pdfs/GMD-1802-29.pdf#page=10","Abrir facsímil")</f>
        <v>Abrir facsímil</v>
      </c>
      <c r="K84" s="15" t="s">
        <v>23</v>
      </c>
    </row>
    <row r="85" spans="1:11" ht="42" customHeight="1">
      <c r="A85" s="4" t="s">
        <v>245</v>
      </c>
      <c r="B85" s="5" t="s">
        <v>246</v>
      </c>
      <c r="C85" s="5" t="s">
        <v>160</v>
      </c>
      <c r="D85" s="5" t="s">
        <v>91</v>
      </c>
      <c r="E85" s="5" t="s">
        <v>247</v>
      </c>
      <c r="F85" s="9">
        <v>14</v>
      </c>
      <c r="G85" s="9">
        <v>146</v>
      </c>
      <c r="H85" s="5" t="s">
        <v>21</v>
      </c>
      <c r="I85" s="5" t="s">
        <v>248</v>
      </c>
      <c r="J85" s="12" t="str">
        <f>HYPERLINK("https://www.boe.es/gazeta/dias/1802/02/16/pdfs/GMD-1802-14.pdf#page=10","Abrir facsímil")</f>
        <v>Abrir facsímil</v>
      </c>
      <c r="K85" s="15" t="s">
        <v>23</v>
      </c>
    </row>
    <row r="86" spans="1:11" ht="42" customHeight="1">
      <c r="A86" s="4" t="s">
        <v>249</v>
      </c>
      <c r="B86" s="5" t="s">
        <v>250</v>
      </c>
      <c r="C86" s="5" t="s">
        <v>42</v>
      </c>
      <c r="D86" s="5" t="s">
        <v>43</v>
      </c>
      <c r="E86" s="5" t="s">
        <v>44</v>
      </c>
      <c r="F86" s="9">
        <v>99</v>
      </c>
      <c r="G86" s="9" t="s">
        <v>251</v>
      </c>
      <c r="H86" s="5" t="s">
        <v>21</v>
      </c>
      <c r="I86" s="5" t="s">
        <v>252</v>
      </c>
      <c r="J86" s="12" t="str">
        <f>HYPERLINK("https://www.boe.es/gazeta/dias/1802/12/07/pdfs/GMD-D-1802-99.pdf#page=6","Abrir facsímil")</f>
        <v>Abrir facsímil</v>
      </c>
      <c r="K86" s="15" t="s">
        <v>23</v>
      </c>
    </row>
    <row r="87" spans="1:11" ht="42" customHeight="1">
      <c r="A87" s="4" t="s">
        <v>253</v>
      </c>
      <c r="B87" s="5" t="s">
        <v>254</v>
      </c>
      <c r="C87" s="5" t="s">
        <v>18</v>
      </c>
      <c r="D87" s="5" t="s">
        <v>19</v>
      </c>
      <c r="E87" s="5" t="s">
        <v>49</v>
      </c>
      <c r="F87" s="9">
        <v>83</v>
      </c>
      <c r="G87" s="9">
        <v>1022</v>
      </c>
      <c r="H87" s="5" t="s">
        <v>21</v>
      </c>
      <c r="I87" s="5" t="s">
        <v>255</v>
      </c>
      <c r="J87" s="12" t="str">
        <f>HYPERLINK("https://www.boe.es/gazeta/dias/1802/10/12/pdfs/GMD-1802-83.pdf#page=10","Abrir facsímil")</f>
        <v>Abrir facsímil</v>
      </c>
      <c r="K87" s="15" t="s">
        <v>23</v>
      </c>
    </row>
    <row r="88" spans="1:11" ht="42" customHeight="1">
      <c r="A88" s="4" t="s">
        <v>256</v>
      </c>
      <c r="B88" s="5" t="s">
        <v>257</v>
      </c>
      <c r="C88" s="5" t="s">
        <v>160</v>
      </c>
      <c r="D88" s="5" t="s">
        <v>91</v>
      </c>
      <c r="E88" s="5" t="s">
        <v>258</v>
      </c>
      <c r="F88" s="9">
        <v>63</v>
      </c>
      <c r="G88" s="9">
        <v>769</v>
      </c>
      <c r="H88" s="5" t="s">
        <v>21</v>
      </c>
      <c r="I88" s="5" t="s">
        <v>259</v>
      </c>
      <c r="J88" s="12" t="str">
        <f>HYPERLINK("https://www.boe.es/gazeta/dias/1802/08/03/pdfs/GMD-1802-63.pdf#page=9","Abrir facsímil")</f>
        <v>Abrir facsímil</v>
      </c>
      <c r="K88" s="15" t="s">
        <v>23</v>
      </c>
    </row>
    <row r="89" spans="1:11" ht="42" customHeight="1">
      <c r="A89" s="4" t="s">
        <v>260</v>
      </c>
      <c r="B89" s="5" t="s">
        <v>261</v>
      </c>
      <c r="C89" s="5" t="s">
        <v>42</v>
      </c>
      <c r="D89" s="5" t="s">
        <v>43</v>
      </c>
      <c r="E89" s="5" t="s">
        <v>44</v>
      </c>
      <c r="F89" s="9">
        <v>99</v>
      </c>
      <c r="G89" s="9" t="s">
        <v>262</v>
      </c>
      <c r="H89" s="5" t="s">
        <v>21</v>
      </c>
      <c r="I89" s="5" t="s">
        <v>263</v>
      </c>
      <c r="J89" s="12" t="str">
        <f>HYPERLINK("https://www.boe.es/gazeta/dias/1802/12/07/pdfs/GMD-D-1802-99.pdf#page=8","Abrir facsímil")</f>
        <v>Abrir facsímil</v>
      </c>
      <c r="K89" s="15" t="s">
        <v>23</v>
      </c>
    </row>
    <row r="90" spans="1:11" ht="42" customHeight="1">
      <c r="A90" s="4" t="s">
        <v>264</v>
      </c>
      <c r="B90" s="5" t="s">
        <v>265</v>
      </c>
      <c r="C90" s="5" t="s">
        <v>29</v>
      </c>
      <c r="D90" s="5" t="s">
        <v>30</v>
      </c>
      <c r="E90" s="5" t="s">
        <v>146</v>
      </c>
      <c r="F90" s="9">
        <v>42</v>
      </c>
      <c r="G90" s="9">
        <v>503</v>
      </c>
      <c r="H90" s="5" t="s">
        <v>21</v>
      </c>
      <c r="I90" s="5" t="s">
        <v>266</v>
      </c>
      <c r="J90" s="12" t="str">
        <f>HYPERLINK("https://www.boe.es/gazeta/dias/1802/05/25/pdfs/GMD-1802-42.pdf#page=7","Abrir facsímil")</f>
        <v>Abrir facsímil</v>
      </c>
      <c r="K90" s="15" t="s">
        <v>23</v>
      </c>
    </row>
    <row r="91" spans="1:11" ht="42" customHeight="1">
      <c r="A91" s="4" t="s">
        <v>267</v>
      </c>
      <c r="B91" s="5" t="s">
        <v>268</v>
      </c>
      <c r="C91" s="5" t="s">
        <v>55</v>
      </c>
      <c r="D91" s="5" t="s">
        <v>56</v>
      </c>
      <c r="E91" s="5" t="s">
        <v>31</v>
      </c>
      <c r="F91" s="9">
        <v>27</v>
      </c>
      <c r="G91" s="9">
        <v>319</v>
      </c>
      <c r="H91" s="5" t="s">
        <v>21</v>
      </c>
      <c r="I91" s="5" t="s">
        <v>269</v>
      </c>
      <c r="J91" s="12" t="str">
        <f>HYPERLINK("https://www.boe.es/gazeta/dias/1802/04/02/pdfs/GMD-1802-27.pdf#page=15","Abrir facsímil")</f>
        <v>Abrir facsímil</v>
      </c>
      <c r="K91" s="15" t="s">
        <v>23</v>
      </c>
    </row>
    <row r="92" spans="1:11" ht="42" customHeight="1">
      <c r="A92" s="4" t="s">
        <v>270</v>
      </c>
      <c r="B92" s="5" t="s">
        <v>271</v>
      </c>
      <c r="C92" s="5" t="s">
        <v>42</v>
      </c>
      <c r="D92" s="5" t="s">
        <v>43</v>
      </c>
      <c r="E92" s="5" t="s">
        <v>44</v>
      </c>
      <c r="F92" s="9">
        <v>99</v>
      </c>
      <c r="G92" s="9" t="s">
        <v>272</v>
      </c>
      <c r="H92" s="5" t="s">
        <v>21</v>
      </c>
      <c r="I92" s="5" t="s">
        <v>273</v>
      </c>
      <c r="J92" s="12" t="str">
        <f>HYPERLINK("https://www.boe.es/gazeta/dias/1802/12/07/pdfs/GMD-D-1802-99.pdf#page=3","Abrir facsímil")</f>
        <v>Abrir facsímil</v>
      </c>
      <c r="K92" s="15" t="s">
        <v>23</v>
      </c>
    </row>
    <row r="93" spans="1:11" ht="42" customHeight="1">
      <c r="A93" s="4" t="s">
        <v>274</v>
      </c>
      <c r="B93" s="5" t="s">
        <v>275</v>
      </c>
      <c r="C93" s="5" t="s">
        <v>29</v>
      </c>
      <c r="D93" s="5" t="s">
        <v>30</v>
      </c>
      <c r="E93" s="5" t="s">
        <v>276</v>
      </c>
      <c r="F93" s="9">
        <v>75</v>
      </c>
      <c r="G93" s="9">
        <v>928</v>
      </c>
      <c r="H93" s="5" t="s">
        <v>21</v>
      </c>
      <c r="I93" s="5" t="s">
        <v>277</v>
      </c>
      <c r="J93" s="12" t="str">
        <f>HYPERLINK("https://www.boe.es/gazeta/dias/1802/09/14/pdfs/GMD-1802-75.pdf#page=12","Abrir facsímil")</f>
        <v>Abrir facsímil</v>
      </c>
      <c r="K93" s="15" t="s">
        <v>23</v>
      </c>
    </row>
    <row r="94" spans="1:11" ht="42" customHeight="1">
      <c r="A94" s="4" t="s">
        <v>278</v>
      </c>
      <c r="B94" s="5" t="s">
        <v>279</v>
      </c>
      <c r="C94" s="5" t="s">
        <v>160</v>
      </c>
      <c r="D94" s="5" t="s">
        <v>91</v>
      </c>
      <c r="E94" s="5" t="s">
        <v>20</v>
      </c>
      <c r="F94" s="9">
        <v>84</v>
      </c>
      <c r="G94" s="9">
        <v>1040</v>
      </c>
      <c r="H94" s="5" t="s">
        <v>21</v>
      </c>
      <c r="I94" s="5" t="s">
        <v>280</v>
      </c>
      <c r="J94" s="12" t="str">
        <f>HYPERLINK("https://www.boe.es/gazeta/dias/1802/10/15/pdfs/GMD-1802-84.pdf#page=8","Abrir facsímil")</f>
        <v>Abrir facsímil</v>
      </c>
      <c r="K94" s="15" t="s">
        <v>23</v>
      </c>
    </row>
    <row r="95" spans="1:11" ht="42" customHeight="1">
      <c r="A95" s="4" t="s">
        <v>281</v>
      </c>
      <c r="B95" s="5" t="s">
        <v>282</v>
      </c>
      <c r="C95" s="5" t="s">
        <v>160</v>
      </c>
      <c r="D95" s="5" t="s">
        <v>91</v>
      </c>
      <c r="E95" s="5" t="s">
        <v>152</v>
      </c>
      <c r="F95" s="9">
        <v>25</v>
      </c>
      <c r="G95" s="9">
        <v>288</v>
      </c>
      <c r="H95" s="5" t="s">
        <v>21</v>
      </c>
      <c r="I95" s="5" t="s">
        <v>283</v>
      </c>
      <c r="J95" s="12" t="str">
        <f>HYPERLINK("https://www.boe.es/gazeta/dias/1802/03/26/pdfs/GMD-1802-25.pdf#page=12","Abrir facsímil")</f>
        <v>Abrir facsímil</v>
      </c>
      <c r="K95" s="15" t="s">
        <v>23</v>
      </c>
    </row>
    <row r="96" spans="1:11" ht="42" customHeight="1">
      <c r="A96" s="4" t="s">
        <v>284</v>
      </c>
      <c r="B96" s="5" t="s">
        <v>285</v>
      </c>
      <c r="C96" s="5" t="s">
        <v>29</v>
      </c>
      <c r="D96" s="5" t="s">
        <v>30</v>
      </c>
      <c r="E96" s="5" t="s">
        <v>128</v>
      </c>
      <c r="F96" s="9">
        <v>9</v>
      </c>
      <c r="G96" s="9">
        <v>90</v>
      </c>
      <c r="H96" s="5" t="s">
        <v>21</v>
      </c>
      <c r="I96" s="5" t="s">
        <v>286</v>
      </c>
      <c r="J96" s="12" t="str">
        <f>HYPERLINK("https://www.boe.es/gazeta/dias/1802/01/29/pdfs/GMD-1802-9.pdf#page=10","Abrir facsímil")</f>
        <v>Abrir facsímil</v>
      </c>
      <c r="K96" s="15" t="s">
        <v>23</v>
      </c>
    </row>
    <row r="97" spans="1:11" ht="42" customHeight="1">
      <c r="A97" s="4" t="s">
        <v>287</v>
      </c>
      <c r="B97" s="5" t="s">
        <v>288</v>
      </c>
      <c r="C97" s="5" t="s">
        <v>18</v>
      </c>
      <c r="D97" s="5" t="s">
        <v>19</v>
      </c>
      <c r="E97" s="5" t="s">
        <v>49</v>
      </c>
      <c r="F97" s="9">
        <v>83</v>
      </c>
      <c r="G97" s="9">
        <v>1025</v>
      </c>
      <c r="H97" s="5" t="s">
        <v>21</v>
      </c>
      <c r="I97" s="5" t="s">
        <v>289</v>
      </c>
      <c r="J97" s="12" t="str">
        <f>HYPERLINK("https://www.boe.es/gazeta/dias/1802/10/12/pdfs/GMD-1802-83.pdf#page=13","Abrir facsímil")</f>
        <v>Abrir facsímil</v>
      </c>
      <c r="K97" s="15" t="s">
        <v>23</v>
      </c>
    </row>
    <row r="98" spans="1:11" ht="42" customHeight="1">
      <c r="A98" s="4" t="s">
        <v>290</v>
      </c>
      <c r="B98" s="5" t="s">
        <v>291</v>
      </c>
      <c r="C98" s="5" t="s">
        <v>18</v>
      </c>
      <c r="D98" s="5" t="s">
        <v>19</v>
      </c>
      <c r="E98" s="5" t="s">
        <v>292</v>
      </c>
      <c r="F98" s="9">
        <v>62</v>
      </c>
      <c r="G98" s="9">
        <v>755</v>
      </c>
      <c r="H98" s="5" t="s">
        <v>21</v>
      </c>
      <c r="I98" s="5" t="s">
        <v>293</v>
      </c>
      <c r="J98" s="12" t="str">
        <f>HYPERLINK("https://www.boe.es/gazeta/dias/1802/07/30/pdfs/GMD-1802-62.pdf#page=11","Abrir facsímil")</f>
        <v>Abrir facsímil</v>
      </c>
      <c r="K98" s="15" t="s">
        <v>23</v>
      </c>
    </row>
    <row r="99" spans="1:11" ht="42" customHeight="1">
      <c r="A99" s="4" t="s">
        <v>294</v>
      </c>
      <c r="B99" s="5" t="s">
        <v>294</v>
      </c>
      <c r="C99" s="5" t="s">
        <v>42</v>
      </c>
      <c r="D99" s="5" t="s">
        <v>43</v>
      </c>
      <c r="E99" s="5" t="s">
        <v>44</v>
      </c>
      <c r="F99" s="9">
        <v>99</v>
      </c>
      <c r="G99" s="9" t="s">
        <v>295</v>
      </c>
      <c r="H99" s="5" t="s">
        <v>21</v>
      </c>
      <c r="I99" s="5" t="s">
        <v>296</v>
      </c>
      <c r="J99" s="12" t="str">
        <f>HYPERLINK("https://www.boe.es/gazeta/dias/1802/12/07/pdfs/GMD-D-1802-99.pdf#page=7","Abrir facsímil")</f>
        <v>Abrir facsímil</v>
      </c>
      <c r="K99" s="15" t="s">
        <v>23</v>
      </c>
    </row>
    <row r="100" spans="1:11" ht="42" customHeight="1">
      <c r="A100" s="4" t="s">
        <v>297</v>
      </c>
      <c r="B100" s="5" t="s">
        <v>298</v>
      </c>
      <c r="C100" s="5" t="s">
        <v>29</v>
      </c>
      <c r="D100" s="5" t="s">
        <v>30</v>
      </c>
      <c r="E100" s="5" t="s">
        <v>299</v>
      </c>
      <c r="F100" s="9">
        <v>19</v>
      </c>
      <c r="G100" s="9">
        <v>211</v>
      </c>
      <c r="H100" s="5" t="s">
        <v>21</v>
      </c>
      <c r="I100" s="5" t="s">
        <v>300</v>
      </c>
      <c r="J100" s="12" t="str">
        <f>HYPERLINK("https://www.boe.es/gazeta/dias/1802/03/05/pdfs/GMD-1802-19.pdf#page=11","Abrir facsímil")</f>
        <v>Abrir facsímil</v>
      </c>
      <c r="K100" s="15" t="s">
        <v>23</v>
      </c>
    </row>
    <row r="101" spans="1:11" ht="42" customHeight="1">
      <c r="A101" s="4" t="s">
        <v>301</v>
      </c>
      <c r="B101" s="5" t="s">
        <v>301</v>
      </c>
      <c r="C101" s="5" t="s">
        <v>29</v>
      </c>
      <c r="D101" s="5" t="s">
        <v>30</v>
      </c>
      <c r="E101" s="5" t="s">
        <v>49</v>
      </c>
      <c r="F101" s="9">
        <v>83</v>
      </c>
      <c r="G101" s="9">
        <v>1023</v>
      </c>
      <c r="H101" s="5" t="s">
        <v>21</v>
      </c>
      <c r="I101" s="5" t="s">
        <v>302</v>
      </c>
      <c r="J101" s="12" t="str">
        <f>HYPERLINK("https://www.boe.es/gazeta/dias/1802/10/12/pdfs/GMD-1802-83.pdf#page=11","Abrir facsímil")</f>
        <v>Abrir facsímil</v>
      </c>
      <c r="K101" s="15" t="s">
        <v>23</v>
      </c>
    </row>
    <row r="102" spans="1:11" ht="42" customHeight="1">
      <c r="A102" s="4" t="s">
        <v>303</v>
      </c>
      <c r="B102" s="5" t="s">
        <v>304</v>
      </c>
      <c r="C102" s="5" t="s">
        <v>18</v>
      </c>
      <c r="D102" s="5" t="s">
        <v>19</v>
      </c>
      <c r="E102" s="5" t="s">
        <v>146</v>
      </c>
      <c r="F102" s="9">
        <v>42</v>
      </c>
      <c r="G102" s="9">
        <v>507</v>
      </c>
      <c r="H102" s="5" t="s">
        <v>21</v>
      </c>
      <c r="I102" s="5" t="s">
        <v>305</v>
      </c>
      <c r="J102" s="12" t="str">
        <f>HYPERLINK("https://www.boe.es/gazeta/dias/1802/05/25/pdfs/GMD-1802-42.pdf#page=11","Abrir facsímil")</f>
        <v>Abrir facsímil</v>
      </c>
      <c r="K102" s="15" t="s">
        <v>23</v>
      </c>
    </row>
    <row r="103" spans="1:11" ht="42" customHeight="1">
      <c r="A103" s="4" t="s">
        <v>306</v>
      </c>
      <c r="B103" s="5" t="s">
        <v>306</v>
      </c>
      <c r="C103" s="5" t="s">
        <v>29</v>
      </c>
      <c r="D103" s="5" t="s">
        <v>30</v>
      </c>
      <c r="E103" s="5" t="s">
        <v>114</v>
      </c>
      <c r="F103" s="9">
        <v>82</v>
      </c>
      <c r="G103" s="9">
        <v>1011</v>
      </c>
      <c r="H103" s="5" t="s">
        <v>21</v>
      </c>
      <c r="I103" s="5" t="s">
        <v>307</v>
      </c>
      <c r="J103" s="12" t="str">
        <f>HYPERLINK("https://www.boe.es/gazeta/dias/1802/10/08/pdfs/GMD-1802-82.pdf#page=11","Abrir facsímil")</f>
        <v>Abrir facsímil</v>
      </c>
      <c r="K103" s="15" t="s">
        <v>23</v>
      </c>
    </row>
    <row r="104" spans="1:11" ht="42" customHeight="1">
      <c r="A104" s="4" t="s">
        <v>308</v>
      </c>
      <c r="B104" s="5" t="s">
        <v>308</v>
      </c>
      <c r="C104" s="5" t="s">
        <v>29</v>
      </c>
      <c r="D104" s="5" t="s">
        <v>30</v>
      </c>
      <c r="E104" s="5" t="s">
        <v>131</v>
      </c>
      <c r="F104" s="9">
        <v>11</v>
      </c>
      <c r="G104" s="9">
        <v>114</v>
      </c>
      <c r="H104" s="5" t="s">
        <v>21</v>
      </c>
      <c r="I104" s="5" t="s">
        <v>309</v>
      </c>
      <c r="J104" s="12" t="str">
        <f>HYPERLINK("https://www.boe.es/gazeta/dias/1802/02/05/pdfs/GMD-1802-11.pdf#page=10","Abrir facsímil")</f>
        <v>Abrir facsímil</v>
      </c>
      <c r="K104" s="15" t="s">
        <v>23</v>
      </c>
    </row>
    <row r="105" spans="1:11" ht="42" customHeight="1">
      <c r="A105" s="4" t="s">
        <v>310</v>
      </c>
      <c r="B105" s="5" t="s">
        <v>310</v>
      </c>
      <c r="C105" s="5" t="s">
        <v>35</v>
      </c>
      <c r="D105" s="5" t="s">
        <v>36</v>
      </c>
      <c r="E105" s="5" t="s">
        <v>311</v>
      </c>
      <c r="F105" s="9">
        <v>88</v>
      </c>
      <c r="G105" s="9">
        <v>1088</v>
      </c>
      <c r="H105" s="5" t="s">
        <v>21</v>
      </c>
      <c r="I105" s="5" t="s">
        <v>312</v>
      </c>
      <c r="J105" s="12" t="str">
        <f>HYPERLINK("https://www.boe.es/gazeta/dias/1802/10/29/pdfs/GMD-1802-88.pdf#page=4","Abrir facsímil")</f>
        <v>Abrir facsímil</v>
      </c>
      <c r="K105" s="15" t="s">
        <v>23</v>
      </c>
    </row>
    <row r="106" spans="1:11" ht="42" customHeight="1">
      <c r="A106" s="4" t="s">
        <v>313</v>
      </c>
      <c r="B106" s="5" t="s">
        <v>313</v>
      </c>
      <c r="C106" s="5" t="s">
        <v>42</v>
      </c>
      <c r="D106" s="5" t="s">
        <v>43</v>
      </c>
      <c r="E106" s="5" t="s">
        <v>44</v>
      </c>
      <c r="F106" s="9">
        <v>99</v>
      </c>
      <c r="G106" s="9" t="s">
        <v>314</v>
      </c>
      <c r="H106" s="5" t="s">
        <v>21</v>
      </c>
      <c r="I106" s="5" t="s">
        <v>315</v>
      </c>
      <c r="J106" s="12" t="str">
        <f>HYPERLINK("https://www.boe.es/gazeta/dias/1802/12/07/pdfs/GMD-D-1802-99.pdf#page=2","Abrir facsímil")</f>
        <v>Abrir facsímil</v>
      </c>
      <c r="K106" s="15" t="s">
        <v>23</v>
      </c>
    </row>
    <row r="107" spans="1:11" ht="42" customHeight="1">
      <c r="A107" s="4" t="s">
        <v>316</v>
      </c>
      <c r="B107" s="5" t="s">
        <v>316</v>
      </c>
      <c r="C107" s="5" t="s">
        <v>18</v>
      </c>
      <c r="D107" s="5" t="s">
        <v>19</v>
      </c>
      <c r="E107" s="5" t="s">
        <v>20</v>
      </c>
      <c r="F107" s="9">
        <v>84</v>
      </c>
      <c r="G107" s="9">
        <v>1041</v>
      </c>
      <c r="H107" s="5" t="s">
        <v>21</v>
      </c>
      <c r="I107" s="5" t="s">
        <v>317</v>
      </c>
      <c r="J107" s="12" t="str">
        <f>HYPERLINK("https://www.boe.es/gazeta/dias/1802/10/15/pdfs/GMD-1802-84.pdf#page=9","Abrir facsímil")</f>
        <v>Abrir facsímil</v>
      </c>
      <c r="K107" s="15" t="s">
        <v>23</v>
      </c>
    </row>
    <row r="108" spans="1:11" ht="42" customHeight="1">
      <c r="A108" s="4" t="s">
        <v>318</v>
      </c>
      <c r="B108" s="5" t="s">
        <v>318</v>
      </c>
      <c r="C108" s="5" t="s">
        <v>18</v>
      </c>
      <c r="D108" s="5" t="s">
        <v>19</v>
      </c>
      <c r="E108" s="5" t="s">
        <v>20</v>
      </c>
      <c r="F108" s="9">
        <v>84</v>
      </c>
      <c r="G108" s="9">
        <v>1045</v>
      </c>
      <c r="H108" s="5" t="s">
        <v>21</v>
      </c>
      <c r="I108" s="5" t="s">
        <v>319</v>
      </c>
      <c r="J108" s="12" t="str">
        <f>HYPERLINK("https://www.boe.es/gazeta/dias/1802/10/15/pdfs/GMD-1802-84.pdf#page=13","Abrir facsímil")</f>
        <v>Abrir facsímil</v>
      </c>
      <c r="K108" s="15" t="s">
        <v>23</v>
      </c>
    </row>
    <row r="109" spans="1:11" ht="42" customHeight="1">
      <c r="A109" s="4" t="s">
        <v>320</v>
      </c>
      <c r="B109" s="5" t="s">
        <v>321</v>
      </c>
      <c r="C109" s="5" t="s">
        <v>42</v>
      </c>
      <c r="D109" s="5" t="s">
        <v>43</v>
      </c>
      <c r="E109" s="5" t="s">
        <v>44</v>
      </c>
      <c r="F109" s="9">
        <v>99</v>
      </c>
      <c r="G109" s="9" t="s">
        <v>322</v>
      </c>
      <c r="H109" s="5" t="s">
        <v>21</v>
      </c>
      <c r="I109" s="5" t="s">
        <v>323</v>
      </c>
      <c r="J109" s="12" t="str">
        <f>HYPERLINK("https://www.boe.es/gazeta/dias/1802/12/07/pdfs/GMD-D-1802-99.pdf#page=10","Abrir facsímil")</f>
        <v>Abrir facsímil</v>
      </c>
      <c r="K109" s="15" t="s">
        <v>23</v>
      </c>
    </row>
    <row r="110" spans="1:11" ht="42" customHeight="1">
      <c r="A110" s="4" t="s">
        <v>324</v>
      </c>
      <c r="B110" s="5" t="s">
        <v>324</v>
      </c>
      <c r="C110" s="5" t="s">
        <v>18</v>
      </c>
      <c r="D110" s="5" t="s">
        <v>19</v>
      </c>
      <c r="E110" s="5" t="s">
        <v>325</v>
      </c>
      <c r="F110" s="9">
        <v>90</v>
      </c>
      <c r="G110" s="9">
        <v>1117</v>
      </c>
      <c r="H110" s="5" t="s">
        <v>21</v>
      </c>
      <c r="I110" s="5" t="s">
        <v>326</v>
      </c>
      <c r="J110" s="12" t="str">
        <f>HYPERLINK("https://www.boe.es/gazeta/dias/1802/11/05/pdfs/GMD-1802-90.pdf#page=9","Abrir facsímil")</f>
        <v>Abrir facsímil</v>
      </c>
      <c r="K110" s="15" t="s">
        <v>23</v>
      </c>
    </row>
    <row r="111" spans="1:11" ht="42" customHeight="1">
      <c r="A111" s="4" t="s">
        <v>327</v>
      </c>
      <c r="B111" s="5" t="s">
        <v>327</v>
      </c>
      <c r="C111" s="5" t="s">
        <v>29</v>
      </c>
      <c r="D111" s="5" t="s">
        <v>30</v>
      </c>
      <c r="E111" s="5" t="s">
        <v>328</v>
      </c>
      <c r="F111" s="9">
        <v>45</v>
      </c>
      <c r="G111" s="9">
        <v>545</v>
      </c>
      <c r="H111" s="5" t="s">
        <v>21</v>
      </c>
      <c r="I111" s="5" t="s">
        <v>329</v>
      </c>
      <c r="J111" s="12" t="str">
        <f>HYPERLINK("https://www.boe.es/gazeta/dias/1802/06/04/pdfs/GMD-1802-45.pdf#page=9","Abrir facsímil")</f>
        <v>Abrir facsímil</v>
      </c>
      <c r="K111" s="15" t="s">
        <v>23</v>
      </c>
    </row>
    <row r="112" spans="1:11" ht="42" customHeight="1">
      <c r="A112" s="4" t="s">
        <v>330</v>
      </c>
      <c r="B112" s="5" t="s">
        <v>331</v>
      </c>
      <c r="C112" s="5" t="s">
        <v>160</v>
      </c>
      <c r="D112" s="5" t="s">
        <v>91</v>
      </c>
      <c r="E112" s="5" t="s">
        <v>332</v>
      </c>
      <c r="F112" s="9">
        <v>24</v>
      </c>
      <c r="G112" s="9">
        <v>274</v>
      </c>
      <c r="H112" s="5" t="s">
        <v>21</v>
      </c>
      <c r="I112" s="5" t="s">
        <v>333</v>
      </c>
      <c r="J112" s="12" t="str">
        <f>HYPERLINK("https://www.boe.es/gazeta/dias/1802/03/23/pdfs/GMD-1802-24.pdf#page=10","Abrir facsímil")</f>
        <v>Abrir facsímil</v>
      </c>
      <c r="K112" s="15" t="s">
        <v>23</v>
      </c>
    </row>
    <row r="113" spans="1:11" ht="42" customHeight="1">
      <c r="A113" s="4" t="s">
        <v>334</v>
      </c>
      <c r="B113" s="5" t="s">
        <v>335</v>
      </c>
      <c r="C113" s="5" t="s">
        <v>18</v>
      </c>
      <c r="D113" s="5" t="s">
        <v>19</v>
      </c>
      <c r="E113" s="5" t="s">
        <v>49</v>
      </c>
      <c r="F113" s="9">
        <v>83</v>
      </c>
      <c r="G113" s="9">
        <v>1023</v>
      </c>
      <c r="H113" s="5" t="s">
        <v>21</v>
      </c>
      <c r="I113" s="5" t="s">
        <v>336</v>
      </c>
      <c r="J113" s="12" t="str">
        <f>HYPERLINK("https://www.boe.es/gazeta/dias/1802/10/12/pdfs/GMD-1802-83.pdf#page=11","Abrir facsímil")</f>
        <v>Abrir facsímil</v>
      </c>
      <c r="K113" s="15" t="s">
        <v>23</v>
      </c>
    </row>
    <row r="114" spans="1:11" ht="42" customHeight="1">
      <c r="A114" s="4" t="s">
        <v>337</v>
      </c>
      <c r="B114" s="5" t="s">
        <v>338</v>
      </c>
      <c r="C114" s="5" t="s">
        <v>160</v>
      </c>
      <c r="D114" s="5" t="s">
        <v>91</v>
      </c>
      <c r="E114" s="5" t="s">
        <v>339</v>
      </c>
      <c r="F114" s="9">
        <v>39</v>
      </c>
      <c r="G114" s="9">
        <v>467</v>
      </c>
      <c r="H114" s="5" t="s">
        <v>21</v>
      </c>
      <c r="I114" s="5" t="s">
        <v>340</v>
      </c>
      <c r="J114" s="12" t="str">
        <f>HYPERLINK("https://www.boe.es/gazeta/dias/1802/05/14/pdfs/GMD-1802-39.pdf#page=11","Abrir facsímil")</f>
        <v>Abrir facsímil</v>
      </c>
      <c r="K114" s="15" t="s">
        <v>23</v>
      </c>
    </row>
    <row r="115" spans="1:11" ht="42" customHeight="1">
      <c r="A115" s="4" t="s">
        <v>341</v>
      </c>
      <c r="B115" s="5" t="s">
        <v>342</v>
      </c>
      <c r="C115" s="5" t="s">
        <v>29</v>
      </c>
      <c r="D115" s="5" t="s">
        <v>30</v>
      </c>
      <c r="E115" s="5" t="s">
        <v>192</v>
      </c>
      <c r="F115" s="9">
        <v>53</v>
      </c>
      <c r="G115" s="9">
        <v>643</v>
      </c>
      <c r="H115" s="5" t="s">
        <v>21</v>
      </c>
      <c r="I115" s="5" t="s">
        <v>343</v>
      </c>
      <c r="J115" s="12" t="str">
        <f>HYPERLINK("https://www.boe.es/gazeta/dias/1802/07/02/pdfs/GMD-1802-53.pdf#page=11","Abrir facsímil")</f>
        <v>Abrir facsímil</v>
      </c>
      <c r="K115" s="15" t="s">
        <v>23</v>
      </c>
    </row>
    <row r="116" spans="1:11" ht="42" customHeight="1">
      <c r="A116" s="4" t="s">
        <v>344</v>
      </c>
      <c r="B116" s="5" t="s">
        <v>345</v>
      </c>
      <c r="C116" s="5" t="s">
        <v>29</v>
      </c>
      <c r="D116" s="5" t="s">
        <v>30</v>
      </c>
      <c r="E116" s="5" t="s">
        <v>192</v>
      </c>
      <c r="F116" s="9">
        <v>53</v>
      </c>
      <c r="G116" s="9">
        <v>643</v>
      </c>
      <c r="H116" s="5" t="s">
        <v>21</v>
      </c>
      <c r="I116" s="5" t="s">
        <v>346</v>
      </c>
      <c r="J116" s="12" t="str">
        <f>HYPERLINK("https://www.boe.es/gazeta/dias/1802/07/02/pdfs/GMD-1802-53.pdf#page=11","Abrir facsímil")</f>
        <v>Abrir facsímil</v>
      </c>
      <c r="K116" s="15" t="s">
        <v>23</v>
      </c>
    </row>
    <row r="117" spans="1:11" ht="42" customHeight="1">
      <c r="A117" s="4" t="s">
        <v>347</v>
      </c>
      <c r="B117" s="5" t="s">
        <v>348</v>
      </c>
      <c r="C117" s="5" t="s">
        <v>29</v>
      </c>
      <c r="D117" s="5" t="s">
        <v>30</v>
      </c>
      <c r="E117" s="5" t="s">
        <v>86</v>
      </c>
      <c r="F117" s="9">
        <v>26</v>
      </c>
      <c r="G117" s="9">
        <v>298</v>
      </c>
      <c r="H117" s="5" t="s">
        <v>21</v>
      </c>
      <c r="I117" s="5" t="s">
        <v>349</v>
      </c>
      <c r="J117" s="12" t="str">
        <f>HYPERLINK("https://www.boe.es/gazeta/dias/1802/03/30/pdfs/GMD-1802-26.pdf#page=10","Abrir facsímil")</f>
        <v>Abrir facsímil</v>
      </c>
      <c r="K117" s="15" t="s">
        <v>23</v>
      </c>
    </row>
    <row r="118" spans="1:11" ht="42" customHeight="1">
      <c r="A118" s="4" t="s">
        <v>350</v>
      </c>
      <c r="B118" s="5" t="s">
        <v>351</v>
      </c>
      <c r="C118" s="5" t="s">
        <v>29</v>
      </c>
      <c r="D118" s="5" t="s">
        <v>30</v>
      </c>
      <c r="E118" s="5" t="s">
        <v>299</v>
      </c>
      <c r="F118" s="9">
        <v>19</v>
      </c>
      <c r="G118" s="9">
        <v>209</v>
      </c>
      <c r="H118" s="5" t="s">
        <v>21</v>
      </c>
      <c r="I118" s="5" t="s">
        <v>352</v>
      </c>
      <c r="J118" s="12" t="str">
        <f>HYPERLINK("https://www.boe.es/gazeta/dias/1802/03/05/pdfs/GMD-1802-19.pdf#page=9","Abrir facsímil")</f>
        <v>Abrir facsímil</v>
      </c>
      <c r="K118" s="15" t="s">
        <v>23</v>
      </c>
    </row>
    <row r="119" spans="1:11" ht="42" customHeight="1">
      <c r="A119" s="4" t="s">
        <v>353</v>
      </c>
      <c r="B119" s="5" t="s">
        <v>354</v>
      </c>
      <c r="C119" s="5" t="s">
        <v>35</v>
      </c>
      <c r="D119" s="5" t="s">
        <v>36</v>
      </c>
      <c r="E119" s="5" t="s">
        <v>148</v>
      </c>
      <c r="F119" s="9">
        <v>66</v>
      </c>
      <c r="G119" s="9">
        <v>808</v>
      </c>
      <c r="H119" s="5" t="s">
        <v>21</v>
      </c>
      <c r="I119" s="5" t="s">
        <v>355</v>
      </c>
      <c r="J119" s="12" t="str">
        <f>HYPERLINK("https://www.boe.es/gazeta/dias/1802/08/13/pdfs/GMD-1802-66.pdf#page=12","Abrir facsímil")</f>
        <v>Abrir facsímil</v>
      </c>
      <c r="K119" s="15" t="s">
        <v>23</v>
      </c>
    </row>
    <row r="120" spans="1:11" ht="42" customHeight="1">
      <c r="A120" s="4" t="s">
        <v>356</v>
      </c>
      <c r="B120" s="5" t="s">
        <v>357</v>
      </c>
      <c r="C120" s="5" t="s">
        <v>90</v>
      </c>
      <c r="D120" s="5" t="s">
        <v>91</v>
      </c>
      <c r="E120" s="5" t="s">
        <v>86</v>
      </c>
      <c r="F120" s="9">
        <v>26</v>
      </c>
      <c r="G120" s="9">
        <v>297</v>
      </c>
      <c r="H120" s="5" t="s">
        <v>21</v>
      </c>
      <c r="I120" s="5" t="s">
        <v>358</v>
      </c>
      <c r="J120" s="12" t="str">
        <f>HYPERLINK("https://www.boe.es/gazeta/dias/1802/03/30/pdfs/GMD-1802-26.pdf#page=9","Abrir facsímil")</f>
        <v>Abrir facsímil</v>
      </c>
      <c r="K120" s="15" t="s">
        <v>23</v>
      </c>
    </row>
    <row r="121" spans="1:11" ht="42" customHeight="1">
      <c r="A121" s="4" t="s">
        <v>359</v>
      </c>
      <c r="B121" s="5" t="s">
        <v>360</v>
      </c>
      <c r="C121" s="5" t="s">
        <v>29</v>
      </c>
      <c r="D121" s="5" t="s">
        <v>30</v>
      </c>
      <c r="E121" s="5" t="s">
        <v>299</v>
      </c>
      <c r="F121" s="9">
        <v>19</v>
      </c>
      <c r="G121" s="9">
        <v>209</v>
      </c>
      <c r="H121" s="5" t="s">
        <v>21</v>
      </c>
      <c r="I121" s="5" t="s">
        <v>361</v>
      </c>
      <c r="J121" s="12" t="str">
        <f>HYPERLINK("https://www.boe.es/gazeta/dias/1802/03/05/pdfs/GMD-1802-19.pdf#page=9","Abrir facsímil")</f>
        <v>Abrir facsímil</v>
      </c>
      <c r="K121" s="15" t="s">
        <v>23</v>
      </c>
    </row>
    <row r="122" spans="1:11" ht="42" customHeight="1">
      <c r="A122" s="4" t="s">
        <v>362</v>
      </c>
      <c r="B122" s="5" t="s">
        <v>363</v>
      </c>
      <c r="C122" s="5" t="s">
        <v>35</v>
      </c>
      <c r="D122" s="5" t="s">
        <v>36</v>
      </c>
      <c r="E122" s="5" t="s">
        <v>247</v>
      </c>
      <c r="F122" s="9">
        <v>14</v>
      </c>
      <c r="G122" s="9">
        <v>137</v>
      </c>
      <c r="H122" s="5" t="s">
        <v>21</v>
      </c>
      <c r="I122" s="5" t="s">
        <v>364</v>
      </c>
      <c r="J122" s="12" t="str">
        <f>HYPERLINK("https://www.boe.es/gazeta/dias/1802/02/16/pdfs/GMD-1802-14.pdf#page=1","Abrir facsímil")</f>
        <v>Abrir facsímil</v>
      </c>
      <c r="K122" s="15" t="s">
        <v>23</v>
      </c>
    </row>
    <row r="123" spans="1:11" ht="42" customHeight="1">
      <c r="A123" s="4" t="s">
        <v>365</v>
      </c>
      <c r="B123" s="5" t="s">
        <v>366</v>
      </c>
      <c r="C123" s="5" t="s">
        <v>18</v>
      </c>
      <c r="D123" s="5" t="s">
        <v>19</v>
      </c>
      <c r="E123" s="5" t="s">
        <v>49</v>
      </c>
      <c r="F123" s="9">
        <v>83</v>
      </c>
      <c r="G123" s="9">
        <v>1025</v>
      </c>
      <c r="H123" s="5" t="s">
        <v>21</v>
      </c>
      <c r="I123" s="5" t="s">
        <v>367</v>
      </c>
      <c r="J123" s="12" t="str">
        <f>HYPERLINK("https://www.boe.es/gazeta/dias/1802/10/12/pdfs/GMD-1802-83.pdf#page=13","Abrir facsímil")</f>
        <v>Abrir facsímil</v>
      </c>
      <c r="K123" s="15" t="s">
        <v>23</v>
      </c>
    </row>
    <row r="124" spans="1:11" ht="42" customHeight="1">
      <c r="A124" s="4" t="s">
        <v>368</v>
      </c>
      <c r="B124" s="5" t="s">
        <v>369</v>
      </c>
      <c r="C124" s="5" t="s">
        <v>29</v>
      </c>
      <c r="D124" s="5" t="s">
        <v>30</v>
      </c>
      <c r="E124" s="5" t="s">
        <v>152</v>
      </c>
      <c r="F124" s="9">
        <v>25</v>
      </c>
      <c r="G124" s="9">
        <v>278</v>
      </c>
      <c r="H124" s="5" t="s">
        <v>21</v>
      </c>
      <c r="I124" s="5" t="s">
        <v>370</v>
      </c>
      <c r="J124" s="12" t="str">
        <f>HYPERLINK("https://www.boe.es/gazeta/dias/1802/03/26/pdfs/GMD-1802-25.pdf#page=2","Abrir facsímil")</f>
        <v>Abrir facsímil</v>
      </c>
      <c r="K124" s="15" t="s">
        <v>23</v>
      </c>
    </row>
    <row r="125" spans="1:11" ht="42" customHeight="1">
      <c r="A125" s="4" t="s">
        <v>371</v>
      </c>
      <c r="B125" s="5" t="s">
        <v>371</v>
      </c>
      <c r="C125" s="5" t="s">
        <v>29</v>
      </c>
      <c r="D125" s="5" t="s">
        <v>30</v>
      </c>
      <c r="E125" s="5" t="s">
        <v>31</v>
      </c>
      <c r="F125" s="9">
        <v>27</v>
      </c>
      <c r="G125" s="9">
        <v>318</v>
      </c>
      <c r="H125" s="5" t="s">
        <v>21</v>
      </c>
      <c r="I125" s="5" t="s">
        <v>372</v>
      </c>
      <c r="J125" s="12" t="str">
        <f>HYPERLINK("https://www.boe.es/gazeta/dias/1802/04/02/pdfs/GMD-1802-27.pdf#page=14","Abrir facsímil")</f>
        <v>Abrir facsímil</v>
      </c>
      <c r="K125" s="15" t="s">
        <v>23</v>
      </c>
    </row>
    <row r="126" spans="1:11" ht="42" customHeight="1">
      <c r="A126" s="4" t="s">
        <v>373</v>
      </c>
      <c r="B126" s="5" t="s">
        <v>374</v>
      </c>
      <c r="C126" s="5" t="s">
        <v>18</v>
      </c>
      <c r="D126" s="5" t="s">
        <v>19</v>
      </c>
      <c r="E126" s="5" t="s">
        <v>181</v>
      </c>
      <c r="F126" s="9">
        <v>55</v>
      </c>
      <c r="G126" s="9">
        <v>668</v>
      </c>
      <c r="H126" s="5" t="s">
        <v>21</v>
      </c>
      <c r="I126" s="5" t="s">
        <v>375</v>
      </c>
      <c r="J126" s="12" t="str">
        <f>HYPERLINK("https://www.boe.es/gazeta/dias/1802/07/09/pdfs/GMD-1802-55.pdf#page=12","Abrir facsímil")</f>
        <v>Abrir facsímil</v>
      </c>
      <c r="K126" s="15" t="s">
        <v>23</v>
      </c>
    </row>
    <row r="127" spans="1:11" ht="42" customHeight="1">
      <c r="A127" s="4" t="s">
        <v>376</v>
      </c>
      <c r="B127" s="5" t="s">
        <v>377</v>
      </c>
      <c r="C127" s="5" t="s">
        <v>18</v>
      </c>
      <c r="D127" s="5" t="s">
        <v>19</v>
      </c>
      <c r="E127" s="5" t="s">
        <v>20</v>
      </c>
      <c r="F127" s="9">
        <v>84</v>
      </c>
      <c r="G127" s="9">
        <v>1040</v>
      </c>
      <c r="H127" s="5" t="s">
        <v>21</v>
      </c>
      <c r="I127" s="5" t="s">
        <v>378</v>
      </c>
      <c r="J127" s="12" t="str">
        <f>HYPERLINK("https://www.boe.es/gazeta/dias/1802/10/15/pdfs/GMD-1802-84.pdf#page=8","Abrir facsímil")</f>
        <v>Abrir facsímil</v>
      </c>
      <c r="K127" s="15" t="s">
        <v>23</v>
      </c>
    </row>
    <row r="128" spans="1:11" ht="42" customHeight="1">
      <c r="A128" s="4" t="s">
        <v>379</v>
      </c>
      <c r="B128" s="5" t="s">
        <v>380</v>
      </c>
      <c r="C128" s="5" t="s">
        <v>90</v>
      </c>
      <c r="D128" s="5" t="s">
        <v>91</v>
      </c>
      <c r="E128" s="5" t="s">
        <v>381</v>
      </c>
      <c r="F128" s="9">
        <v>13</v>
      </c>
      <c r="G128" s="9">
        <v>131</v>
      </c>
      <c r="H128" s="5" t="s">
        <v>21</v>
      </c>
      <c r="I128" s="5" t="s">
        <v>382</v>
      </c>
      <c r="J128" s="12" t="str">
        <f>HYPERLINK("https://www.boe.es/gazeta/dias/1802/02/12/pdfs/GMD-1802-13.pdf#page=7","Abrir facsímil")</f>
        <v>Abrir facsímil</v>
      </c>
      <c r="K128" s="15" t="s">
        <v>23</v>
      </c>
    </row>
    <row r="129" spans="1:11" ht="42" customHeight="1">
      <c r="A129" s="4" t="s">
        <v>383</v>
      </c>
      <c r="B129" s="5" t="s">
        <v>384</v>
      </c>
      <c r="C129" s="5" t="s">
        <v>35</v>
      </c>
      <c r="D129" s="5" t="s">
        <v>36</v>
      </c>
      <c r="E129" s="5" t="s">
        <v>385</v>
      </c>
      <c r="F129" s="9">
        <v>70</v>
      </c>
      <c r="G129" s="9">
        <v>862</v>
      </c>
      <c r="H129" s="5" t="s">
        <v>21</v>
      </c>
      <c r="I129" s="5" t="s">
        <v>386</v>
      </c>
      <c r="J129" s="12" t="str">
        <f>HYPERLINK("https://www.boe.es/gazeta/dias/1802/08/27/pdfs/GMD-1802-70.pdf#page=10","Abrir facsímil")</f>
        <v>Abrir facsímil</v>
      </c>
      <c r="K129" s="15" t="s">
        <v>23</v>
      </c>
    </row>
    <row r="130" spans="1:11" ht="42" customHeight="1">
      <c r="A130" s="4" t="s">
        <v>387</v>
      </c>
      <c r="B130" s="5" t="s">
        <v>388</v>
      </c>
      <c r="C130" s="5" t="s">
        <v>18</v>
      </c>
      <c r="D130" s="5" t="s">
        <v>19</v>
      </c>
      <c r="E130" s="5" t="s">
        <v>389</v>
      </c>
      <c r="F130" s="9">
        <v>96</v>
      </c>
      <c r="G130" s="9">
        <v>1189</v>
      </c>
      <c r="H130" s="5" t="s">
        <v>21</v>
      </c>
      <c r="I130" s="5" t="s">
        <v>390</v>
      </c>
      <c r="J130" s="12" t="str">
        <f>HYPERLINK("https://www.boe.es/gazeta/dias/1802/11/26/pdfs/GMD-1802-96.pdf#page=9","Abrir facsímil")</f>
        <v>Abrir facsímil</v>
      </c>
      <c r="K130" s="15" t="s">
        <v>23</v>
      </c>
    </row>
    <row r="131" spans="1:11" ht="42" customHeight="1">
      <c r="A131" s="4" t="s">
        <v>391</v>
      </c>
      <c r="B131" s="5" t="s">
        <v>392</v>
      </c>
      <c r="C131" s="5" t="s">
        <v>42</v>
      </c>
      <c r="D131" s="5" t="s">
        <v>43</v>
      </c>
      <c r="E131" s="5" t="s">
        <v>44</v>
      </c>
      <c r="F131" s="9">
        <v>99</v>
      </c>
      <c r="G131" s="9" t="s">
        <v>272</v>
      </c>
      <c r="H131" s="5" t="s">
        <v>21</v>
      </c>
      <c r="I131" s="5" t="s">
        <v>393</v>
      </c>
      <c r="J131" s="12" t="str">
        <f>HYPERLINK("https://www.boe.es/gazeta/dias/1802/12/07/pdfs/GMD-D-1802-99.pdf#page=3","Abrir facsímil")</f>
        <v>Abrir facsímil</v>
      </c>
      <c r="K131" s="15" t="s">
        <v>23</v>
      </c>
    </row>
    <row r="132" spans="1:11" ht="42" customHeight="1">
      <c r="A132" s="4" t="s">
        <v>394</v>
      </c>
      <c r="B132" s="5" t="s">
        <v>395</v>
      </c>
      <c r="C132" s="5" t="s">
        <v>29</v>
      </c>
      <c r="D132" s="5" t="s">
        <v>30</v>
      </c>
      <c r="E132" s="5" t="s">
        <v>276</v>
      </c>
      <c r="F132" s="9">
        <v>75</v>
      </c>
      <c r="G132" s="9">
        <v>928</v>
      </c>
      <c r="H132" s="5" t="s">
        <v>21</v>
      </c>
      <c r="I132" s="5" t="s">
        <v>396</v>
      </c>
      <c r="J132" s="12" t="str">
        <f>HYPERLINK("https://www.boe.es/gazeta/dias/1802/09/14/pdfs/GMD-1802-75.pdf#page=12","Abrir facsímil")</f>
        <v>Abrir facsímil</v>
      </c>
      <c r="K132" s="15" t="s">
        <v>23</v>
      </c>
    </row>
    <row r="133" spans="1:11" ht="42" customHeight="1">
      <c r="A133" s="4" t="s">
        <v>397</v>
      </c>
      <c r="B133" s="5" t="s">
        <v>398</v>
      </c>
      <c r="C133" s="5" t="s">
        <v>42</v>
      </c>
      <c r="D133" s="5" t="s">
        <v>43</v>
      </c>
      <c r="E133" s="5" t="s">
        <v>44</v>
      </c>
      <c r="F133" s="9">
        <v>99</v>
      </c>
      <c r="G133" s="9" t="s">
        <v>295</v>
      </c>
      <c r="H133" s="5" t="s">
        <v>21</v>
      </c>
      <c r="I133" s="5" t="s">
        <v>399</v>
      </c>
      <c r="J133" s="12" t="str">
        <f>HYPERLINK("https://www.boe.es/gazeta/dias/1802/12/07/pdfs/GMD-D-1802-99.pdf#page=7","Abrir facsímil")</f>
        <v>Abrir facsímil</v>
      </c>
      <c r="K133" s="15" t="s">
        <v>23</v>
      </c>
    </row>
    <row r="134" spans="1:11" ht="42" customHeight="1">
      <c r="A134" s="4" t="s">
        <v>400</v>
      </c>
      <c r="B134" s="5" t="s">
        <v>401</v>
      </c>
      <c r="C134" s="5" t="s">
        <v>29</v>
      </c>
      <c r="D134" s="5" t="s">
        <v>30</v>
      </c>
      <c r="E134" s="5" t="s">
        <v>299</v>
      </c>
      <c r="F134" s="9">
        <v>19</v>
      </c>
      <c r="G134" s="9">
        <v>210</v>
      </c>
      <c r="H134" s="5" t="s">
        <v>21</v>
      </c>
      <c r="I134" s="5" t="s">
        <v>402</v>
      </c>
      <c r="J134" s="12" t="str">
        <f>HYPERLINK("https://www.boe.es/gazeta/dias/1802/03/05/pdfs/GMD-1802-19.pdf#page=10","Abrir facsímil")</f>
        <v>Abrir facsímil</v>
      </c>
      <c r="K134" s="15" t="s">
        <v>23</v>
      </c>
    </row>
    <row r="135" spans="1:11" ht="42" customHeight="1">
      <c r="A135" s="4" t="s">
        <v>403</v>
      </c>
      <c r="B135" s="5" t="s">
        <v>404</v>
      </c>
      <c r="C135" s="5" t="s">
        <v>18</v>
      </c>
      <c r="D135" s="5" t="s">
        <v>19</v>
      </c>
      <c r="E135" s="5" t="s">
        <v>20</v>
      </c>
      <c r="F135" s="9">
        <v>84</v>
      </c>
      <c r="G135" s="9">
        <v>1047</v>
      </c>
      <c r="H135" s="5" t="s">
        <v>21</v>
      </c>
      <c r="I135" s="5" t="s">
        <v>405</v>
      </c>
      <c r="J135" s="12" t="str">
        <f>HYPERLINK("https://www.boe.es/gazeta/dias/1802/10/15/pdfs/GMD-1802-84.pdf#page=15","Abrir facsímil")</f>
        <v>Abrir facsímil</v>
      </c>
      <c r="K135" s="15" t="s">
        <v>23</v>
      </c>
    </row>
    <row r="136" spans="1:11" ht="42" customHeight="1">
      <c r="A136" s="4" t="s">
        <v>406</v>
      </c>
      <c r="B136" s="5" t="s">
        <v>407</v>
      </c>
      <c r="C136" s="5" t="s">
        <v>18</v>
      </c>
      <c r="D136" s="5" t="s">
        <v>19</v>
      </c>
      <c r="E136" s="5" t="s">
        <v>20</v>
      </c>
      <c r="F136" s="9">
        <v>84</v>
      </c>
      <c r="G136" s="9">
        <v>1047</v>
      </c>
      <c r="H136" s="5" t="s">
        <v>21</v>
      </c>
      <c r="I136" s="5" t="s">
        <v>408</v>
      </c>
      <c r="J136" s="12" t="str">
        <f>HYPERLINK("https://www.boe.es/gazeta/dias/1802/10/15/pdfs/GMD-1802-84.pdf#page=15","Abrir facsímil")</f>
        <v>Abrir facsímil</v>
      </c>
      <c r="K136" s="15" t="s">
        <v>23</v>
      </c>
    </row>
    <row r="137" spans="1:11" ht="42" customHeight="1">
      <c r="A137" s="4" t="s">
        <v>409</v>
      </c>
      <c r="B137" s="5" t="s">
        <v>410</v>
      </c>
      <c r="C137" s="5" t="s">
        <v>18</v>
      </c>
      <c r="D137" s="5" t="s">
        <v>19</v>
      </c>
      <c r="E137" s="5" t="s">
        <v>49</v>
      </c>
      <c r="F137" s="9">
        <v>83</v>
      </c>
      <c r="G137" s="9">
        <v>1026</v>
      </c>
      <c r="H137" s="5" t="s">
        <v>21</v>
      </c>
      <c r="I137" s="5" t="s">
        <v>411</v>
      </c>
      <c r="J137" s="12" t="str">
        <f>HYPERLINK("https://www.boe.es/gazeta/dias/1802/10/12/pdfs/GMD-1802-83.pdf#page=14","Abrir facsímil")</f>
        <v>Abrir facsímil</v>
      </c>
      <c r="K137" s="15" t="s">
        <v>23</v>
      </c>
    </row>
    <row r="138" spans="1:11" ht="42" customHeight="1">
      <c r="A138" s="4" t="s">
        <v>412</v>
      </c>
      <c r="B138" s="5" t="s">
        <v>413</v>
      </c>
      <c r="C138" s="5" t="s">
        <v>55</v>
      </c>
      <c r="D138" s="5" t="s">
        <v>56</v>
      </c>
      <c r="E138" s="5" t="s">
        <v>109</v>
      </c>
      <c r="F138" s="9">
        <v>10</v>
      </c>
      <c r="G138" s="9">
        <v>100</v>
      </c>
      <c r="H138" s="5" t="s">
        <v>21</v>
      </c>
      <c r="I138" s="5" t="s">
        <v>414</v>
      </c>
      <c r="J138" s="12" t="str">
        <f>HYPERLINK("https://www.boe.es/gazeta/dias/1802/02/02/pdfs/GMD-1802-10.pdf#page=8","Abrir facsímil")</f>
        <v>Abrir facsímil</v>
      </c>
      <c r="K138" s="15" t="s">
        <v>23</v>
      </c>
    </row>
    <row r="139" spans="1:11" ht="42" customHeight="1">
      <c r="A139" s="4" t="s">
        <v>415</v>
      </c>
      <c r="B139" s="5" t="s">
        <v>416</v>
      </c>
      <c r="C139" s="5" t="s">
        <v>18</v>
      </c>
      <c r="D139" s="5" t="s">
        <v>19</v>
      </c>
      <c r="E139" s="5" t="s">
        <v>49</v>
      </c>
      <c r="F139" s="9">
        <v>83</v>
      </c>
      <c r="G139" s="9">
        <v>1026</v>
      </c>
      <c r="H139" s="5" t="s">
        <v>21</v>
      </c>
      <c r="I139" s="5" t="s">
        <v>417</v>
      </c>
      <c r="J139" s="12" t="str">
        <f>HYPERLINK("https://www.boe.es/gazeta/dias/1802/10/12/pdfs/GMD-1802-83.pdf#page=14","Abrir facsímil")</f>
        <v>Abrir facsímil</v>
      </c>
      <c r="K139" s="15" t="s">
        <v>23</v>
      </c>
    </row>
    <row r="140" spans="1:11" ht="42" customHeight="1">
      <c r="A140" s="4" t="s">
        <v>418</v>
      </c>
      <c r="B140" s="5" t="s">
        <v>419</v>
      </c>
      <c r="C140" s="5" t="s">
        <v>29</v>
      </c>
      <c r="D140" s="5" t="s">
        <v>30</v>
      </c>
      <c r="E140" s="5" t="s">
        <v>299</v>
      </c>
      <c r="F140" s="9">
        <v>19</v>
      </c>
      <c r="G140" s="9">
        <v>210</v>
      </c>
      <c r="H140" s="5" t="s">
        <v>21</v>
      </c>
      <c r="I140" s="5" t="s">
        <v>420</v>
      </c>
      <c r="J140" s="12" t="str">
        <f>HYPERLINK("https://www.boe.es/gazeta/dias/1802/03/05/pdfs/GMD-1802-19.pdf#page=10","Abrir facsímil")</f>
        <v>Abrir facsímil</v>
      </c>
      <c r="K140" s="15" t="s">
        <v>23</v>
      </c>
    </row>
    <row r="141" spans="1:11" ht="42" customHeight="1">
      <c r="A141" s="4" t="s">
        <v>421</v>
      </c>
      <c r="B141" s="5" t="s">
        <v>421</v>
      </c>
      <c r="C141" s="5" t="s">
        <v>18</v>
      </c>
      <c r="D141" s="5" t="s">
        <v>19</v>
      </c>
      <c r="E141" s="5" t="s">
        <v>20</v>
      </c>
      <c r="F141" s="9">
        <v>84</v>
      </c>
      <c r="G141" s="9">
        <v>1047</v>
      </c>
      <c r="H141" s="5" t="s">
        <v>21</v>
      </c>
      <c r="I141" s="5" t="s">
        <v>422</v>
      </c>
      <c r="J141" s="12" t="str">
        <f>HYPERLINK("https://www.boe.es/gazeta/dias/1802/10/15/pdfs/GMD-1802-84.pdf#page=15","Abrir facsímil")</f>
        <v>Abrir facsímil</v>
      </c>
      <c r="K141" s="15" t="s">
        <v>23</v>
      </c>
    </row>
    <row r="142" spans="1:11" ht="42" customHeight="1">
      <c r="A142" s="4" t="s">
        <v>423</v>
      </c>
      <c r="B142" s="5" t="s">
        <v>424</v>
      </c>
      <c r="C142" s="5" t="s">
        <v>35</v>
      </c>
      <c r="D142" s="5" t="s">
        <v>36</v>
      </c>
      <c r="E142" s="5" t="s">
        <v>385</v>
      </c>
      <c r="F142" s="9">
        <v>70</v>
      </c>
      <c r="G142" s="9">
        <v>862</v>
      </c>
      <c r="H142" s="5" t="s">
        <v>21</v>
      </c>
      <c r="I142" s="5" t="s">
        <v>425</v>
      </c>
      <c r="J142" s="12" t="str">
        <f>HYPERLINK("https://www.boe.es/gazeta/dias/1802/08/27/pdfs/GMD-1802-70.pdf#page=10","Abrir facsímil")</f>
        <v>Abrir facsímil</v>
      </c>
      <c r="K142" s="15" t="s">
        <v>23</v>
      </c>
    </row>
    <row r="143" spans="1:11" ht="42" customHeight="1">
      <c r="A143" s="4" t="s">
        <v>426</v>
      </c>
      <c r="B143" s="5" t="s">
        <v>426</v>
      </c>
      <c r="C143" s="5" t="s">
        <v>18</v>
      </c>
      <c r="D143" s="5" t="s">
        <v>19</v>
      </c>
      <c r="E143" s="5" t="s">
        <v>121</v>
      </c>
      <c r="F143" s="9">
        <v>87</v>
      </c>
      <c r="G143" s="9">
        <v>1082</v>
      </c>
      <c r="H143" s="5" t="s">
        <v>21</v>
      </c>
      <c r="I143" s="5" t="s">
        <v>427</v>
      </c>
      <c r="J143" s="12" t="str">
        <f>HYPERLINK("https://www.boe.es/gazeta/dias/1802/10/26/pdfs/GMD-1802-87.pdf#page=10","Abrir facsímil")</f>
        <v>Abrir facsímil</v>
      </c>
      <c r="K143" s="15" t="s">
        <v>23</v>
      </c>
    </row>
    <row r="144" spans="1:11" ht="42" customHeight="1">
      <c r="A144" s="4" t="s">
        <v>428</v>
      </c>
      <c r="B144" s="5" t="s">
        <v>428</v>
      </c>
      <c r="C144" s="5" t="s">
        <v>18</v>
      </c>
      <c r="D144" s="5" t="s">
        <v>19</v>
      </c>
      <c r="E144" s="5" t="s">
        <v>429</v>
      </c>
      <c r="F144" s="9">
        <v>91</v>
      </c>
      <c r="G144" s="9">
        <v>1131</v>
      </c>
      <c r="H144" s="5" t="s">
        <v>21</v>
      </c>
      <c r="I144" s="5" t="s">
        <v>430</v>
      </c>
      <c r="J144" s="12" t="str">
        <f>HYPERLINK("https://www.boe.es/gazeta/dias/1802/11/09/pdfs/GMD-1802-91.pdf#page=11","Abrir facsímil")</f>
        <v>Abrir facsímil</v>
      </c>
      <c r="K144" s="15" t="s">
        <v>23</v>
      </c>
    </row>
    <row r="145" spans="1:11" ht="42" customHeight="1">
      <c r="A145" s="4" t="s">
        <v>431</v>
      </c>
      <c r="B145" s="5" t="s">
        <v>431</v>
      </c>
      <c r="C145" s="5" t="s">
        <v>29</v>
      </c>
      <c r="D145" s="5" t="s">
        <v>30</v>
      </c>
      <c r="E145" s="5" t="s">
        <v>73</v>
      </c>
      <c r="F145" s="9">
        <v>102</v>
      </c>
      <c r="G145" s="9">
        <v>1254</v>
      </c>
      <c r="H145" s="5" t="s">
        <v>21</v>
      </c>
      <c r="I145" s="5" t="s">
        <v>432</v>
      </c>
      <c r="J145" s="12" t="str">
        <f>HYPERLINK("https://www.boe.es/gazeta/dias/1802/12/17/pdfs/GMD-1802-102.pdf#page=10","Abrir facsímil")</f>
        <v>Abrir facsímil</v>
      </c>
      <c r="K145" s="15" t="s">
        <v>23</v>
      </c>
    </row>
    <row r="146" spans="1:11" ht="42" customHeight="1">
      <c r="A146" s="4" t="s">
        <v>433</v>
      </c>
      <c r="B146" s="5" t="s">
        <v>433</v>
      </c>
      <c r="C146" s="5" t="s">
        <v>18</v>
      </c>
      <c r="D146" s="5" t="s">
        <v>19</v>
      </c>
      <c r="E146" s="5" t="s">
        <v>206</v>
      </c>
      <c r="F146" s="9">
        <v>22</v>
      </c>
      <c r="G146" s="9">
        <v>240</v>
      </c>
      <c r="H146" s="5" t="s">
        <v>21</v>
      </c>
      <c r="I146" s="5" t="s">
        <v>434</v>
      </c>
      <c r="J146" s="12" t="str">
        <f>HYPERLINK("https://www.boe.es/gazeta/dias/1802/03/16/pdfs/GMD-1802-22.pdf#page=8","Abrir facsímil")</f>
        <v>Abrir facsímil</v>
      </c>
      <c r="K146" s="15" t="s">
        <v>23</v>
      </c>
    </row>
    <row r="147" spans="1:11" ht="42" customHeight="1">
      <c r="A147" s="4" t="s">
        <v>435</v>
      </c>
      <c r="B147" s="5" t="s">
        <v>435</v>
      </c>
      <c r="C147" s="5" t="s">
        <v>55</v>
      </c>
      <c r="D147" s="5" t="s">
        <v>56</v>
      </c>
      <c r="E147" s="5" t="s">
        <v>436</v>
      </c>
      <c r="F147" s="9">
        <v>58</v>
      </c>
      <c r="G147" s="9">
        <v>703</v>
      </c>
      <c r="H147" s="5" t="s">
        <v>21</v>
      </c>
      <c r="I147" s="5" t="s">
        <v>437</v>
      </c>
      <c r="J147" s="12" t="str">
        <f>HYPERLINK("https://www.boe.es/gazeta/dias/1802/07/20/pdfs/GMD-1802-58.pdf#page=11","Abrir facsímil")</f>
        <v>Abrir facsímil</v>
      </c>
      <c r="K147" s="15" t="s">
        <v>23</v>
      </c>
    </row>
    <row r="148" spans="1:11" ht="42" customHeight="1">
      <c r="A148" s="4" t="s">
        <v>438</v>
      </c>
      <c r="B148" s="5" t="s">
        <v>438</v>
      </c>
      <c r="C148" s="5" t="s">
        <v>18</v>
      </c>
      <c r="D148" s="5" t="s">
        <v>19</v>
      </c>
      <c r="E148" s="5" t="s">
        <v>439</v>
      </c>
      <c r="F148" s="9">
        <v>76</v>
      </c>
      <c r="G148" s="9">
        <v>939</v>
      </c>
      <c r="H148" s="5" t="s">
        <v>21</v>
      </c>
      <c r="I148" s="5" t="s">
        <v>440</v>
      </c>
      <c r="J148" s="12" t="str">
        <f>HYPERLINK("https://www.boe.es/gazeta/dias/1802/09/17/pdfs/GMD-1802-76.pdf#page=11","Abrir facsímil")</f>
        <v>Abrir facsímil</v>
      </c>
      <c r="K148" s="15" t="s">
        <v>23</v>
      </c>
    </row>
    <row r="149" spans="1:11" ht="42" customHeight="1">
      <c r="A149" s="4" t="s">
        <v>441</v>
      </c>
      <c r="B149" s="5" t="s">
        <v>441</v>
      </c>
      <c r="C149" s="5" t="s">
        <v>18</v>
      </c>
      <c r="D149" s="5" t="s">
        <v>19</v>
      </c>
      <c r="E149" s="5" t="s">
        <v>439</v>
      </c>
      <c r="F149" s="9">
        <v>76</v>
      </c>
      <c r="G149" s="9">
        <v>939</v>
      </c>
      <c r="H149" s="5" t="s">
        <v>21</v>
      </c>
      <c r="I149" s="5" t="s">
        <v>442</v>
      </c>
      <c r="J149" s="12" t="str">
        <f>HYPERLINK("https://www.boe.es/gazeta/dias/1802/09/17/pdfs/GMD-1802-76.pdf#page=11","Abrir facsímil")</f>
        <v>Abrir facsímil</v>
      </c>
      <c r="K149" s="15" t="s">
        <v>23</v>
      </c>
    </row>
    <row r="150" spans="1:11" ht="42" customHeight="1">
      <c r="A150" s="4" t="s">
        <v>441</v>
      </c>
      <c r="B150" s="5" t="s">
        <v>441</v>
      </c>
      <c r="C150" s="5" t="s">
        <v>29</v>
      </c>
      <c r="D150" s="5" t="s">
        <v>30</v>
      </c>
      <c r="E150" s="5" t="s">
        <v>443</v>
      </c>
      <c r="F150" s="9">
        <v>78</v>
      </c>
      <c r="G150" s="9">
        <v>963</v>
      </c>
      <c r="H150" s="5" t="s">
        <v>21</v>
      </c>
      <c r="I150" s="5" t="s">
        <v>444</v>
      </c>
      <c r="J150" s="12" t="str">
        <f>HYPERLINK("https://www.boe.es/gazeta/dias/1802/09/24/pdfs/GMD-1802-78.pdf#page=11","Abrir facsímil")</f>
        <v>Abrir facsímil</v>
      </c>
      <c r="K150" s="15" t="s">
        <v>23</v>
      </c>
    </row>
    <row r="151" spans="1:11" ht="42" customHeight="1">
      <c r="A151" s="4" t="s">
        <v>445</v>
      </c>
      <c r="B151" s="5" t="s">
        <v>445</v>
      </c>
      <c r="C151" s="5" t="s">
        <v>18</v>
      </c>
      <c r="D151" s="5" t="s">
        <v>19</v>
      </c>
      <c r="E151" s="5" t="s">
        <v>37</v>
      </c>
      <c r="F151" s="9">
        <v>106</v>
      </c>
      <c r="G151" s="9">
        <v>1294</v>
      </c>
      <c r="H151" s="5" t="s">
        <v>21</v>
      </c>
      <c r="I151" s="5" t="s">
        <v>446</v>
      </c>
      <c r="J151" s="12" t="str">
        <f>HYPERLINK("https://www.boe.es/gazeta/dias/1802/12/31/pdfs/GMD-1802-106.pdf#page=6","Abrir facsímil")</f>
        <v>Abrir facsímil</v>
      </c>
      <c r="K151" s="15" t="s">
        <v>23</v>
      </c>
    </row>
    <row r="152" spans="1:11" ht="42" customHeight="1">
      <c r="A152" s="4" t="s">
        <v>447</v>
      </c>
      <c r="B152" s="5" t="s">
        <v>447</v>
      </c>
      <c r="C152" s="5" t="s">
        <v>18</v>
      </c>
      <c r="D152" s="5" t="s">
        <v>19</v>
      </c>
      <c r="E152" s="5" t="s">
        <v>49</v>
      </c>
      <c r="F152" s="9">
        <v>83</v>
      </c>
      <c r="G152" s="9">
        <v>1020</v>
      </c>
      <c r="H152" s="5" t="s">
        <v>21</v>
      </c>
      <c r="I152" s="5" t="s">
        <v>448</v>
      </c>
      <c r="J152" s="12" t="str">
        <f>HYPERLINK("https://www.boe.es/gazeta/dias/1802/10/12/pdfs/GMD-1802-83.pdf#page=8","Abrir facsímil")</f>
        <v>Abrir facsímil</v>
      </c>
      <c r="K152" s="15" t="s">
        <v>23</v>
      </c>
    </row>
    <row r="153" spans="1:11" ht="42" customHeight="1">
      <c r="A153" s="4" t="s">
        <v>449</v>
      </c>
      <c r="B153" s="5" t="s">
        <v>449</v>
      </c>
      <c r="C153" s="5" t="s">
        <v>18</v>
      </c>
      <c r="D153" s="5" t="s">
        <v>19</v>
      </c>
      <c r="E153" s="5" t="s">
        <v>49</v>
      </c>
      <c r="F153" s="9">
        <v>83</v>
      </c>
      <c r="G153" s="9">
        <v>1025</v>
      </c>
      <c r="H153" s="5" t="s">
        <v>21</v>
      </c>
      <c r="I153" s="5" t="s">
        <v>450</v>
      </c>
      <c r="J153" s="12" t="str">
        <f>HYPERLINK("https://www.boe.es/gazeta/dias/1802/10/12/pdfs/GMD-1802-83.pdf#page=13","Abrir facsímil")</f>
        <v>Abrir facsímil</v>
      </c>
      <c r="K153" s="15" t="s">
        <v>23</v>
      </c>
    </row>
    <row r="154" spans="1:11" ht="42" customHeight="1">
      <c r="A154" s="4" t="s">
        <v>451</v>
      </c>
      <c r="B154" s="5" t="s">
        <v>452</v>
      </c>
      <c r="C154" s="5" t="s">
        <v>29</v>
      </c>
      <c r="D154" s="5" t="s">
        <v>30</v>
      </c>
      <c r="E154" s="5" t="s">
        <v>453</v>
      </c>
      <c r="F154" s="9">
        <v>52</v>
      </c>
      <c r="G154" s="9">
        <v>631</v>
      </c>
      <c r="H154" s="5" t="s">
        <v>21</v>
      </c>
      <c r="I154" s="5" t="s">
        <v>454</v>
      </c>
      <c r="J154" s="12" t="str">
        <f>HYPERLINK("https://www.boe.es/gazeta/dias/1802/06/29/pdfs/GMD-1802-52.pdf#page=7","Abrir facsímil")</f>
        <v>Abrir facsímil</v>
      </c>
      <c r="K154" s="15" t="s">
        <v>23</v>
      </c>
    </row>
    <row r="155" spans="1:11" ht="42" customHeight="1">
      <c r="A155" s="4" t="s">
        <v>455</v>
      </c>
      <c r="B155" s="5" t="s">
        <v>455</v>
      </c>
      <c r="C155" s="5" t="s">
        <v>18</v>
      </c>
      <c r="D155" s="5" t="s">
        <v>19</v>
      </c>
      <c r="E155" s="5" t="s">
        <v>49</v>
      </c>
      <c r="F155" s="9">
        <v>83</v>
      </c>
      <c r="G155" s="9">
        <v>1020</v>
      </c>
      <c r="H155" s="5" t="s">
        <v>21</v>
      </c>
      <c r="I155" s="5" t="s">
        <v>456</v>
      </c>
      <c r="J155" s="12" t="str">
        <f>HYPERLINK("https://www.boe.es/gazeta/dias/1802/10/12/pdfs/GMD-1802-83.pdf#page=8","Abrir facsímil")</f>
        <v>Abrir facsímil</v>
      </c>
      <c r="K155" s="15" t="s">
        <v>23</v>
      </c>
    </row>
    <row r="156" spans="1:11" ht="42" customHeight="1">
      <c r="A156" s="4" t="s">
        <v>457</v>
      </c>
      <c r="B156" s="5" t="s">
        <v>458</v>
      </c>
      <c r="C156" s="5" t="s">
        <v>55</v>
      </c>
      <c r="D156" s="5" t="s">
        <v>56</v>
      </c>
      <c r="E156" s="5" t="s">
        <v>175</v>
      </c>
      <c r="F156" s="9">
        <v>37</v>
      </c>
      <c r="G156" s="9">
        <v>444</v>
      </c>
      <c r="H156" s="5" t="s">
        <v>21</v>
      </c>
      <c r="I156" s="5" t="s">
        <v>459</v>
      </c>
      <c r="J156" s="12" t="str">
        <f>HYPERLINK("https://www.boe.es/gazeta/dias/1802/05/07/pdfs/GMD-1802-37.pdf#page=12","Abrir facsímil")</f>
        <v>Abrir facsímil</v>
      </c>
      <c r="K156" s="15" t="s">
        <v>23</v>
      </c>
    </row>
    <row r="157" spans="1:11" ht="42" customHeight="1">
      <c r="A157" s="4" t="s">
        <v>460</v>
      </c>
      <c r="B157" s="5" t="s">
        <v>461</v>
      </c>
      <c r="C157" s="5" t="s">
        <v>29</v>
      </c>
      <c r="D157" s="5" t="s">
        <v>30</v>
      </c>
      <c r="E157" s="5" t="s">
        <v>148</v>
      </c>
      <c r="F157" s="9">
        <v>66</v>
      </c>
      <c r="G157" s="9">
        <v>809</v>
      </c>
      <c r="H157" s="5" t="s">
        <v>21</v>
      </c>
      <c r="I157" s="5" t="s">
        <v>462</v>
      </c>
      <c r="J157" s="12" t="str">
        <f>HYPERLINK("https://www.boe.es/gazeta/dias/1802/08/13/pdfs/GMD-1802-66.pdf#page=13","Abrir facsímil")</f>
        <v>Abrir facsímil</v>
      </c>
      <c r="K157" s="15" t="s">
        <v>23</v>
      </c>
    </row>
    <row r="158" spans="1:11" ht="42" customHeight="1">
      <c r="A158" s="4" t="s">
        <v>463</v>
      </c>
      <c r="B158" s="5" t="s">
        <v>463</v>
      </c>
      <c r="C158" s="5" t="s">
        <v>160</v>
      </c>
      <c r="D158" s="5" t="s">
        <v>91</v>
      </c>
      <c r="E158" s="5" t="s">
        <v>20</v>
      </c>
      <c r="F158" s="9">
        <v>84</v>
      </c>
      <c r="G158" s="9">
        <v>1042</v>
      </c>
      <c r="H158" s="5" t="s">
        <v>21</v>
      </c>
      <c r="I158" s="5" t="s">
        <v>464</v>
      </c>
      <c r="J158" s="12" t="str">
        <f>HYPERLINK("https://www.boe.es/gazeta/dias/1802/10/15/pdfs/GMD-1802-84.pdf#page=10","Abrir facsímil")</f>
        <v>Abrir facsímil</v>
      </c>
      <c r="K158" s="15" t="s">
        <v>23</v>
      </c>
    </row>
    <row r="159" spans="1:11" ht="42" customHeight="1">
      <c r="A159" s="4" t="s">
        <v>465</v>
      </c>
      <c r="B159" s="5" t="s">
        <v>465</v>
      </c>
      <c r="C159" s="5" t="s">
        <v>35</v>
      </c>
      <c r="D159" s="5" t="s">
        <v>36</v>
      </c>
      <c r="E159" s="5" t="s">
        <v>172</v>
      </c>
      <c r="F159" s="9">
        <v>35</v>
      </c>
      <c r="G159" s="9">
        <v>403</v>
      </c>
      <c r="H159" s="5" t="s">
        <v>21</v>
      </c>
      <c r="I159" s="5" t="s">
        <v>466</v>
      </c>
      <c r="J159" s="12" t="str">
        <f>HYPERLINK("https://www.boe.es/gazeta/dias/1802/04/30/pdfs/GMD-1802-35.pdf#page=3","Abrir facsímil")</f>
        <v>Abrir facsímil</v>
      </c>
      <c r="K159" s="15" t="s">
        <v>23</v>
      </c>
    </row>
    <row r="160" spans="1:11" ht="42" customHeight="1">
      <c r="A160" s="4" t="s">
        <v>467</v>
      </c>
      <c r="B160" s="5" t="s">
        <v>468</v>
      </c>
      <c r="C160" s="5" t="s">
        <v>29</v>
      </c>
      <c r="D160" s="5" t="s">
        <v>30</v>
      </c>
      <c r="E160" s="5" t="s">
        <v>328</v>
      </c>
      <c r="F160" s="9">
        <v>45</v>
      </c>
      <c r="G160" s="9">
        <v>545</v>
      </c>
      <c r="H160" s="5" t="s">
        <v>21</v>
      </c>
      <c r="I160" s="5" t="s">
        <v>469</v>
      </c>
      <c r="J160" s="12" t="str">
        <f>HYPERLINK("https://www.boe.es/gazeta/dias/1802/06/04/pdfs/GMD-1802-45.pdf#page=9","Abrir facsímil")</f>
        <v>Abrir facsímil</v>
      </c>
      <c r="K160" s="15" t="s">
        <v>23</v>
      </c>
    </row>
    <row r="161" spans="1:11" ht="42" customHeight="1">
      <c r="A161" s="4" t="s">
        <v>470</v>
      </c>
      <c r="B161" s="5" t="s">
        <v>471</v>
      </c>
      <c r="C161" s="5" t="s">
        <v>55</v>
      </c>
      <c r="D161" s="5" t="s">
        <v>56</v>
      </c>
      <c r="E161" s="5" t="s">
        <v>133</v>
      </c>
      <c r="F161" s="9">
        <v>33</v>
      </c>
      <c r="G161" s="9">
        <v>388</v>
      </c>
      <c r="H161" s="5" t="s">
        <v>21</v>
      </c>
      <c r="I161" s="5" t="s">
        <v>472</v>
      </c>
      <c r="J161" s="12" t="str">
        <f>HYPERLINK("https://www.boe.es/gazeta/dias/1802/04/23/pdfs/GMD-1802-33.pdf#page=8","Abrir facsímil")</f>
        <v>Abrir facsímil</v>
      </c>
      <c r="K161" s="15" t="s">
        <v>23</v>
      </c>
    </row>
    <row r="162" spans="1:11" ht="42" customHeight="1">
      <c r="A162" s="4" t="s">
        <v>473</v>
      </c>
      <c r="B162" s="5" t="s">
        <v>473</v>
      </c>
      <c r="C162" s="5" t="s">
        <v>35</v>
      </c>
      <c r="D162" s="5" t="s">
        <v>36</v>
      </c>
      <c r="E162" s="5" t="s">
        <v>192</v>
      </c>
      <c r="F162" s="9">
        <v>53</v>
      </c>
      <c r="G162" s="9">
        <v>634</v>
      </c>
      <c r="H162" s="5" t="s">
        <v>21</v>
      </c>
      <c r="I162" s="5" t="s">
        <v>474</v>
      </c>
      <c r="J162" s="12" t="str">
        <f>HYPERLINK("https://www.boe.es/gazeta/dias/1802/07/02/pdfs/GMD-1802-53.pdf#page=2","Abrir facsímil")</f>
        <v>Abrir facsímil</v>
      </c>
      <c r="K162" s="15" t="s">
        <v>23</v>
      </c>
    </row>
    <row r="163" spans="1:11" ht="42" customHeight="1">
      <c r="A163" s="4" t="s">
        <v>475</v>
      </c>
      <c r="B163" s="5" t="s">
        <v>475</v>
      </c>
      <c r="C163" s="5" t="s">
        <v>35</v>
      </c>
      <c r="D163" s="5" t="s">
        <v>36</v>
      </c>
      <c r="E163" s="5" t="s">
        <v>311</v>
      </c>
      <c r="F163" s="9">
        <v>88</v>
      </c>
      <c r="G163" s="9">
        <v>1091</v>
      </c>
      <c r="H163" s="5" t="s">
        <v>21</v>
      </c>
      <c r="I163" s="5" t="s">
        <v>476</v>
      </c>
      <c r="J163" s="12" t="str">
        <f>HYPERLINK("https://www.boe.es/gazeta/dias/1802/10/29/pdfs/GMD-1802-88.pdf#page=7","Abrir facsímil")</f>
        <v>Abrir facsímil</v>
      </c>
      <c r="K163" s="15" t="s">
        <v>23</v>
      </c>
    </row>
    <row r="164" spans="1:11" ht="42" customHeight="1">
      <c r="A164" s="4" t="s">
        <v>477</v>
      </c>
      <c r="B164" s="5" t="s">
        <v>478</v>
      </c>
      <c r="C164" s="5" t="s">
        <v>29</v>
      </c>
      <c r="D164" s="5" t="s">
        <v>30</v>
      </c>
      <c r="E164" s="5" t="s">
        <v>299</v>
      </c>
      <c r="F164" s="9">
        <v>19</v>
      </c>
      <c r="G164" s="9">
        <v>209</v>
      </c>
      <c r="H164" s="5" t="s">
        <v>21</v>
      </c>
      <c r="I164" s="5" t="s">
        <v>479</v>
      </c>
      <c r="J164" s="12" t="str">
        <f>HYPERLINK("https://www.boe.es/gazeta/dias/1802/03/05/pdfs/GMD-1802-19.pdf#page=9","Abrir facsímil")</f>
        <v>Abrir facsímil</v>
      </c>
      <c r="K164" s="15" t="s">
        <v>23</v>
      </c>
    </row>
    <row r="165" spans="1:11" ht="42" customHeight="1">
      <c r="A165" s="4" t="s">
        <v>480</v>
      </c>
      <c r="B165" s="5" t="s">
        <v>480</v>
      </c>
      <c r="C165" s="5" t="s">
        <v>35</v>
      </c>
      <c r="D165" s="5" t="s">
        <v>36</v>
      </c>
      <c r="E165" s="5" t="s">
        <v>481</v>
      </c>
      <c r="F165" s="9">
        <v>79</v>
      </c>
      <c r="G165" s="9">
        <v>966</v>
      </c>
      <c r="H165" s="5" t="s">
        <v>21</v>
      </c>
      <c r="I165" s="5" t="s">
        <v>482</v>
      </c>
      <c r="J165" s="12" t="str">
        <f>HYPERLINK("https://www.boe.es/gazeta/dias/1802/09/28/pdfs/GMD-1802-79.pdf#page=2","Abrir facsímil")</f>
        <v>Abrir facsímil</v>
      </c>
      <c r="K165" s="15" t="s">
        <v>23</v>
      </c>
    </row>
    <row r="166" spans="1:11" ht="42" customHeight="1">
      <c r="A166" s="4" t="s">
        <v>483</v>
      </c>
      <c r="B166" s="5" t="s">
        <v>484</v>
      </c>
      <c r="C166" s="5" t="s">
        <v>29</v>
      </c>
      <c r="D166" s="5" t="s">
        <v>30</v>
      </c>
      <c r="E166" s="5" t="s">
        <v>60</v>
      </c>
      <c r="F166" s="9">
        <v>5</v>
      </c>
      <c r="G166" s="9">
        <v>50</v>
      </c>
      <c r="H166" s="5" t="s">
        <v>21</v>
      </c>
      <c r="I166" s="5" t="s">
        <v>485</v>
      </c>
      <c r="J166" s="12" t="str">
        <f>HYPERLINK("https://www.boe.es/gazeta/dias/1802/01/15/pdfs/GMD-1802-5.pdf#page=6","Abrir facsímil")</f>
        <v>Abrir facsímil</v>
      </c>
      <c r="K166" s="15" t="s">
        <v>23</v>
      </c>
    </row>
    <row r="167" spans="1:11" ht="42" customHeight="1">
      <c r="A167" s="4" t="s">
        <v>486</v>
      </c>
      <c r="B167" s="5" t="s">
        <v>487</v>
      </c>
      <c r="C167" s="5" t="s">
        <v>18</v>
      </c>
      <c r="D167" s="5" t="s">
        <v>19</v>
      </c>
      <c r="E167" s="5" t="s">
        <v>102</v>
      </c>
      <c r="F167" s="9">
        <v>73</v>
      </c>
      <c r="G167" s="9">
        <v>904</v>
      </c>
      <c r="H167" s="5" t="s">
        <v>21</v>
      </c>
      <c r="I167" s="5" t="s">
        <v>488</v>
      </c>
      <c r="J167" s="12" t="str">
        <f>HYPERLINK("https://www.boe.es/gazeta/dias/1802/09/07/pdfs/GMD-1802-73.pdf#page=12","Abrir facsímil")</f>
        <v>Abrir facsímil</v>
      </c>
      <c r="K167" s="15" t="s">
        <v>23</v>
      </c>
    </row>
    <row r="168" spans="1:11" ht="42" customHeight="1">
      <c r="A168" s="4" t="s">
        <v>489</v>
      </c>
      <c r="B168" s="5" t="s">
        <v>490</v>
      </c>
      <c r="C168" s="5" t="s">
        <v>29</v>
      </c>
      <c r="D168" s="5" t="s">
        <v>30</v>
      </c>
      <c r="E168" s="5" t="s">
        <v>491</v>
      </c>
      <c r="F168" s="9">
        <v>57</v>
      </c>
      <c r="G168" s="9">
        <v>689</v>
      </c>
      <c r="H168" s="5" t="s">
        <v>21</v>
      </c>
      <c r="I168" s="5" t="s">
        <v>492</v>
      </c>
      <c r="J168" s="12" t="str">
        <f>HYPERLINK("https://www.boe.es/gazeta/dias/1802/07/16/pdfs/GMD-1802-57.pdf#page=9","Abrir facsímil")</f>
        <v>Abrir facsímil</v>
      </c>
      <c r="K168" s="15" t="s">
        <v>23</v>
      </c>
    </row>
    <row r="169" spans="1:11" ht="42" customHeight="1">
      <c r="A169" s="4" t="s">
        <v>493</v>
      </c>
      <c r="B169" s="5" t="s">
        <v>494</v>
      </c>
      <c r="C169" s="5" t="s">
        <v>18</v>
      </c>
      <c r="D169" s="5" t="s">
        <v>19</v>
      </c>
      <c r="E169" s="5" t="s">
        <v>439</v>
      </c>
      <c r="F169" s="9">
        <v>76</v>
      </c>
      <c r="G169" s="9">
        <v>939</v>
      </c>
      <c r="H169" s="5" t="s">
        <v>21</v>
      </c>
      <c r="I169" s="5" t="s">
        <v>495</v>
      </c>
      <c r="J169" s="12" t="str">
        <f>HYPERLINK("https://www.boe.es/gazeta/dias/1802/09/17/pdfs/GMD-1802-76.pdf#page=11","Abrir facsímil")</f>
        <v>Abrir facsímil</v>
      </c>
      <c r="K169" s="15" t="s">
        <v>23</v>
      </c>
    </row>
    <row r="170" spans="1:11" ht="42" customHeight="1">
      <c r="A170" s="4" t="s">
        <v>496</v>
      </c>
      <c r="B170" s="5" t="s">
        <v>497</v>
      </c>
      <c r="C170" s="5" t="s">
        <v>90</v>
      </c>
      <c r="D170" s="5" t="s">
        <v>91</v>
      </c>
      <c r="E170" s="5" t="s">
        <v>146</v>
      </c>
      <c r="F170" s="9">
        <v>42</v>
      </c>
      <c r="G170" s="9">
        <v>503</v>
      </c>
      <c r="H170" s="5" t="s">
        <v>21</v>
      </c>
      <c r="I170" s="5" t="s">
        <v>498</v>
      </c>
      <c r="J170" s="12" t="str">
        <f>HYPERLINK("https://www.boe.es/gazeta/dias/1802/05/25/pdfs/GMD-1802-42.pdf#page=7","Abrir facsímil")</f>
        <v>Abrir facsímil</v>
      </c>
      <c r="K170" s="15" t="s">
        <v>23</v>
      </c>
    </row>
    <row r="171" spans="1:11" ht="42" customHeight="1">
      <c r="A171" s="4" t="s">
        <v>499</v>
      </c>
      <c r="B171" s="5" t="s">
        <v>500</v>
      </c>
      <c r="C171" s="5" t="s">
        <v>29</v>
      </c>
      <c r="D171" s="5" t="s">
        <v>30</v>
      </c>
      <c r="E171" s="5" t="s">
        <v>328</v>
      </c>
      <c r="F171" s="9">
        <v>45</v>
      </c>
      <c r="G171" s="9">
        <v>545</v>
      </c>
      <c r="H171" s="5" t="s">
        <v>21</v>
      </c>
      <c r="I171" s="5" t="s">
        <v>501</v>
      </c>
      <c r="J171" s="12" t="str">
        <f>HYPERLINK("https://www.boe.es/gazeta/dias/1802/06/04/pdfs/GMD-1802-45.pdf#page=9","Abrir facsímil")</f>
        <v>Abrir facsímil</v>
      </c>
      <c r="K171" s="15" t="s">
        <v>23</v>
      </c>
    </row>
    <row r="172" spans="1:11" ht="42" customHeight="1">
      <c r="A172" s="4" t="s">
        <v>502</v>
      </c>
      <c r="B172" s="5" t="s">
        <v>503</v>
      </c>
      <c r="C172" s="5" t="s">
        <v>29</v>
      </c>
      <c r="D172" s="5" t="s">
        <v>30</v>
      </c>
      <c r="E172" s="5" t="s">
        <v>49</v>
      </c>
      <c r="F172" s="9">
        <v>83</v>
      </c>
      <c r="G172" s="9">
        <v>1020</v>
      </c>
      <c r="H172" s="5" t="s">
        <v>21</v>
      </c>
      <c r="I172" s="5" t="s">
        <v>504</v>
      </c>
      <c r="J172" s="12" t="str">
        <f>HYPERLINK("https://www.boe.es/gazeta/dias/1802/10/12/pdfs/GMD-1802-83.pdf#page=8","Abrir facsímil")</f>
        <v>Abrir facsímil</v>
      </c>
      <c r="K172" s="15" t="s">
        <v>23</v>
      </c>
    </row>
    <row r="173" spans="1:11" ht="42" customHeight="1">
      <c r="A173" s="4" t="s">
        <v>505</v>
      </c>
      <c r="B173" s="5" t="s">
        <v>506</v>
      </c>
      <c r="C173" s="5" t="s">
        <v>29</v>
      </c>
      <c r="D173" s="5" t="s">
        <v>30</v>
      </c>
      <c r="E173" s="5" t="s">
        <v>44</v>
      </c>
      <c r="F173" s="9">
        <v>99</v>
      </c>
      <c r="G173" s="9">
        <v>1222</v>
      </c>
      <c r="H173" s="5" t="s">
        <v>21</v>
      </c>
      <c r="I173" s="5" t="s">
        <v>507</v>
      </c>
      <c r="J173" s="12" t="str">
        <f>HYPERLINK("https://www.boe.es/gazeta/dias/1802/12/07/pdfs/GMD-1802-99.pdf#page=6","Abrir facsímil")</f>
        <v>Abrir facsímil</v>
      </c>
      <c r="K173" s="15" t="s">
        <v>23</v>
      </c>
    </row>
    <row r="174" spans="1:11" ht="42" customHeight="1">
      <c r="A174" s="4" t="s">
        <v>508</v>
      </c>
      <c r="B174" s="5" t="s">
        <v>509</v>
      </c>
      <c r="C174" s="5" t="s">
        <v>18</v>
      </c>
      <c r="D174" s="5" t="s">
        <v>19</v>
      </c>
      <c r="E174" s="5" t="s">
        <v>49</v>
      </c>
      <c r="F174" s="9">
        <v>83</v>
      </c>
      <c r="G174" s="9">
        <v>1022</v>
      </c>
      <c r="H174" s="5" t="s">
        <v>21</v>
      </c>
      <c r="I174" s="5" t="s">
        <v>510</v>
      </c>
      <c r="J174" s="12" t="str">
        <f>HYPERLINK("https://www.boe.es/gazeta/dias/1802/10/12/pdfs/GMD-1802-83.pdf#page=10","Abrir facsímil")</f>
        <v>Abrir facsímil</v>
      </c>
      <c r="K174" s="15" t="s">
        <v>23</v>
      </c>
    </row>
    <row r="175" spans="1:11" ht="42" customHeight="1">
      <c r="A175" s="4" t="s">
        <v>511</v>
      </c>
      <c r="B175" s="5" t="s">
        <v>512</v>
      </c>
      <c r="C175" s="5" t="s">
        <v>18</v>
      </c>
      <c r="D175" s="5" t="s">
        <v>19</v>
      </c>
      <c r="E175" s="5" t="s">
        <v>172</v>
      </c>
      <c r="F175" s="9">
        <v>35</v>
      </c>
      <c r="G175" s="9">
        <v>415</v>
      </c>
      <c r="H175" s="5" t="s">
        <v>21</v>
      </c>
      <c r="I175" s="5" t="s">
        <v>513</v>
      </c>
      <c r="J175" s="12" t="str">
        <f>HYPERLINK("https://www.boe.es/gazeta/dias/1802/04/30/pdfs/GMD-1802-35.pdf#page=15","Abrir facsímil")</f>
        <v>Abrir facsímil</v>
      </c>
      <c r="K175" s="15" t="s">
        <v>23</v>
      </c>
    </row>
    <row r="176" spans="1:11" ht="42" customHeight="1">
      <c r="A176" s="4" t="s">
        <v>511</v>
      </c>
      <c r="B176" s="5" t="s">
        <v>512</v>
      </c>
      <c r="C176" s="5" t="s">
        <v>18</v>
      </c>
      <c r="D176" s="5" t="s">
        <v>19</v>
      </c>
      <c r="E176" s="5" t="s">
        <v>175</v>
      </c>
      <c r="F176" s="9">
        <v>37</v>
      </c>
      <c r="G176" s="9">
        <v>444</v>
      </c>
      <c r="H176" s="5" t="s">
        <v>21</v>
      </c>
      <c r="I176" s="5" t="s">
        <v>514</v>
      </c>
      <c r="J176" s="12" t="str">
        <f>HYPERLINK("https://www.boe.es/gazeta/dias/1802/05/07/pdfs/GMD-1802-37.pdf#page=12","Abrir facsímil")</f>
        <v>Abrir facsímil</v>
      </c>
      <c r="K176" s="15" t="s">
        <v>23</v>
      </c>
    </row>
    <row r="177" spans="1:11" ht="42" customHeight="1">
      <c r="A177" s="4" t="s">
        <v>515</v>
      </c>
      <c r="B177" s="5" t="s">
        <v>516</v>
      </c>
      <c r="C177" s="5" t="s">
        <v>55</v>
      </c>
      <c r="D177" s="5" t="s">
        <v>56</v>
      </c>
      <c r="E177" s="5" t="s">
        <v>517</v>
      </c>
      <c r="F177" s="9">
        <v>61</v>
      </c>
      <c r="G177" s="9">
        <v>741</v>
      </c>
      <c r="H177" s="5" t="s">
        <v>21</v>
      </c>
      <c r="I177" s="5" t="s">
        <v>518</v>
      </c>
      <c r="J177" s="12" t="str">
        <f>HYPERLINK("https://www.boe.es/gazeta/dias/1802/07/27/pdfs/GMD-1802-61.pdf#page=9","Abrir facsímil")</f>
        <v>Abrir facsímil</v>
      </c>
      <c r="K177" s="15" t="s">
        <v>23</v>
      </c>
    </row>
    <row r="178" spans="1:11" ht="42" customHeight="1">
      <c r="A178" s="4" t="s">
        <v>519</v>
      </c>
      <c r="B178" s="5" t="s">
        <v>520</v>
      </c>
      <c r="C178" s="5" t="s">
        <v>90</v>
      </c>
      <c r="D178" s="5" t="s">
        <v>91</v>
      </c>
      <c r="E178" s="5" t="s">
        <v>183</v>
      </c>
      <c r="F178" s="9">
        <v>56</v>
      </c>
      <c r="G178" s="9">
        <v>678</v>
      </c>
      <c r="H178" s="5" t="s">
        <v>21</v>
      </c>
      <c r="I178" s="5" t="s">
        <v>521</v>
      </c>
      <c r="J178" s="12" t="str">
        <f>HYPERLINK("https://www.boe.es/gazeta/dias/1802/07/13/pdfs/GMD-1802-56.pdf#page=10","Abrir facsímil")</f>
        <v>Abrir facsímil</v>
      </c>
      <c r="K178" s="15" t="s">
        <v>23</v>
      </c>
    </row>
    <row r="179" spans="1:11" ht="42" customHeight="1">
      <c r="A179" s="4" t="s">
        <v>522</v>
      </c>
      <c r="B179" s="5" t="s">
        <v>523</v>
      </c>
      <c r="C179" s="5" t="s">
        <v>18</v>
      </c>
      <c r="D179" s="5" t="s">
        <v>19</v>
      </c>
      <c r="E179" s="5" t="s">
        <v>49</v>
      </c>
      <c r="F179" s="9">
        <v>83</v>
      </c>
      <c r="G179" s="9">
        <v>1023</v>
      </c>
      <c r="H179" s="5" t="s">
        <v>21</v>
      </c>
      <c r="I179" s="5" t="s">
        <v>524</v>
      </c>
      <c r="J179" s="12" t="str">
        <f>HYPERLINK("https://www.boe.es/gazeta/dias/1802/10/12/pdfs/GMD-1802-83.pdf#page=11","Abrir facsímil")</f>
        <v>Abrir facsímil</v>
      </c>
      <c r="K179" s="15" t="s">
        <v>23</v>
      </c>
    </row>
    <row r="180" spans="1:11" ht="42" customHeight="1">
      <c r="A180" s="4" t="s">
        <v>525</v>
      </c>
      <c r="B180" s="5" t="s">
        <v>526</v>
      </c>
      <c r="C180" s="5" t="s">
        <v>29</v>
      </c>
      <c r="D180" s="5" t="s">
        <v>30</v>
      </c>
      <c r="E180" s="5" t="s">
        <v>31</v>
      </c>
      <c r="F180" s="9">
        <v>27</v>
      </c>
      <c r="G180" s="9">
        <v>317</v>
      </c>
      <c r="H180" s="5" t="s">
        <v>21</v>
      </c>
      <c r="I180" s="5" t="s">
        <v>527</v>
      </c>
      <c r="J180" s="12" t="str">
        <f>HYPERLINK("https://www.boe.es/gazeta/dias/1802/04/02/pdfs/GMD-1802-27.pdf#page=13","Abrir facsímil")</f>
        <v>Abrir facsímil</v>
      </c>
      <c r="K180" s="15" t="s">
        <v>23</v>
      </c>
    </row>
    <row r="181" spans="1:11" ht="42" customHeight="1">
      <c r="A181" s="4" t="s">
        <v>528</v>
      </c>
      <c r="B181" s="5" t="s">
        <v>529</v>
      </c>
      <c r="C181" s="5" t="s">
        <v>18</v>
      </c>
      <c r="D181" s="5" t="s">
        <v>19</v>
      </c>
      <c r="E181" s="5" t="s">
        <v>530</v>
      </c>
      <c r="F181" s="9">
        <v>48</v>
      </c>
      <c r="G181" s="9">
        <v>587</v>
      </c>
      <c r="H181" s="5" t="s">
        <v>21</v>
      </c>
      <c r="I181" s="5" t="s">
        <v>531</v>
      </c>
      <c r="J181" s="12" t="str">
        <f>HYPERLINK("https://www.boe.es/gazeta/dias/1802/06/15/pdfs/GMD-1802-48.pdf#page=11","Abrir facsímil")</f>
        <v>Abrir facsímil</v>
      </c>
      <c r="K181" s="15" t="s">
        <v>23</v>
      </c>
    </row>
    <row r="182" spans="1:11" ht="42" customHeight="1">
      <c r="A182" s="4" t="s">
        <v>532</v>
      </c>
      <c r="B182" s="5" t="s">
        <v>533</v>
      </c>
      <c r="C182" s="5" t="s">
        <v>18</v>
      </c>
      <c r="D182" s="5" t="s">
        <v>19</v>
      </c>
      <c r="E182" s="5" t="s">
        <v>148</v>
      </c>
      <c r="F182" s="9">
        <v>66</v>
      </c>
      <c r="G182" s="9">
        <v>811</v>
      </c>
      <c r="H182" s="5" t="s">
        <v>21</v>
      </c>
      <c r="I182" s="5" t="s">
        <v>534</v>
      </c>
      <c r="J182" s="12" t="str">
        <f>HYPERLINK("https://www.boe.es/gazeta/dias/1802/08/13/pdfs/GMD-1802-66.pdf#page=15","Abrir facsímil")</f>
        <v>Abrir facsímil</v>
      </c>
      <c r="K182" s="15" t="s">
        <v>23</v>
      </c>
    </row>
    <row r="183" spans="1:11" ht="42" customHeight="1">
      <c r="A183" s="4" t="s">
        <v>535</v>
      </c>
      <c r="B183" s="5" t="s">
        <v>536</v>
      </c>
      <c r="C183" s="5" t="s">
        <v>42</v>
      </c>
      <c r="D183" s="5" t="s">
        <v>43</v>
      </c>
      <c r="E183" s="5" t="s">
        <v>44</v>
      </c>
      <c r="F183" s="9">
        <v>99</v>
      </c>
      <c r="G183" s="9" t="s">
        <v>537</v>
      </c>
      <c r="H183" s="5" t="s">
        <v>21</v>
      </c>
      <c r="I183" s="5" t="s">
        <v>538</v>
      </c>
      <c r="J183" s="12" t="str">
        <f>HYPERLINK("https://www.boe.es/gazeta/dias/1802/12/07/pdfs/GMD-D-1802-99.pdf#page=9","Abrir facsímil")</f>
        <v>Abrir facsímil</v>
      </c>
      <c r="K183" s="15" t="s">
        <v>23</v>
      </c>
    </row>
    <row r="184" spans="1:11" ht="42" customHeight="1">
      <c r="A184" s="4" t="s">
        <v>539</v>
      </c>
      <c r="B184" s="5" t="s">
        <v>540</v>
      </c>
      <c r="C184" s="5" t="s">
        <v>42</v>
      </c>
      <c r="D184" s="5" t="s">
        <v>43</v>
      </c>
      <c r="E184" s="5" t="s">
        <v>44</v>
      </c>
      <c r="F184" s="9">
        <v>99</v>
      </c>
      <c r="G184" s="9" t="s">
        <v>314</v>
      </c>
      <c r="H184" s="5" t="s">
        <v>21</v>
      </c>
      <c r="I184" s="5" t="s">
        <v>541</v>
      </c>
      <c r="J184" s="12" t="str">
        <f>HYPERLINK("https://www.boe.es/gazeta/dias/1802/12/07/pdfs/GMD-D-1802-99.pdf#page=2","Abrir facsímil")</f>
        <v>Abrir facsímil</v>
      </c>
      <c r="K184" s="15" t="s">
        <v>23</v>
      </c>
    </row>
    <row r="185" spans="1:11" ht="42" customHeight="1">
      <c r="A185" s="4" t="s">
        <v>542</v>
      </c>
      <c r="B185" s="5" t="s">
        <v>543</v>
      </c>
      <c r="C185" s="5" t="s">
        <v>42</v>
      </c>
      <c r="D185" s="5" t="s">
        <v>43</v>
      </c>
      <c r="E185" s="5" t="s">
        <v>44</v>
      </c>
      <c r="F185" s="9">
        <v>99</v>
      </c>
      <c r="G185" s="9" t="s">
        <v>544</v>
      </c>
      <c r="H185" s="5" t="s">
        <v>21</v>
      </c>
      <c r="I185" s="5" t="s">
        <v>545</v>
      </c>
      <c r="J185" s="12" t="str">
        <f>HYPERLINK("https://www.boe.es/gazeta/dias/1802/12/07/pdfs/GMD-D-1802-99.pdf#page=11","Abrir facsímil")</f>
        <v>Abrir facsímil</v>
      </c>
      <c r="K185" s="15" t="s">
        <v>23</v>
      </c>
    </row>
    <row r="186" spans="1:11" ht="42" customHeight="1">
      <c r="A186" s="4" t="s">
        <v>546</v>
      </c>
      <c r="B186" s="5" t="s">
        <v>547</v>
      </c>
      <c r="C186" s="5" t="s">
        <v>42</v>
      </c>
      <c r="D186" s="5" t="s">
        <v>43</v>
      </c>
      <c r="E186" s="5" t="s">
        <v>44</v>
      </c>
      <c r="F186" s="9">
        <v>99</v>
      </c>
      <c r="G186" s="9" t="s">
        <v>548</v>
      </c>
      <c r="H186" s="5" t="s">
        <v>21</v>
      </c>
      <c r="I186" s="5" t="s">
        <v>549</v>
      </c>
      <c r="J186" s="12" t="str">
        <f>HYPERLINK("https://www.boe.es/gazeta/dias/1802/12/07/pdfs/GMD-D-1802-99.pdf#page=12","Abrir facsímil")</f>
        <v>Abrir facsímil</v>
      </c>
      <c r="K186" s="15" t="s">
        <v>23</v>
      </c>
    </row>
    <row r="187" spans="1:11" ht="42" customHeight="1">
      <c r="A187" s="4" t="s">
        <v>546</v>
      </c>
      <c r="B187" s="5" t="s">
        <v>547</v>
      </c>
      <c r="C187" s="5" t="s">
        <v>42</v>
      </c>
      <c r="D187" s="5" t="s">
        <v>43</v>
      </c>
      <c r="E187" s="5" t="s">
        <v>44</v>
      </c>
      <c r="F187" s="9">
        <v>99</v>
      </c>
      <c r="G187" s="9" t="s">
        <v>550</v>
      </c>
      <c r="H187" s="5" t="s">
        <v>21</v>
      </c>
      <c r="I187" s="5" t="s">
        <v>551</v>
      </c>
      <c r="J187" s="12" t="str">
        <f>HYPERLINK("https://www.boe.es/gazeta/dias/1802/12/07/pdfs/GMD-D-1802-99.pdf#page=16","Abrir facsímil")</f>
        <v>Abrir facsímil</v>
      </c>
      <c r="K187" s="15" t="s">
        <v>23</v>
      </c>
    </row>
    <row r="188" spans="1:11" ht="42" customHeight="1">
      <c r="A188" s="4" t="s">
        <v>552</v>
      </c>
      <c r="B188" s="5" t="s">
        <v>553</v>
      </c>
      <c r="C188" s="5" t="s">
        <v>42</v>
      </c>
      <c r="D188" s="5" t="s">
        <v>43</v>
      </c>
      <c r="E188" s="5" t="s">
        <v>44</v>
      </c>
      <c r="F188" s="9">
        <v>99</v>
      </c>
      <c r="G188" s="9" t="s">
        <v>554</v>
      </c>
      <c r="H188" s="5" t="s">
        <v>21</v>
      </c>
      <c r="I188" s="5" t="s">
        <v>555</v>
      </c>
      <c r="J188" s="12" t="str">
        <f>HYPERLINK("https://www.boe.es/gazeta/dias/1802/12/07/pdfs/GMD-D-1802-99.pdf#page=4","Abrir facsímil")</f>
        <v>Abrir facsímil</v>
      </c>
      <c r="K188" s="15" t="s">
        <v>23</v>
      </c>
    </row>
    <row r="189" spans="1:11" ht="42" customHeight="1">
      <c r="A189" s="4" t="s">
        <v>556</v>
      </c>
      <c r="B189" s="5" t="s">
        <v>557</v>
      </c>
      <c r="C189" s="5" t="s">
        <v>42</v>
      </c>
      <c r="D189" s="5" t="s">
        <v>43</v>
      </c>
      <c r="E189" s="5" t="s">
        <v>44</v>
      </c>
      <c r="F189" s="9">
        <v>99</v>
      </c>
      <c r="G189" s="9" t="s">
        <v>558</v>
      </c>
      <c r="H189" s="5" t="s">
        <v>21</v>
      </c>
      <c r="I189" s="5" t="s">
        <v>559</v>
      </c>
      <c r="J189" s="12" t="str">
        <f>HYPERLINK("https://www.boe.es/gazeta/dias/1802/12/07/pdfs/GMD-D-1802-99.pdf#page=1","Abrir facsímil")</f>
        <v>Abrir facsímil</v>
      </c>
      <c r="K189" s="15" t="s">
        <v>23</v>
      </c>
    </row>
    <row r="190" spans="1:11" ht="42" customHeight="1">
      <c r="A190" s="4" t="s">
        <v>560</v>
      </c>
      <c r="B190" s="5" t="s">
        <v>561</v>
      </c>
      <c r="C190" s="5" t="s">
        <v>18</v>
      </c>
      <c r="D190" s="5" t="s">
        <v>19</v>
      </c>
      <c r="E190" s="5" t="s">
        <v>49</v>
      </c>
      <c r="F190" s="9">
        <v>83</v>
      </c>
      <c r="G190" s="9">
        <v>1023</v>
      </c>
      <c r="H190" s="5" t="s">
        <v>21</v>
      </c>
      <c r="I190" s="5" t="s">
        <v>562</v>
      </c>
      <c r="J190" s="12" t="str">
        <f>HYPERLINK("https://www.boe.es/gazeta/dias/1802/10/12/pdfs/GMD-1802-83.pdf#page=11","Abrir facsímil")</f>
        <v>Abrir facsímil</v>
      </c>
      <c r="K190" s="15" t="s">
        <v>23</v>
      </c>
    </row>
    <row r="191" spans="1:11" ht="42" customHeight="1">
      <c r="A191" s="4" t="s">
        <v>563</v>
      </c>
      <c r="B191" s="5" t="s">
        <v>564</v>
      </c>
      <c r="C191" s="5" t="s">
        <v>18</v>
      </c>
      <c r="D191" s="5" t="s">
        <v>19</v>
      </c>
      <c r="E191" s="5" t="s">
        <v>49</v>
      </c>
      <c r="F191" s="9">
        <v>83</v>
      </c>
      <c r="G191" s="9">
        <v>1022</v>
      </c>
      <c r="H191" s="5" t="s">
        <v>21</v>
      </c>
      <c r="I191" s="5" t="s">
        <v>565</v>
      </c>
      <c r="J191" s="12" t="str">
        <f>HYPERLINK("https://www.boe.es/gazeta/dias/1802/10/12/pdfs/GMD-1802-83.pdf#page=10","Abrir facsímil")</f>
        <v>Abrir facsímil</v>
      </c>
      <c r="K191" s="15" t="s">
        <v>23</v>
      </c>
    </row>
    <row r="192" spans="1:11" ht="42" customHeight="1">
      <c r="A192" s="4" t="s">
        <v>563</v>
      </c>
      <c r="B192" s="5" t="s">
        <v>564</v>
      </c>
      <c r="C192" s="5" t="s">
        <v>42</v>
      </c>
      <c r="D192" s="5" t="s">
        <v>43</v>
      </c>
      <c r="E192" s="5" t="s">
        <v>44</v>
      </c>
      <c r="F192" s="9">
        <v>99</v>
      </c>
      <c r="G192" s="9" t="s">
        <v>251</v>
      </c>
      <c r="H192" s="5" t="s">
        <v>21</v>
      </c>
      <c r="I192" s="5" t="s">
        <v>566</v>
      </c>
      <c r="J192" s="12" t="str">
        <f>HYPERLINK("https://www.boe.es/gazeta/dias/1802/12/07/pdfs/GMD-D-1802-99.pdf#page=6","Abrir facsímil")</f>
        <v>Abrir facsímil</v>
      </c>
      <c r="K192" s="15" t="s">
        <v>23</v>
      </c>
    </row>
    <row r="193" spans="1:11" ht="42" customHeight="1">
      <c r="A193" s="4" t="s">
        <v>567</v>
      </c>
      <c r="B193" s="5" t="s">
        <v>568</v>
      </c>
      <c r="C193" s="5" t="s">
        <v>42</v>
      </c>
      <c r="D193" s="5" t="s">
        <v>43</v>
      </c>
      <c r="E193" s="5" t="s">
        <v>44</v>
      </c>
      <c r="F193" s="9">
        <v>99</v>
      </c>
      <c r="G193" s="9" t="s">
        <v>262</v>
      </c>
      <c r="H193" s="5" t="s">
        <v>21</v>
      </c>
      <c r="I193" s="5" t="s">
        <v>569</v>
      </c>
      <c r="J193" s="12" t="str">
        <f>HYPERLINK("https://www.boe.es/gazeta/dias/1802/12/07/pdfs/GMD-D-1802-99.pdf#page=8","Abrir facsímil")</f>
        <v>Abrir facsímil</v>
      </c>
      <c r="K193" s="15" t="s">
        <v>23</v>
      </c>
    </row>
    <row r="194" spans="1:11" ht="42" customHeight="1">
      <c r="A194" s="4" t="s">
        <v>570</v>
      </c>
      <c r="B194" s="5" t="s">
        <v>571</v>
      </c>
      <c r="C194" s="5" t="s">
        <v>572</v>
      </c>
      <c r="D194" s="5" t="s">
        <v>573</v>
      </c>
      <c r="E194" s="5" t="s">
        <v>574</v>
      </c>
      <c r="F194" s="9" t="s">
        <v>575</v>
      </c>
      <c r="G194" s="9">
        <v>710</v>
      </c>
      <c r="H194" s="5" t="s">
        <v>21</v>
      </c>
      <c r="I194" s="5" t="s">
        <v>576</v>
      </c>
      <c r="J194" s="12" t="str">
        <f>HYPERLINK("https://www.boe.es/gazeta/dias/1802/07/21/pdfs/GMD-1802-59E.pdf#page=6","Abrir facsímil")</f>
        <v>Abrir facsímil</v>
      </c>
      <c r="K194" s="15" t="s">
        <v>23</v>
      </c>
    </row>
    <row r="195" spans="1:11" ht="42" customHeight="1">
      <c r="A195" s="4" t="s">
        <v>577</v>
      </c>
      <c r="B195" s="5" t="s">
        <v>578</v>
      </c>
      <c r="C195" s="5" t="s">
        <v>160</v>
      </c>
      <c r="D195" s="5" t="s">
        <v>91</v>
      </c>
      <c r="E195" s="5" t="s">
        <v>232</v>
      </c>
      <c r="F195" s="9">
        <v>30</v>
      </c>
      <c r="G195" s="9">
        <v>351</v>
      </c>
      <c r="H195" s="5" t="s">
        <v>21</v>
      </c>
      <c r="I195" s="5" t="s">
        <v>579</v>
      </c>
      <c r="J195" s="12" t="str">
        <f>HYPERLINK("https://www.boe.es/gazeta/dias/1802/04/13/pdfs/GMD-1802-30.pdf#page=7","Abrir facsímil")</f>
        <v>Abrir facsímil</v>
      </c>
      <c r="K195" s="15" t="s">
        <v>23</v>
      </c>
    </row>
    <row r="196" spans="1:11" ht="42" customHeight="1">
      <c r="A196" s="4" t="s">
        <v>580</v>
      </c>
      <c r="B196" s="5" t="s">
        <v>581</v>
      </c>
      <c r="C196" s="5" t="s">
        <v>42</v>
      </c>
      <c r="D196" s="5" t="s">
        <v>43</v>
      </c>
      <c r="E196" s="5" t="s">
        <v>44</v>
      </c>
      <c r="F196" s="9">
        <v>99</v>
      </c>
      <c r="G196" s="9" t="s">
        <v>548</v>
      </c>
      <c r="H196" s="5" t="s">
        <v>21</v>
      </c>
      <c r="I196" s="5" t="s">
        <v>582</v>
      </c>
      <c r="J196" s="12" t="str">
        <f>HYPERLINK("https://www.boe.es/gazeta/dias/1802/12/07/pdfs/GMD-D-1802-99.pdf#page=12","Abrir facsímil")</f>
        <v>Abrir facsímil</v>
      </c>
      <c r="K196" s="15" t="s">
        <v>23</v>
      </c>
    </row>
    <row r="197" spans="1:11" ht="42" customHeight="1">
      <c r="A197" s="4" t="s">
        <v>583</v>
      </c>
      <c r="B197" s="5" t="s">
        <v>584</v>
      </c>
      <c r="C197" s="5" t="s">
        <v>42</v>
      </c>
      <c r="D197" s="5" t="s">
        <v>43</v>
      </c>
      <c r="E197" s="5" t="s">
        <v>44</v>
      </c>
      <c r="F197" s="9">
        <v>99</v>
      </c>
      <c r="G197" s="9" t="s">
        <v>554</v>
      </c>
      <c r="H197" s="5" t="s">
        <v>21</v>
      </c>
      <c r="I197" s="5" t="s">
        <v>585</v>
      </c>
      <c r="J197" s="12" t="str">
        <f>HYPERLINK("https://www.boe.es/gazeta/dias/1802/12/07/pdfs/GMD-D-1802-99.pdf#page=4","Abrir facsímil")</f>
        <v>Abrir facsímil</v>
      </c>
      <c r="K197" s="15" t="s">
        <v>23</v>
      </c>
    </row>
    <row r="198" spans="1:11" ht="42" customHeight="1">
      <c r="A198" s="4" t="s">
        <v>586</v>
      </c>
      <c r="B198" s="5" t="s">
        <v>587</v>
      </c>
      <c r="C198" s="5" t="s">
        <v>42</v>
      </c>
      <c r="D198" s="5" t="s">
        <v>43</v>
      </c>
      <c r="E198" s="5" t="s">
        <v>44</v>
      </c>
      <c r="F198" s="9">
        <v>99</v>
      </c>
      <c r="G198" s="9" t="s">
        <v>45</v>
      </c>
      <c r="H198" s="5" t="s">
        <v>21</v>
      </c>
      <c r="I198" s="5" t="s">
        <v>588</v>
      </c>
      <c r="J198" s="12" t="str">
        <f>HYPERLINK("https://www.boe.es/gazeta/dias/1802/12/07/pdfs/GMD-D-1802-99.pdf#page=14","Abrir facsímil")</f>
        <v>Abrir facsímil</v>
      </c>
      <c r="K198" s="15" t="s">
        <v>23</v>
      </c>
    </row>
    <row r="199" spans="1:11" ht="42" customHeight="1">
      <c r="A199" s="4" t="s">
        <v>589</v>
      </c>
      <c r="B199" s="5" t="s">
        <v>589</v>
      </c>
      <c r="C199" s="5" t="s">
        <v>55</v>
      </c>
      <c r="D199" s="5" t="s">
        <v>56</v>
      </c>
      <c r="E199" s="5" t="s">
        <v>590</v>
      </c>
      <c r="F199" s="9">
        <v>38</v>
      </c>
      <c r="G199" s="9">
        <v>455</v>
      </c>
      <c r="H199" s="5" t="s">
        <v>21</v>
      </c>
      <c r="I199" s="5" t="s">
        <v>591</v>
      </c>
      <c r="J199" s="12" t="str">
        <f>HYPERLINK("https://www.boe.es/gazeta/dias/1802/05/11/pdfs/GMD-1802-38.pdf#page=11","Abrir facsímil")</f>
        <v>Abrir facsímil</v>
      </c>
      <c r="K199" s="15" t="s">
        <v>23</v>
      </c>
    </row>
    <row r="200" spans="1:11" ht="42" customHeight="1">
      <c r="A200" s="4" t="s">
        <v>592</v>
      </c>
      <c r="B200" s="5" t="s">
        <v>592</v>
      </c>
      <c r="C200" s="5" t="s">
        <v>18</v>
      </c>
      <c r="D200" s="5" t="s">
        <v>19</v>
      </c>
      <c r="E200" s="5" t="s">
        <v>20</v>
      </c>
      <c r="F200" s="9">
        <v>84</v>
      </c>
      <c r="G200" s="9">
        <v>1044</v>
      </c>
      <c r="H200" s="5" t="s">
        <v>21</v>
      </c>
      <c r="I200" s="5" t="s">
        <v>593</v>
      </c>
      <c r="J200" s="12" t="str">
        <f>HYPERLINK("https://www.boe.es/gazeta/dias/1802/10/15/pdfs/GMD-1802-84.pdf#page=12","Abrir facsímil")</f>
        <v>Abrir facsímil</v>
      </c>
      <c r="K200" s="15" t="s">
        <v>23</v>
      </c>
    </row>
    <row r="201" spans="1:11" ht="42" customHeight="1">
      <c r="A201" s="4" t="s">
        <v>594</v>
      </c>
      <c r="B201" s="5" t="s">
        <v>594</v>
      </c>
      <c r="C201" s="5" t="s">
        <v>55</v>
      </c>
      <c r="D201" s="5" t="s">
        <v>56</v>
      </c>
      <c r="E201" s="5" t="s">
        <v>436</v>
      </c>
      <c r="F201" s="9">
        <v>58</v>
      </c>
      <c r="G201" s="9">
        <v>703</v>
      </c>
      <c r="H201" s="5" t="s">
        <v>21</v>
      </c>
      <c r="I201" s="5" t="s">
        <v>595</v>
      </c>
      <c r="J201" s="12" t="str">
        <f>HYPERLINK("https://www.boe.es/gazeta/dias/1802/07/20/pdfs/GMD-1802-58.pdf#page=11","Abrir facsímil")</f>
        <v>Abrir facsímil</v>
      </c>
      <c r="K201" s="15" t="s">
        <v>23</v>
      </c>
    </row>
    <row r="202" spans="1:11" ht="42" customHeight="1">
      <c r="A202" s="4" t="s">
        <v>596</v>
      </c>
      <c r="B202" s="5" t="s">
        <v>597</v>
      </c>
      <c r="C202" s="5" t="s">
        <v>55</v>
      </c>
      <c r="D202" s="5" t="s">
        <v>56</v>
      </c>
      <c r="E202" s="5" t="s">
        <v>114</v>
      </c>
      <c r="F202" s="9">
        <v>82</v>
      </c>
      <c r="G202" s="9">
        <v>1011</v>
      </c>
      <c r="H202" s="5" t="s">
        <v>21</v>
      </c>
      <c r="I202" s="5" t="s">
        <v>598</v>
      </c>
      <c r="J202" s="12" t="str">
        <f>HYPERLINK("https://www.boe.es/gazeta/dias/1802/10/08/pdfs/GMD-1802-82.pdf#page=11","Abrir facsímil")</f>
        <v>Abrir facsímil</v>
      </c>
      <c r="K202" s="15" t="s">
        <v>23</v>
      </c>
    </row>
    <row r="203" spans="1:11" ht="42" customHeight="1">
      <c r="A203" s="4" t="s">
        <v>599</v>
      </c>
      <c r="B203" s="5" t="s">
        <v>600</v>
      </c>
      <c r="C203" s="5" t="s">
        <v>18</v>
      </c>
      <c r="D203" s="5" t="s">
        <v>19</v>
      </c>
      <c r="E203" s="5" t="s">
        <v>20</v>
      </c>
      <c r="F203" s="9">
        <v>84</v>
      </c>
      <c r="G203" s="9">
        <v>1046</v>
      </c>
      <c r="H203" s="5" t="s">
        <v>21</v>
      </c>
      <c r="I203" s="5" t="s">
        <v>601</v>
      </c>
      <c r="J203" s="12" t="str">
        <f>HYPERLINK("https://www.boe.es/gazeta/dias/1802/10/15/pdfs/GMD-1802-84.pdf#page=14","Abrir facsímil")</f>
        <v>Abrir facsímil</v>
      </c>
      <c r="K203" s="15" t="s">
        <v>23</v>
      </c>
    </row>
    <row r="204" spans="1:11" ht="42" customHeight="1">
      <c r="A204" s="4" t="s">
        <v>602</v>
      </c>
      <c r="B204" s="5" t="s">
        <v>603</v>
      </c>
      <c r="C204" s="5" t="s">
        <v>55</v>
      </c>
      <c r="D204" s="5" t="s">
        <v>56</v>
      </c>
      <c r="E204" s="5" t="s">
        <v>604</v>
      </c>
      <c r="F204" s="9">
        <v>100</v>
      </c>
      <c r="G204" s="9">
        <v>1236</v>
      </c>
      <c r="H204" s="5" t="s">
        <v>21</v>
      </c>
      <c r="I204" s="5" t="s">
        <v>605</v>
      </c>
      <c r="J204" s="12" t="str">
        <f>HYPERLINK("https://www.boe.es/gazeta/dias/1802/12/10/pdfs/GMD-1802-100.pdf#page=8","Abrir facsímil")</f>
        <v>Abrir facsímil</v>
      </c>
      <c r="K204" s="15" t="s">
        <v>23</v>
      </c>
    </row>
    <row r="205" spans="1:11" ht="42" customHeight="1">
      <c r="A205" s="4" t="s">
        <v>606</v>
      </c>
      <c r="B205" s="5" t="s">
        <v>607</v>
      </c>
      <c r="C205" s="5" t="s">
        <v>29</v>
      </c>
      <c r="D205" s="5" t="s">
        <v>30</v>
      </c>
      <c r="E205" s="5" t="s">
        <v>517</v>
      </c>
      <c r="F205" s="9">
        <v>61</v>
      </c>
      <c r="G205" s="9">
        <v>740</v>
      </c>
      <c r="H205" s="5" t="s">
        <v>21</v>
      </c>
      <c r="I205" s="5" t="s">
        <v>608</v>
      </c>
      <c r="J205" s="12" t="str">
        <f>HYPERLINK("https://www.boe.es/gazeta/dias/1802/07/27/pdfs/GMD-1802-61.pdf#page=8","Abrir facsímil")</f>
        <v>Abrir facsímil</v>
      </c>
      <c r="K205" s="15" t="s">
        <v>23</v>
      </c>
    </row>
    <row r="206" spans="1:11" ht="42" customHeight="1">
      <c r="A206" s="4" t="s">
        <v>609</v>
      </c>
      <c r="B206" s="5" t="s">
        <v>610</v>
      </c>
      <c r="C206" s="5" t="s">
        <v>90</v>
      </c>
      <c r="D206" s="5" t="s">
        <v>91</v>
      </c>
      <c r="E206" s="5" t="s">
        <v>611</v>
      </c>
      <c r="F206" s="9">
        <v>68</v>
      </c>
      <c r="G206" s="9">
        <v>826</v>
      </c>
      <c r="H206" s="5" t="s">
        <v>21</v>
      </c>
      <c r="I206" s="5" t="s">
        <v>612</v>
      </c>
      <c r="J206" s="12" t="str">
        <f>HYPERLINK("https://www.boe.es/gazeta/dias/1802/08/20/pdfs/GMD-1802-68.pdf#page=2","Abrir facsímil")</f>
        <v>Abrir facsímil</v>
      </c>
      <c r="K206" s="15" t="s">
        <v>23</v>
      </c>
    </row>
    <row r="207" spans="1:11" ht="42" customHeight="1">
      <c r="A207" s="4" t="s">
        <v>609</v>
      </c>
      <c r="B207" s="5" t="s">
        <v>610</v>
      </c>
      <c r="C207" s="5" t="s">
        <v>35</v>
      </c>
      <c r="D207" s="5" t="s">
        <v>36</v>
      </c>
      <c r="E207" s="5" t="s">
        <v>443</v>
      </c>
      <c r="F207" s="9">
        <v>78</v>
      </c>
      <c r="G207" s="9">
        <v>953</v>
      </c>
      <c r="H207" s="5" t="s">
        <v>21</v>
      </c>
      <c r="I207" s="5" t="s">
        <v>613</v>
      </c>
      <c r="J207" s="12" t="str">
        <f>HYPERLINK("https://www.boe.es/gazeta/dias/1802/09/24/pdfs/GMD-1802-78.pdf#page=1","Abrir facsímil")</f>
        <v>Abrir facsímil</v>
      </c>
      <c r="K207" s="15" t="s">
        <v>23</v>
      </c>
    </row>
    <row r="208" spans="1:11" ht="42" customHeight="1">
      <c r="A208" s="4" t="s">
        <v>614</v>
      </c>
      <c r="B208" s="5" t="s">
        <v>615</v>
      </c>
      <c r="C208" s="5" t="s">
        <v>35</v>
      </c>
      <c r="D208" s="5" t="s">
        <v>36</v>
      </c>
      <c r="E208" s="5" t="s">
        <v>276</v>
      </c>
      <c r="F208" s="9">
        <v>75</v>
      </c>
      <c r="G208" s="9">
        <v>917</v>
      </c>
      <c r="H208" s="5" t="s">
        <v>21</v>
      </c>
      <c r="I208" s="5" t="s">
        <v>616</v>
      </c>
      <c r="J208" s="12" t="str">
        <f>HYPERLINK("https://www.boe.es/gazeta/dias/1802/09/14/pdfs/GMD-1802-75.pdf#page=1","Abrir facsímil")</f>
        <v>Abrir facsímil</v>
      </c>
      <c r="K208" s="15" t="s">
        <v>23</v>
      </c>
    </row>
    <row r="209" spans="1:11" ht="42" customHeight="1">
      <c r="A209" s="4" t="s">
        <v>617</v>
      </c>
      <c r="B209" s="5" t="s">
        <v>618</v>
      </c>
      <c r="C209" s="5" t="s">
        <v>18</v>
      </c>
      <c r="D209" s="5" t="s">
        <v>19</v>
      </c>
      <c r="E209" s="5" t="s">
        <v>439</v>
      </c>
      <c r="F209" s="9">
        <v>76</v>
      </c>
      <c r="G209" s="9">
        <v>940</v>
      </c>
      <c r="H209" s="5" t="s">
        <v>21</v>
      </c>
      <c r="I209" s="5" t="s">
        <v>619</v>
      </c>
      <c r="J209" s="12" t="str">
        <f>HYPERLINK("https://www.boe.es/gazeta/dias/1802/09/17/pdfs/GMD-1802-76.pdf#page=12","Abrir facsímil")</f>
        <v>Abrir facsímil</v>
      </c>
      <c r="K209" s="15" t="s">
        <v>23</v>
      </c>
    </row>
    <row r="210" spans="1:11" ht="42" customHeight="1">
      <c r="A210" s="4" t="s">
        <v>620</v>
      </c>
      <c r="B210" s="5" t="s">
        <v>621</v>
      </c>
      <c r="C210" s="5" t="s">
        <v>35</v>
      </c>
      <c r="D210" s="5" t="s">
        <v>36</v>
      </c>
      <c r="E210" s="5" t="s">
        <v>172</v>
      </c>
      <c r="F210" s="9">
        <v>35</v>
      </c>
      <c r="G210" s="9">
        <v>405</v>
      </c>
      <c r="H210" s="5" t="s">
        <v>21</v>
      </c>
      <c r="I210" s="5" t="s">
        <v>622</v>
      </c>
      <c r="J210" s="12" t="str">
        <f>HYPERLINK("https://www.boe.es/gazeta/dias/1802/04/30/pdfs/GMD-1802-35.pdf#page=5","Abrir facsímil")</f>
        <v>Abrir facsímil</v>
      </c>
      <c r="K210" s="15" t="s">
        <v>23</v>
      </c>
    </row>
    <row r="211" spans="1:11" ht="42" customHeight="1">
      <c r="A211" s="4" t="s">
        <v>623</v>
      </c>
      <c r="B211" s="5" t="s">
        <v>624</v>
      </c>
      <c r="C211" s="5" t="s">
        <v>18</v>
      </c>
      <c r="D211" s="5" t="s">
        <v>19</v>
      </c>
      <c r="E211" s="5" t="s">
        <v>183</v>
      </c>
      <c r="F211" s="9">
        <v>56</v>
      </c>
      <c r="G211" s="9">
        <v>679</v>
      </c>
      <c r="H211" s="5" t="s">
        <v>21</v>
      </c>
      <c r="I211" s="5" t="s">
        <v>625</v>
      </c>
      <c r="J211" s="12" t="str">
        <f>HYPERLINK("https://www.boe.es/gazeta/dias/1802/07/13/pdfs/GMD-1802-56.pdf#page=11","Abrir facsímil")</f>
        <v>Abrir facsímil</v>
      </c>
      <c r="K211" s="15" t="s">
        <v>23</v>
      </c>
    </row>
    <row r="212" spans="1:11" ht="42" customHeight="1">
      <c r="A212" s="4" t="s">
        <v>626</v>
      </c>
      <c r="B212" s="5" t="s">
        <v>627</v>
      </c>
      <c r="C212" s="5" t="s">
        <v>18</v>
      </c>
      <c r="D212" s="5" t="s">
        <v>19</v>
      </c>
      <c r="E212" s="5" t="s">
        <v>49</v>
      </c>
      <c r="F212" s="9">
        <v>83</v>
      </c>
      <c r="G212" s="9">
        <v>1026</v>
      </c>
      <c r="H212" s="5" t="s">
        <v>21</v>
      </c>
      <c r="I212" s="5" t="s">
        <v>628</v>
      </c>
      <c r="J212" s="12" t="str">
        <f>HYPERLINK("https://www.boe.es/gazeta/dias/1802/10/12/pdfs/GMD-1802-83.pdf#page=14","Abrir facsímil")</f>
        <v>Abrir facsímil</v>
      </c>
      <c r="K212" s="15" t="s">
        <v>23</v>
      </c>
    </row>
    <row r="213" spans="1:11" ht="42" customHeight="1">
      <c r="A213" s="4" t="s">
        <v>629</v>
      </c>
      <c r="B213" s="5" t="s">
        <v>630</v>
      </c>
      <c r="C213" s="5" t="s">
        <v>90</v>
      </c>
      <c r="D213" s="5" t="s">
        <v>91</v>
      </c>
      <c r="E213" s="5" t="s">
        <v>631</v>
      </c>
      <c r="F213" s="9">
        <v>36</v>
      </c>
      <c r="G213" s="9">
        <v>430</v>
      </c>
      <c r="H213" s="5" t="s">
        <v>21</v>
      </c>
      <c r="I213" s="5" t="s">
        <v>632</v>
      </c>
      <c r="J213" s="12" t="str">
        <f>HYPERLINK("https://www.boe.es/gazeta/dias/1802/05/04/pdfs/GMD-1802-36.pdf#page=10","Abrir facsímil")</f>
        <v>Abrir facsímil</v>
      </c>
      <c r="K213" s="15" t="s">
        <v>23</v>
      </c>
    </row>
    <row r="214" spans="1:11" ht="42" customHeight="1">
      <c r="A214" s="4" t="s">
        <v>633</v>
      </c>
      <c r="B214" s="5" t="s">
        <v>634</v>
      </c>
      <c r="C214" s="5" t="s">
        <v>29</v>
      </c>
      <c r="D214" s="5" t="s">
        <v>30</v>
      </c>
      <c r="E214" s="5" t="s">
        <v>635</v>
      </c>
      <c r="F214" s="9">
        <v>47</v>
      </c>
      <c r="G214" s="9">
        <v>573</v>
      </c>
      <c r="H214" s="5" t="s">
        <v>21</v>
      </c>
      <c r="I214" s="5" t="s">
        <v>636</v>
      </c>
      <c r="J214" s="12" t="str">
        <f>HYPERLINK("https://www.boe.es/gazeta/dias/1802/06/11/pdfs/GMD-1802-47.pdf#page=9","Abrir facsímil")</f>
        <v>Abrir facsímil</v>
      </c>
      <c r="K214" s="15" t="s">
        <v>23</v>
      </c>
    </row>
    <row r="215" spans="1:11" ht="42" customHeight="1">
      <c r="A215" s="4" t="s">
        <v>637</v>
      </c>
      <c r="B215" s="5" t="s">
        <v>638</v>
      </c>
      <c r="C215" s="5" t="s">
        <v>90</v>
      </c>
      <c r="D215" s="5" t="s">
        <v>91</v>
      </c>
      <c r="E215" s="5" t="s">
        <v>128</v>
      </c>
      <c r="F215" s="9">
        <v>9</v>
      </c>
      <c r="G215" s="9">
        <v>89</v>
      </c>
      <c r="H215" s="5" t="s">
        <v>21</v>
      </c>
      <c r="I215" s="5" t="s">
        <v>639</v>
      </c>
      <c r="J215" s="12" t="str">
        <f>HYPERLINK("https://www.boe.es/gazeta/dias/1802/01/29/pdfs/GMD-1802-9.pdf#page=9","Abrir facsímil")</f>
        <v>Abrir facsímil</v>
      </c>
      <c r="K215" s="15" t="s">
        <v>23</v>
      </c>
    </row>
    <row r="216" spans="1:11" ht="42" customHeight="1">
      <c r="A216" s="4" t="s">
        <v>640</v>
      </c>
      <c r="B216" s="5" t="s">
        <v>641</v>
      </c>
      <c r="C216" s="5" t="s">
        <v>90</v>
      </c>
      <c r="D216" s="5" t="s">
        <v>91</v>
      </c>
      <c r="E216" s="5" t="s">
        <v>642</v>
      </c>
      <c r="F216" s="9">
        <v>51</v>
      </c>
      <c r="G216" s="9">
        <v>614</v>
      </c>
      <c r="H216" s="5" t="s">
        <v>21</v>
      </c>
      <c r="I216" s="5" t="s">
        <v>643</v>
      </c>
      <c r="J216" s="12" t="str">
        <f>HYPERLINK("https://www.boe.es/gazeta/dias/1802/06/25/pdfs/GMD-1802-51.pdf#page=2","Abrir facsímil")</f>
        <v>Abrir facsímil</v>
      </c>
      <c r="K216" s="15" t="s">
        <v>23</v>
      </c>
    </row>
    <row r="217" spans="1:11" ht="42" customHeight="1">
      <c r="A217" s="4" t="s">
        <v>644</v>
      </c>
      <c r="B217" s="5" t="s">
        <v>645</v>
      </c>
      <c r="C217" s="5" t="s">
        <v>55</v>
      </c>
      <c r="D217" s="5" t="s">
        <v>56</v>
      </c>
      <c r="E217" s="5" t="s">
        <v>332</v>
      </c>
      <c r="F217" s="9">
        <v>24</v>
      </c>
      <c r="G217" s="9">
        <v>276</v>
      </c>
      <c r="H217" s="5" t="s">
        <v>21</v>
      </c>
      <c r="I217" s="5" t="s">
        <v>646</v>
      </c>
      <c r="J217" s="12" t="str">
        <f>HYPERLINK("https://www.boe.es/gazeta/dias/1802/03/23/pdfs/GMD-1802-24.pdf#page=12","Abrir facsímil")</f>
        <v>Abrir facsímil</v>
      </c>
      <c r="K217" s="15" t="s">
        <v>23</v>
      </c>
    </row>
    <row r="218" spans="1:11" ht="42" customHeight="1">
      <c r="A218" s="4" t="s">
        <v>647</v>
      </c>
      <c r="B218" s="5" t="s">
        <v>648</v>
      </c>
      <c r="C218" s="5" t="s">
        <v>18</v>
      </c>
      <c r="D218" s="5" t="s">
        <v>19</v>
      </c>
      <c r="E218" s="5" t="s">
        <v>49</v>
      </c>
      <c r="F218" s="9">
        <v>83</v>
      </c>
      <c r="G218" s="9">
        <v>1022</v>
      </c>
      <c r="H218" s="5" t="s">
        <v>21</v>
      </c>
      <c r="I218" s="5" t="s">
        <v>649</v>
      </c>
      <c r="J218" s="12" t="str">
        <f>HYPERLINK("https://www.boe.es/gazeta/dias/1802/10/12/pdfs/GMD-1802-83.pdf#page=10","Abrir facsímil")</f>
        <v>Abrir facsímil</v>
      </c>
      <c r="K218" s="15" t="s">
        <v>23</v>
      </c>
    </row>
    <row r="219" spans="1:11" ht="42" customHeight="1">
      <c r="A219" s="4" t="s">
        <v>650</v>
      </c>
      <c r="B219" s="5" t="s">
        <v>650</v>
      </c>
      <c r="C219" s="5" t="s">
        <v>29</v>
      </c>
      <c r="D219" s="5" t="s">
        <v>30</v>
      </c>
      <c r="E219" s="5" t="s">
        <v>481</v>
      </c>
      <c r="F219" s="9">
        <v>79</v>
      </c>
      <c r="G219" s="9">
        <v>974</v>
      </c>
      <c r="H219" s="5" t="s">
        <v>21</v>
      </c>
      <c r="I219" s="5" t="s">
        <v>651</v>
      </c>
      <c r="J219" s="12" t="str">
        <f>HYPERLINK("https://www.boe.es/gazeta/dias/1802/09/28/pdfs/GMD-1802-79.pdf#page=10","Abrir facsímil")</f>
        <v>Abrir facsímil</v>
      </c>
      <c r="K219" s="15" t="s">
        <v>23</v>
      </c>
    </row>
    <row r="220" spans="1:11" ht="42" customHeight="1">
      <c r="A220" s="4" t="s">
        <v>652</v>
      </c>
      <c r="B220" s="5" t="s">
        <v>652</v>
      </c>
      <c r="C220" s="5" t="s">
        <v>160</v>
      </c>
      <c r="D220" s="5" t="s">
        <v>91</v>
      </c>
      <c r="E220" s="5" t="s">
        <v>332</v>
      </c>
      <c r="F220" s="9">
        <v>24</v>
      </c>
      <c r="G220" s="9">
        <v>274</v>
      </c>
      <c r="H220" s="5" t="s">
        <v>21</v>
      </c>
      <c r="I220" s="5" t="s">
        <v>653</v>
      </c>
      <c r="J220" s="12" t="str">
        <f>HYPERLINK("https://www.boe.es/gazeta/dias/1802/03/23/pdfs/GMD-1802-24.pdf#page=10","Abrir facsímil")</f>
        <v>Abrir facsímil</v>
      </c>
      <c r="K220" s="15" t="s">
        <v>23</v>
      </c>
    </row>
    <row r="221" spans="1:11" ht="42" customHeight="1">
      <c r="A221" s="4" t="s">
        <v>654</v>
      </c>
      <c r="B221" s="5" t="s">
        <v>654</v>
      </c>
      <c r="C221" s="5" t="s">
        <v>90</v>
      </c>
      <c r="D221" s="5" t="s">
        <v>91</v>
      </c>
      <c r="E221" s="5" t="s">
        <v>655</v>
      </c>
      <c r="F221" s="9">
        <v>46</v>
      </c>
      <c r="G221" s="9">
        <v>558</v>
      </c>
      <c r="H221" s="5" t="s">
        <v>21</v>
      </c>
      <c r="I221" s="5" t="s">
        <v>656</v>
      </c>
      <c r="J221" s="12" t="str">
        <f>HYPERLINK("https://www.boe.es/gazeta/dias/1802/06/08/pdfs/GMD-1802-46.pdf#page=10","Abrir facsímil")</f>
        <v>Abrir facsímil</v>
      </c>
      <c r="K221" s="15" t="s">
        <v>23</v>
      </c>
    </row>
    <row r="222" spans="1:11" ht="42" customHeight="1">
      <c r="A222" s="4" t="s">
        <v>657</v>
      </c>
      <c r="B222" s="5" t="s">
        <v>658</v>
      </c>
      <c r="C222" s="5" t="s">
        <v>90</v>
      </c>
      <c r="D222" s="5" t="s">
        <v>91</v>
      </c>
      <c r="E222" s="5" t="s">
        <v>481</v>
      </c>
      <c r="F222" s="9">
        <v>79</v>
      </c>
      <c r="G222" s="9">
        <v>974</v>
      </c>
      <c r="H222" s="5" t="s">
        <v>21</v>
      </c>
      <c r="I222" s="5" t="s">
        <v>659</v>
      </c>
      <c r="J222" s="12" t="str">
        <f>HYPERLINK("https://www.boe.es/gazeta/dias/1802/09/28/pdfs/GMD-1802-79.pdf#page=10","Abrir facsímil")</f>
        <v>Abrir facsímil</v>
      </c>
      <c r="K222" s="15" t="s">
        <v>23</v>
      </c>
    </row>
    <row r="223" spans="1:11" ht="42" customHeight="1">
      <c r="A223" s="4" t="s">
        <v>660</v>
      </c>
      <c r="B223" s="5" t="s">
        <v>661</v>
      </c>
      <c r="C223" s="5" t="s">
        <v>42</v>
      </c>
      <c r="D223" s="5" t="s">
        <v>43</v>
      </c>
      <c r="E223" s="5" t="s">
        <v>44</v>
      </c>
      <c r="F223" s="9">
        <v>99</v>
      </c>
      <c r="G223" s="9" t="s">
        <v>554</v>
      </c>
      <c r="H223" s="5" t="s">
        <v>21</v>
      </c>
      <c r="I223" s="5" t="s">
        <v>662</v>
      </c>
      <c r="J223" s="12" t="str">
        <f>HYPERLINK("https://www.boe.es/gazeta/dias/1802/12/07/pdfs/GMD-D-1802-99.pdf#page=4","Abrir facsímil")</f>
        <v>Abrir facsímil</v>
      </c>
      <c r="K223" s="15" t="s">
        <v>23</v>
      </c>
    </row>
    <row r="224" spans="1:11" ht="42" customHeight="1">
      <c r="A224" s="4" t="s">
        <v>663</v>
      </c>
      <c r="B224" s="5" t="s">
        <v>664</v>
      </c>
      <c r="C224" s="5" t="s">
        <v>18</v>
      </c>
      <c r="D224" s="5" t="s">
        <v>19</v>
      </c>
      <c r="E224" s="5" t="s">
        <v>49</v>
      </c>
      <c r="F224" s="9">
        <v>83</v>
      </c>
      <c r="G224" s="9">
        <v>1022</v>
      </c>
      <c r="H224" s="5" t="s">
        <v>21</v>
      </c>
      <c r="I224" s="5" t="s">
        <v>665</v>
      </c>
      <c r="J224" s="12" t="str">
        <f>HYPERLINK("https://www.boe.es/gazeta/dias/1802/10/12/pdfs/GMD-1802-83.pdf#page=10","Abrir facsímil")</f>
        <v>Abrir facsímil</v>
      </c>
      <c r="K224" s="15" t="s">
        <v>23</v>
      </c>
    </row>
    <row r="225" spans="1:11" ht="42" customHeight="1">
      <c r="A225" s="4" t="s">
        <v>666</v>
      </c>
      <c r="B225" s="5" t="s">
        <v>667</v>
      </c>
      <c r="C225" s="5" t="s">
        <v>35</v>
      </c>
      <c r="D225" s="5" t="s">
        <v>36</v>
      </c>
      <c r="E225" s="5" t="s">
        <v>71</v>
      </c>
      <c r="F225" s="9">
        <v>21</v>
      </c>
      <c r="G225" s="9">
        <v>225</v>
      </c>
      <c r="H225" s="5" t="s">
        <v>21</v>
      </c>
      <c r="I225" s="5" t="s">
        <v>668</v>
      </c>
      <c r="J225" s="12" t="str">
        <f>HYPERLINK("https://www.boe.es/gazeta/dias/1802/03/12/pdfs/GMD-1802-21.pdf#page=1","Abrir facsímil")</f>
        <v>Abrir facsímil</v>
      </c>
      <c r="K225" s="15" t="s">
        <v>23</v>
      </c>
    </row>
    <row r="226" spans="1:11" ht="42" customHeight="1">
      <c r="A226" s="4" t="s">
        <v>669</v>
      </c>
      <c r="B226" s="5" t="s">
        <v>669</v>
      </c>
      <c r="C226" s="5" t="s">
        <v>90</v>
      </c>
      <c r="D226" s="5" t="s">
        <v>91</v>
      </c>
      <c r="E226" s="5" t="s">
        <v>670</v>
      </c>
      <c r="F226" s="9">
        <v>40</v>
      </c>
      <c r="G226" s="9">
        <v>481</v>
      </c>
      <c r="H226" s="5" t="s">
        <v>21</v>
      </c>
      <c r="I226" s="5" t="s">
        <v>671</v>
      </c>
      <c r="J226" s="12" t="str">
        <f>HYPERLINK("https://www.boe.es/gazeta/dias/1802/05/18/pdfs/GMD-1802-40.pdf#page=9","Abrir facsímil")</f>
        <v>Abrir facsímil</v>
      </c>
      <c r="K226" s="15" t="s">
        <v>23</v>
      </c>
    </row>
    <row r="227" spans="1:11" ht="42" customHeight="1">
      <c r="A227" s="4" t="s">
        <v>672</v>
      </c>
      <c r="B227" s="5" t="s">
        <v>672</v>
      </c>
      <c r="C227" s="5" t="s">
        <v>42</v>
      </c>
      <c r="D227" s="5" t="s">
        <v>43</v>
      </c>
      <c r="E227" s="5" t="s">
        <v>44</v>
      </c>
      <c r="F227" s="9">
        <v>99</v>
      </c>
      <c r="G227" s="9" t="s">
        <v>322</v>
      </c>
      <c r="H227" s="5" t="s">
        <v>21</v>
      </c>
      <c r="I227" s="5" t="s">
        <v>673</v>
      </c>
      <c r="J227" s="12" t="str">
        <f>HYPERLINK("https://www.boe.es/gazeta/dias/1802/12/07/pdfs/GMD-D-1802-99.pdf#page=10","Abrir facsímil")</f>
        <v>Abrir facsímil</v>
      </c>
      <c r="K227" s="15" t="s">
        <v>23</v>
      </c>
    </row>
    <row r="228" spans="1:11" ht="42" customHeight="1">
      <c r="A228" s="4" t="s">
        <v>674</v>
      </c>
      <c r="B228" s="5" t="s">
        <v>674</v>
      </c>
      <c r="C228" s="5" t="s">
        <v>160</v>
      </c>
      <c r="D228" s="5" t="s">
        <v>91</v>
      </c>
      <c r="E228" s="5" t="s">
        <v>219</v>
      </c>
      <c r="F228" s="9">
        <v>81</v>
      </c>
      <c r="G228" s="9">
        <v>998</v>
      </c>
      <c r="H228" s="5" t="s">
        <v>21</v>
      </c>
      <c r="I228" s="5" t="s">
        <v>675</v>
      </c>
      <c r="J228" s="12" t="str">
        <f>HYPERLINK("https://www.boe.es/gazeta/dias/1802/10/05/pdfs/GMD-1802-81.pdf#page=10","Abrir facsímil")</f>
        <v>Abrir facsímil</v>
      </c>
      <c r="K228" s="15" t="s">
        <v>23</v>
      </c>
    </row>
    <row r="229" spans="1:11" ht="42" customHeight="1">
      <c r="A229" s="4" t="s">
        <v>676</v>
      </c>
      <c r="B229" s="5" t="s">
        <v>677</v>
      </c>
      <c r="C229" s="5" t="s">
        <v>90</v>
      </c>
      <c r="D229" s="5" t="s">
        <v>91</v>
      </c>
      <c r="E229" s="5" t="s">
        <v>678</v>
      </c>
      <c r="F229" s="9">
        <v>15</v>
      </c>
      <c r="G229" s="9">
        <v>158</v>
      </c>
      <c r="H229" s="5" t="s">
        <v>21</v>
      </c>
      <c r="I229" s="5" t="s">
        <v>679</v>
      </c>
      <c r="J229" s="12" t="str">
        <f>HYPERLINK("https://www.boe.es/gazeta/dias/1802/02/19/pdfs/GMD-1802-15.pdf#page=10","Abrir facsímil")</f>
        <v>Abrir facsímil</v>
      </c>
      <c r="K229" s="15" t="s">
        <v>23</v>
      </c>
    </row>
    <row r="230" spans="1:11" ht="42" customHeight="1">
      <c r="A230" s="4" t="s">
        <v>680</v>
      </c>
      <c r="B230" s="5" t="s">
        <v>680</v>
      </c>
      <c r="C230" s="5" t="s">
        <v>35</v>
      </c>
      <c r="D230" s="5" t="s">
        <v>36</v>
      </c>
      <c r="E230" s="5" t="s">
        <v>611</v>
      </c>
      <c r="F230" s="9">
        <v>68</v>
      </c>
      <c r="G230" s="9">
        <v>832</v>
      </c>
      <c r="H230" s="5" t="s">
        <v>21</v>
      </c>
      <c r="I230" s="5" t="s">
        <v>681</v>
      </c>
      <c r="J230" s="12" t="str">
        <f>HYPERLINK("https://www.boe.es/gazeta/dias/1802/08/20/pdfs/GMD-1802-68.pdf#page=8","Abrir facsímil")</f>
        <v>Abrir facsímil</v>
      </c>
      <c r="K230" s="15" t="s">
        <v>23</v>
      </c>
    </row>
    <row r="231" spans="1:11" ht="42" customHeight="1">
      <c r="A231" s="4" t="s">
        <v>682</v>
      </c>
      <c r="B231" s="5" t="s">
        <v>682</v>
      </c>
      <c r="C231" s="5" t="s">
        <v>18</v>
      </c>
      <c r="D231" s="5" t="s">
        <v>19</v>
      </c>
      <c r="E231" s="5" t="s">
        <v>31</v>
      </c>
      <c r="F231" s="9">
        <v>27</v>
      </c>
      <c r="G231" s="9">
        <v>317</v>
      </c>
      <c r="H231" s="5" t="s">
        <v>21</v>
      </c>
      <c r="I231" s="5" t="s">
        <v>683</v>
      </c>
      <c r="J231" s="12" t="str">
        <f>HYPERLINK("https://www.boe.es/gazeta/dias/1802/04/02/pdfs/GMD-1802-27.pdf#page=13","Abrir facsímil")</f>
        <v>Abrir facsímil</v>
      </c>
      <c r="K231" s="15" t="s">
        <v>23</v>
      </c>
    </row>
    <row r="232" spans="1:11" ht="42" customHeight="1">
      <c r="A232" s="4" t="s">
        <v>684</v>
      </c>
      <c r="B232" s="5" t="s">
        <v>684</v>
      </c>
      <c r="C232" s="5" t="s">
        <v>90</v>
      </c>
      <c r="D232" s="5" t="s">
        <v>91</v>
      </c>
      <c r="E232" s="5" t="s">
        <v>146</v>
      </c>
      <c r="F232" s="9">
        <v>42</v>
      </c>
      <c r="G232" s="9">
        <v>503</v>
      </c>
      <c r="H232" s="5" t="s">
        <v>21</v>
      </c>
      <c r="I232" s="5" t="s">
        <v>685</v>
      </c>
      <c r="J232" s="12" t="str">
        <f>HYPERLINK("https://www.boe.es/gazeta/dias/1802/05/25/pdfs/GMD-1802-42.pdf#page=7","Abrir facsímil")</f>
        <v>Abrir facsímil</v>
      </c>
      <c r="K232" s="15" t="s">
        <v>23</v>
      </c>
    </row>
    <row r="233" spans="1:11" ht="42" customHeight="1">
      <c r="A233" s="4" t="s">
        <v>686</v>
      </c>
      <c r="B233" s="5" t="s">
        <v>686</v>
      </c>
      <c r="C233" s="5" t="s">
        <v>18</v>
      </c>
      <c r="D233" s="5" t="s">
        <v>19</v>
      </c>
      <c r="E233" s="5" t="s">
        <v>439</v>
      </c>
      <c r="F233" s="9">
        <v>76</v>
      </c>
      <c r="G233" s="9">
        <v>939</v>
      </c>
      <c r="H233" s="5" t="s">
        <v>21</v>
      </c>
      <c r="I233" s="5" t="s">
        <v>687</v>
      </c>
      <c r="J233" s="12" t="str">
        <f>HYPERLINK("https://www.boe.es/gazeta/dias/1802/09/17/pdfs/GMD-1802-76.pdf#page=11","Abrir facsímil")</f>
        <v>Abrir facsímil</v>
      </c>
      <c r="K233" s="15" t="s">
        <v>23</v>
      </c>
    </row>
    <row r="234" spans="1:11" ht="42" customHeight="1">
      <c r="A234" s="4" t="s">
        <v>688</v>
      </c>
      <c r="B234" s="5" t="s">
        <v>688</v>
      </c>
      <c r="C234" s="5" t="s">
        <v>42</v>
      </c>
      <c r="D234" s="5" t="s">
        <v>43</v>
      </c>
      <c r="E234" s="5" t="s">
        <v>44</v>
      </c>
      <c r="F234" s="9">
        <v>99</v>
      </c>
      <c r="G234" s="9" t="s">
        <v>45</v>
      </c>
      <c r="H234" s="5" t="s">
        <v>21</v>
      </c>
      <c r="I234" s="5" t="s">
        <v>689</v>
      </c>
      <c r="J234" s="12" t="str">
        <f>HYPERLINK("https://www.boe.es/gazeta/dias/1802/12/07/pdfs/GMD-D-1802-99.pdf#page=14","Abrir facsímil")</f>
        <v>Abrir facsímil</v>
      </c>
      <c r="K234" s="15" t="s">
        <v>23</v>
      </c>
    </row>
    <row r="235" spans="1:11" ht="42" customHeight="1">
      <c r="A235" s="4" t="s">
        <v>690</v>
      </c>
      <c r="B235" s="5" t="s">
        <v>691</v>
      </c>
      <c r="C235" s="5" t="s">
        <v>29</v>
      </c>
      <c r="D235" s="5" t="s">
        <v>30</v>
      </c>
      <c r="E235" s="5" t="s">
        <v>86</v>
      </c>
      <c r="F235" s="9">
        <v>26</v>
      </c>
      <c r="G235" s="9">
        <v>298</v>
      </c>
      <c r="H235" s="5" t="s">
        <v>21</v>
      </c>
      <c r="I235" s="5" t="s">
        <v>692</v>
      </c>
      <c r="J235" s="12" t="str">
        <f>HYPERLINK("https://www.boe.es/gazeta/dias/1802/03/30/pdfs/GMD-1802-26.pdf#page=10","Abrir facsímil")</f>
        <v>Abrir facsímil</v>
      </c>
      <c r="K235" s="15" t="s">
        <v>23</v>
      </c>
    </row>
    <row r="236" spans="1:11" ht="42" customHeight="1">
      <c r="A236" s="4" t="s">
        <v>693</v>
      </c>
      <c r="B236" s="5" t="s">
        <v>694</v>
      </c>
      <c r="C236" s="5" t="s">
        <v>35</v>
      </c>
      <c r="D236" s="5" t="s">
        <v>36</v>
      </c>
      <c r="E236" s="5" t="s">
        <v>20</v>
      </c>
      <c r="F236" s="9">
        <v>84</v>
      </c>
      <c r="G236" s="9">
        <v>1037</v>
      </c>
      <c r="H236" s="5" t="s">
        <v>21</v>
      </c>
      <c r="I236" s="5" t="s">
        <v>695</v>
      </c>
      <c r="J236" s="12" t="str">
        <f>HYPERLINK("https://www.boe.es/gazeta/dias/1802/10/15/pdfs/GMD-1802-84.pdf#page=5","Abrir facsímil")</f>
        <v>Abrir facsímil</v>
      </c>
      <c r="K236" s="15" t="s">
        <v>23</v>
      </c>
    </row>
    <row r="237" spans="1:11" ht="42" customHeight="1">
      <c r="A237" s="4" t="s">
        <v>696</v>
      </c>
      <c r="B237" s="5" t="s">
        <v>697</v>
      </c>
      <c r="C237" s="5" t="s">
        <v>35</v>
      </c>
      <c r="D237" s="5" t="s">
        <v>36</v>
      </c>
      <c r="E237" s="5" t="s">
        <v>121</v>
      </c>
      <c r="F237" s="9">
        <v>87</v>
      </c>
      <c r="G237" s="9">
        <v>1078</v>
      </c>
      <c r="H237" s="5" t="s">
        <v>21</v>
      </c>
      <c r="I237" s="5" t="s">
        <v>698</v>
      </c>
      <c r="J237" s="12" t="str">
        <f>HYPERLINK("https://www.boe.es/gazeta/dias/1802/10/26/pdfs/GMD-1802-87.pdf#page=6","Abrir facsímil")</f>
        <v>Abrir facsímil</v>
      </c>
      <c r="K237" s="15" t="s">
        <v>23</v>
      </c>
    </row>
    <row r="238" spans="1:11" ht="42" customHeight="1">
      <c r="A238" s="4" t="s">
        <v>699</v>
      </c>
      <c r="B238" s="5" t="s">
        <v>700</v>
      </c>
      <c r="C238" s="5" t="s">
        <v>29</v>
      </c>
      <c r="D238" s="5" t="s">
        <v>30</v>
      </c>
      <c r="E238" s="5" t="s">
        <v>439</v>
      </c>
      <c r="F238" s="9">
        <v>76</v>
      </c>
      <c r="G238" s="9">
        <v>933</v>
      </c>
      <c r="H238" s="5" t="s">
        <v>21</v>
      </c>
      <c r="I238" s="5" t="s">
        <v>701</v>
      </c>
      <c r="J238" s="12" t="str">
        <f>HYPERLINK("https://www.boe.es/gazeta/dias/1802/09/17/pdfs/GMD-1802-76.pdf#page=5","Abrir facsímil")</f>
        <v>Abrir facsímil</v>
      </c>
      <c r="K238" s="15" t="s">
        <v>23</v>
      </c>
    </row>
    <row r="239" spans="1:11" ht="42" customHeight="1">
      <c r="A239" s="4" t="s">
        <v>699</v>
      </c>
      <c r="B239" s="5" t="s">
        <v>700</v>
      </c>
      <c r="C239" s="5" t="s">
        <v>35</v>
      </c>
      <c r="D239" s="5" t="s">
        <v>36</v>
      </c>
      <c r="E239" s="5" t="s">
        <v>443</v>
      </c>
      <c r="F239" s="9">
        <v>78</v>
      </c>
      <c r="G239" s="9">
        <v>958</v>
      </c>
      <c r="H239" s="5" t="s">
        <v>21</v>
      </c>
      <c r="I239" s="5" t="s">
        <v>702</v>
      </c>
      <c r="J239" s="12" t="str">
        <f>HYPERLINK("https://www.boe.es/gazeta/dias/1802/09/24/pdfs/GMD-1802-78.pdf#page=6","Abrir facsímil")</f>
        <v>Abrir facsímil</v>
      </c>
      <c r="K239" s="15" t="s">
        <v>23</v>
      </c>
    </row>
    <row r="240" spans="1:11" ht="42" customHeight="1">
      <c r="A240" s="4" t="s">
        <v>699</v>
      </c>
      <c r="B240" s="5" t="s">
        <v>700</v>
      </c>
      <c r="C240" s="5" t="s">
        <v>35</v>
      </c>
      <c r="D240" s="5" t="s">
        <v>36</v>
      </c>
      <c r="E240" s="5" t="s">
        <v>481</v>
      </c>
      <c r="F240" s="9">
        <v>79</v>
      </c>
      <c r="G240" s="9">
        <v>969</v>
      </c>
      <c r="H240" s="5" t="s">
        <v>21</v>
      </c>
      <c r="I240" s="5" t="s">
        <v>703</v>
      </c>
      <c r="J240" s="12" t="str">
        <f>HYPERLINK("https://www.boe.es/gazeta/dias/1802/09/28/pdfs/GMD-1802-79.pdf#page=5","Abrir facsímil")</f>
        <v>Abrir facsímil</v>
      </c>
      <c r="K240" s="15" t="s">
        <v>23</v>
      </c>
    </row>
    <row r="241" spans="1:11" ht="42" customHeight="1">
      <c r="A241" s="4" t="s">
        <v>704</v>
      </c>
      <c r="B241" s="5" t="s">
        <v>705</v>
      </c>
      <c r="C241" s="5" t="s">
        <v>29</v>
      </c>
      <c r="D241" s="5" t="s">
        <v>30</v>
      </c>
      <c r="E241" s="5" t="s">
        <v>706</v>
      </c>
      <c r="F241" s="9">
        <v>80</v>
      </c>
      <c r="G241" s="9">
        <v>982</v>
      </c>
      <c r="H241" s="5" t="s">
        <v>21</v>
      </c>
      <c r="I241" s="5" t="s">
        <v>707</v>
      </c>
      <c r="J241" s="12" t="str">
        <f>HYPERLINK("https://www.boe.es/gazeta/dias/1802/10/01/pdfs/GMD-1802-80.pdf#page=6","Abrir facsímil")</f>
        <v>Abrir facsímil</v>
      </c>
      <c r="K241" s="15" t="s">
        <v>23</v>
      </c>
    </row>
    <row r="242" spans="1:11" ht="42" customHeight="1">
      <c r="A242" s="4" t="s">
        <v>699</v>
      </c>
      <c r="B242" s="5" t="s">
        <v>700</v>
      </c>
      <c r="C242" s="5" t="s">
        <v>35</v>
      </c>
      <c r="D242" s="5" t="s">
        <v>36</v>
      </c>
      <c r="E242" s="5" t="s">
        <v>49</v>
      </c>
      <c r="F242" s="9">
        <v>83</v>
      </c>
      <c r="G242" s="9">
        <v>1015</v>
      </c>
      <c r="H242" s="5" t="s">
        <v>21</v>
      </c>
      <c r="I242" s="5" t="s">
        <v>708</v>
      </c>
      <c r="J242" s="12" t="str">
        <f>HYPERLINK("https://www.boe.es/gazeta/dias/1802/10/12/pdfs/GMD-1802-83.pdf#page=3","Abrir facsímil")</f>
        <v>Abrir facsímil</v>
      </c>
      <c r="K242" s="15" t="s">
        <v>23</v>
      </c>
    </row>
    <row r="243" spans="1:11" ht="42" customHeight="1">
      <c r="A243" s="4" t="s">
        <v>699</v>
      </c>
      <c r="B243" s="5" t="s">
        <v>700</v>
      </c>
      <c r="C243" s="5" t="s">
        <v>35</v>
      </c>
      <c r="D243" s="5" t="s">
        <v>36</v>
      </c>
      <c r="E243" s="5" t="s">
        <v>20</v>
      </c>
      <c r="F243" s="9">
        <v>84</v>
      </c>
      <c r="G243" s="9">
        <v>1037</v>
      </c>
      <c r="H243" s="5" t="s">
        <v>21</v>
      </c>
      <c r="I243" s="5" t="s">
        <v>709</v>
      </c>
      <c r="J243" s="12" t="str">
        <f>HYPERLINK("https://www.boe.es/gazeta/dias/1802/10/15/pdfs/GMD-1802-84.pdf#page=5","Abrir facsímil")</f>
        <v>Abrir facsímil</v>
      </c>
      <c r="K243" s="15" t="s">
        <v>23</v>
      </c>
    </row>
    <row r="244" spans="1:11" ht="42" customHeight="1">
      <c r="A244" s="4" t="s">
        <v>699</v>
      </c>
      <c r="B244" s="5" t="s">
        <v>700</v>
      </c>
      <c r="C244" s="5" t="s">
        <v>35</v>
      </c>
      <c r="D244" s="5" t="s">
        <v>36</v>
      </c>
      <c r="E244" s="5" t="s">
        <v>710</v>
      </c>
      <c r="F244" s="9">
        <v>85</v>
      </c>
      <c r="G244" s="9">
        <v>1053</v>
      </c>
      <c r="H244" s="5" t="s">
        <v>21</v>
      </c>
      <c r="I244" s="5" t="s">
        <v>711</v>
      </c>
      <c r="J244" s="12" t="str">
        <f>HYPERLINK("https://www.boe.es/gazeta/dias/1802/10/19/pdfs/GMD-1802-85.pdf#page=5","Abrir facsímil")</f>
        <v>Abrir facsímil</v>
      </c>
      <c r="K244" s="15" t="s">
        <v>23</v>
      </c>
    </row>
    <row r="245" spans="1:11" ht="42" customHeight="1">
      <c r="A245" s="4" t="s">
        <v>699</v>
      </c>
      <c r="B245" s="5" t="s">
        <v>700</v>
      </c>
      <c r="C245" s="5" t="s">
        <v>18</v>
      </c>
      <c r="D245" s="5" t="s">
        <v>19</v>
      </c>
      <c r="E245" s="5" t="s">
        <v>710</v>
      </c>
      <c r="F245" s="9">
        <v>85</v>
      </c>
      <c r="G245" s="9">
        <v>1054</v>
      </c>
      <c r="H245" s="5" t="s">
        <v>21</v>
      </c>
      <c r="I245" s="5" t="s">
        <v>712</v>
      </c>
      <c r="J245" s="12" t="str">
        <f>HYPERLINK("https://www.boe.es/gazeta/dias/1802/10/19/pdfs/GMD-1802-85.pdf#page=6","Abrir facsímil")</f>
        <v>Abrir facsímil</v>
      </c>
      <c r="K245" s="15" t="s">
        <v>23</v>
      </c>
    </row>
    <row r="246" spans="1:11" ht="42" customHeight="1">
      <c r="A246" s="4" t="s">
        <v>699</v>
      </c>
      <c r="B246" s="5" t="s">
        <v>700</v>
      </c>
      <c r="C246" s="5" t="s">
        <v>35</v>
      </c>
      <c r="D246" s="5" t="s">
        <v>36</v>
      </c>
      <c r="E246" s="5" t="s">
        <v>99</v>
      </c>
      <c r="F246" s="9">
        <v>86</v>
      </c>
      <c r="G246" s="9">
        <v>1065</v>
      </c>
      <c r="H246" s="5" t="s">
        <v>21</v>
      </c>
      <c r="I246" s="5" t="s">
        <v>713</v>
      </c>
      <c r="J246" s="12" t="str">
        <f>HYPERLINK("https://www.boe.es/gazeta/dias/1802/10/22/pdfs/GMD-1802-86.pdf#page=5","Abrir facsímil")</f>
        <v>Abrir facsímil</v>
      </c>
      <c r="K246" s="15" t="s">
        <v>23</v>
      </c>
    </row>
    <row r="247" spans="1:11" ht="42" customHeight="1">
      <c r="A247" s="4" t="s">
        <v>699</v>
      </c>
      <c r="B247" s="5" t="s">
        <v>700</v>
      </c>
      <c r="C247" s="5" t="s">
        <v>35</v>
      </c>
      <c r="D247" s="5" t="s">
        <v>36</v>
      </c>
      <c r="E247" s="5" t="s">
        <v>714</v>
      </c>
      <c r="F247" s="9">
        <v>89</v>
      </c>
      <c r="G247" s="9">
        <v>1101</v>
      </c>
      <c r="H247" s="5" t="s">
        <v>21</v>
      </c>
      <c r="I247" s="5" t="s">
        <v>715</v>
      </c>
      <c r="J247" s="12" t="str">
        <f>HYPERLINK("https://www.boe.es/gazeta/dias/1802/11/02/pdfs/GMD-1802-89.pdf#page=5","Abrir facsímil")</f>
        <v>Abrir facsímil</v>
      </c>
      <c r="K247" s="15" t="s">
        <v>23</v>
      </c>
    </row>
    <row r="248" spans="1:11" ht="42" customHeight="1">
      <c r="A248" s="4" t="s">
        <v>699</v>
      </c>
      <c r="B248" s="5" t="s">
        <v>700</v>
      </c>
      <c r="C248" s="5" t="s">
        <v>35</v>
      </c>
      <c r="D248" s="5" t="s">
        <v>36</v>
      </c>
      <c r="E248" s="5" t="s">
        <v>714</v>
      </c>
      <c r="F248" s="9">
        <v>89</v>
      </c>
      <c r="G248" s="9">
        <v>1102</v>
      </c>
      <c r="H248" s="5" t="s">
        <v>21</v>
      </c>
      <c r="I248" s="5" t="s">
        <v>716</v>
      </c>
      <c r="J248" s="12" t="str">
        <f>HYPERLINK("https://www.boe.es/gazeta/dias/1802/11/02/pdfs/GMD-1802-89.pdf#page=6","Abrir facsímil")</f>
        <v>Abrir facsímil</v>
      </c>
      <c r="K248" s="15" t="s">
        <v>23</v>
      </c>
    </row>
    <row r="249" spans="1:11" ht="42" customHeight="1">
      <c r="A249" s="4" t="s">
        <v>717</v>
      </c>
      <c r="B249" s="5" t="s">
        <v>718</v>
      </c>
      <c r="C249" s="5" t="s">
        <v>35</v>
      </c>
      <c r="D249" s="5" t="s">
        <v>36</v>
      </c>
      <c r="E249" s="5" t="s">
        <v>146</v>
      </c>
      <c r="F249" s="9">
        <v>42</v>
      </c>
      <c r="G249" s="9">
        <v>500</v>
      </c>
      <c r="H249" s="5" t="s">
        <v>21</v>
      </c>
      <c r="I249" s="5" t="s">
        <v>719</v>
      </c>
      <c r="J249" s="12" t="str">
        <f>HYPERLINK("https://www.boe.es/gazeta/dias/1802/05/25/pdfs/GMD-1802-42.pdf#page=4","Abrir facsímil")</f>
        <v>Abrir facsímil</v>
      </c>
      <c r="K249" s="15" t="s">
        <v>23</v>
      </c>
    </row>
    <row r="250" spans="1:11" ht="42" customHeight="1">
      <c r="A250" s="4" t="s">
        <v>720</v>
      </c>
      <c r="B250" s="5" t="s">
        <v>721</v>
      </c>
      <c r="C250" s="5" t="s">
        <v>35</v>
      </c>
      <c r="D250" s="5" t="s">
        <v>36</v>
      </c>
      <c r="E250" s="5" t="s">
        <v>99</v>
      </c>
      <c r="F250" s="9">
        <v>86</v>
      </c>
      <c r="G250" s="9">
        <v>1065</v>
      </c>
      <c r="H250" s="5" t="s">
        <v>21</v>
      </c>
      <c r="I250" s="5" t="s">
        <v>722</v>
      </c>
      <c r="J250" s="12" t="str">
        <f>HYPERLINK("https://www.boe.es/gazeta/dias/1802/10/22/pdfs/GMD-1802-86.pdf#page=5","Abrir facsímil")</f>
        <v>Abrir facsímil</v>
      </c>
      <c r="K250" s="15" t="s">
        <v>23</v>
      </c>
    </row>
    <row r="251" spans="1:11" ht="42" customHeight="1">
      <c r="A251" s="4" t="s">
        <v>723</v>
      </c>
      <c r="B251" s="5" t="s">
        <v>724</v>
      </c>
      <c r="C251" s="5" t="s">
        <v>29</v>
      </c>
      <c r="D251" s="5" t="s">
        <v>30</v>
      </c>
      <c r="E251" s="5" t="s">
        <v>299</v>
      </c>
      <c r="F251" s="9">
        <v>19</v>
      </c>
      <c r="G251" s="9">
        <v>211</v>
      </c>
      <c r="H251" s="5" t="s">
        <v>21</v>
      </c>
      <c r="I251" s="5" t="s">
        <v>725</v>
      </c>
      <c r="J251" s="12" t="str">
        <f>HYPERLINK("https://www.boe.es/gazeta/dias/1802/03/05/pdfs/GMD-1802-19.pdf#page=11","Abrir facsímil")</f>
        <v>Abrir facsímil</v>
      </c>
      <c r="K251" s="15" t="s">
        <v>23</v>
      </c>
    </row>
    <row r="252" spans="1:11" ht="42" customHeight="1">
      <c r="A252" s="4" t="s">
        <v>723</v>
      </c>
      <c r="B252" s="5" t="s">
        <v>724</v>
      </c>
      <c r="C252" s="5" t="s">
        <v>29</v>
      </c>
      <c r="D252" s="5" t="s">
        <v>30</v>
      </c>
      <c r="E252" s="5" t="s">
        <v>92</v>
      </c>
      <c r="F252" s="9">
        <v>29</v>
      </c>
      <c r="G252" s="9">
        <v>342</v>
      </c>
      <c r="H252" s="5" t="s">
        <v>21</v>
      </c>
      <c r="I252" s="5" t="s">
        <v>726</v>
      </c>
      <c r="J252" s="12" t="str">
        <f>HYPERLINK("https://www.boe.es/gazeta/dias/1802/04/09/pdfs/GMD-1802-29.pdf#page=10","Abrir facsímil")</f>
        <v>Abrir facsímil</v>
      </c>
      <c r="K252" s="15" t="s">
        <v>23</v>
      </c>
    </row>
    <row r="253" spans="1:11" ht="42" customHeight="1">
      <c r="A253" s="4" t="s">
        <v>727</v>
      </c>
      <c r="B253" s="5" t="s">
        <v>728</v>
      </c>
      <c r="C253" s="5" t="s">
        <v>42</v>
      </c>
      <c r="D253" s="5" t="s">
        <v>43</v>
      </c>
      <c r="E253" s="5" t="s">
        <v>44</v>
      </c>
      <c r="F253" s="9">
        <v>99</v>
      </c>
      <c r="G253" s="9" t="s">
        <v>251</v>
      </c>
      <c r="H253" s="5" t="s">
        <v>21</v>
      </c>
      <c r="I253" s="5" t="s">
        <v>729</v>
      </c>
      <c r="J253" s="12" t="str">
        <f>HYPERLINK("https://www.boe.es/gazeta/dias/1802/12/07/pdfs/GMD-D-1802-99.pdf#page=6","Abrir facsímil")</f>
        <v>Abrir facsímil</v>
      </c>
      <c r="K253" s="15" t="s">
        <v>23</v>
      </c>
    </row>
    <row r="254" spans="1:11" ht="42" customHeight="1">
      <c r="A254" s="4" t="s">
        <v>730</v>
      </c>
      <c r="B254" s="5" t="s">
        <v>731</v>
      </c>
      <c r="C254" s="5" t="s">
        <v>18</v>
      </c>
      <c r="D254" s="5" t="s">
        <v>19</v>
      </c>
      <c r="E254" s="5" t="s">
        <v>20</v>
      </c>
      <c r="F254" s="9">
        <v>84</v>
      </c>
      <c r="G254" s="9">
        <v>1042</v>
      </c>
      <c r="H254" s="5" t="s">
        <v>21</v>
      </c>
      <c r="I254" s="5" t="s">
        <v>732</v>
      </c>
      <c r="J254" s="12" t="str">
        <f>HYPERLINK("https://www.boe.es/gazeta/dias/1802/10/15/pdfs/GMD-1802-84.pdf#page=10","Abrir facsímil")</f>
        <v>Abrir facsímil</v>
      </c>
      <c r="K254" s="15" t="s">
        <v>23</v>
      </c>
    </row>
    <row r="255" spans="1:11" ht="42" customHeight="1">
      <c r="A255" s="4" t="s">
        <v>733</v>
      </c>
      <c r="B255" s="5" t="s">
        <v>734</v>
      </c>
      <c r="C255" s="5" t="s">
        <v>29</v>
      </c>
      <c r="D255" s="5" t="s">
        <v>30</v>
      </c>
      <c r="E255" s="5" t="s">
        <v>192</v>
      </c>
      <c r="F255" s="9">
        <v>53</v>
      </c>
      <c r="G255" s="9">
        <v>642</v>
      </c>
      <c r="H255" s="5" t="s">
        <v>21</v>
      </c>
      <c r="I255" s="5" t="s">
        <v>735</v>
      </c>
      <c r="J255" s="12" t="str">
        <f>HYPERLINK("https://www.boe.es/gazeta/dias/1802/07/02/pdfs/GMD-1802-53.pdf#page=10","Abrir facsímil")</f>
        <v>Abrir facsímil</v>
      </c>
      <c r="K255" s="15" t="s">
        <v>23</v>
      </c>
    </row>
    <row r="256" spans="1:11" ht="42" customHeight="1">
      <c r="A256" s="4" t="s">
        <v>736</v>
      </c>
      <c r="B256" s="5" t="s">
        <v>737</v>
      </c>
      <c r="C256" s="5" t="s">
        <v>18</v>
      </c>
      <c r="D256" s="5" t="s">
        <v>19</v>
      </c>
      <c r="E256" s="5" t="s">
        <v>44</v>
      </c>
      <c r="F256" s="9">
        <v>99</v>
      </c>
      <c r="G256" s="9">
        <v>1219</v>
      </c>
      <c r="H256" s="5" t="s">
        <v>21</v>
      </c>
      <c r="I256" s="5" t="s">
        <v>738</v>
      </c>
      <c r="J256" s="12" t="str">
        <f>HYPERLINK("https://www.boe.es/gazeta/dias/1802/12/07/pdfs/GMD-1802-99.pdf#page=3","Abrir facsímil")</f>
        <v>Abrir facsímil</v>
      </c>
      <c r="K256" s="15" t="s">
        <v>23</v>
      </c>
    </row>
    <row r="257" spans="1:11" ht="42" customHeight="1">
      <c r="A257" s="4" t="s">
        <v>739</v>
      </c>
      <c r="B257" s="5" t="s">
        <v>739</v>
      </c>
      <c r="C257" s="5" t="s">
        <v>29</v>
      </c>
      <c r="D257" s="5" t="s">
        <v>30</v>
      </c>
      <c r="E257" s="5" t="s">
        <v>192</v>
      </c>
      <c r="F257" s="9">
        <v>53</v>
      </c>
      <c r="G257" s="9">
        <v>640</v>
      </c>
      <c r="H257" s="5" t="s">
        <v>21</v>
      </c>
      <c r="I257" s="5" t="s">
        <v>740</v>
      </c>
      <c r="J257" s="12" t="str">
        <f>HYPERLINK("https://www.boe.es/gazeta/dias/1802/07/02/pdfs/GMD-1802-53.pdf#page=8","Abrir facsímil")</f>
        <v>Abrir facsímil</v>
      </c>
      <c r="K257" s="15" t="s">
        <v>23</v>
      </c>
    </row>
    <row r="258" spans="1:11" ht="42" customHeight="1">
      <c r="A258" s="4" t="s">
        <v>741</v>
      </c>
      <c r="B258" s="5" t="s">
        <v>742</v>
      </c>
      <c r="C258" s="5" t="s">
        <v>29</v>
      </c>
      <c r="D258" s="5" t="s">
        <v>30</v>
      </c>
      <c r="E258" s="5" t="s">
        <v>183</v>
      </c>
      <c r="F258" s="9">
        <v>56</v>
      </c>
      <c r="G258" s="9">
        <v>673</v>
      </c>
      <c r="H258" s="5" t="s">
        <v>21</v>
      </c>
      <c r="I258" s="5" t="s">
        <v>743</v>
      </c>
      <c r="J258" s="12" t="str">
        <f>HYPERLINK("https://www.boe.es/gazeta/dias/1802/07/13/pdfs/GMD-1802-56.pdf#page=5","Abrir facsímil")</f>
        <v>Abrir facsímil</v>
      </c>
      <c r="K258" s="15" t="s">
        <v>23</v>
      </c>
    </row>
    <row r="259" spans="1:11" ht="42" customHeight="1">
      <c r="A259" s="4" t="s">
        <v>741</v>
      </c>
      <c r="B259" s="5" t="s">
        <v>742</v>
      </c>
      <c r="C259" s="5" t="s">
        <v>35</v>
      </c>
      <c r="D259" s="5" t="s">
        <v>36</v>
      </c>
      <c r="E259" s="5" t="s">
        <v>99</v>
      </c>
      <c r="F259" s="9">
        <v>86</v>
      </c>
      <c r="G259" s="9">
        <v>1064</v>
      </c>
      <c r="H259" s="5" t="s">
        <v>21</v>
      </c>
      <c r="I259" s="5" t="s">
        <v>744</v>
      </c>
      <c r="J259" s="12" t="str">
        <f>HYPERLINK("https://www.boe.es/gazeta/dias/1802/10/22/pdfs/GMD-1802-86.pdf#page=4","Abrir facsímil")</f>
        <v>Abrir facsímil</v>
      </c>
      <c r="K259" s="15" t="s">
        <v>23</v>
      </c>
    </row>
    <row r="260" spans="1:11" ht="42" customHeight="1">
      <c r="A260" s="4" t="s">
        <v>741</v>
      </c>
      <c r="B260" s="5" t="s">
        <v>742</v>
      </c>
      <c r="C260" s="5" t="s">
        <v>35</v>
      </c>
      <c r="D260" s="5" t="s">
        <v>36</v>
      </c>
      <c r="E260" s="5" t="s">
        <v>745</v>
      </c>
      <c r="F260" s="9">
        <v>92</v>
      </c>
      <c r="G260" s="9">
        <v>1135</v>
      </c>
      <c r="H260" s="5" t="s">
        <v>21</v>
      </c>
      <c r="I260" s="5" t="s">
        <v>746</v>
      </c>
      <c r="J260" s="12" t="str">
        <f>HYPERLINK("https://www.boe.es/gazeta/dias/1802/11/12/pdfs/GMD-1802-92.pdf#page=3","Abrir facsímil")</f>
        <v>Abrir facsímil</v>
      </c>
      <c r="K260" s="15" t="s">
        <v>23</v>
      </c>
    </row>
    <row r="261" spans="1:11" ht="42" customHeight="1">
      <c r="A261" s="4" t="s">
        <v>747</v>
      </c>
      <c r="B261" s="5" t="s">
        <v>748</v>
      </c>
      <c r="C261" s="5" t="s">
        <v>29</v>
      </c>
      <c r="D261" s="5" t="s">
        <v>30</v>
      </c>
      <c r="E261" s="5" t="s">
        <v>749</v>
      </c>
      <c r="F261" s="9">
        <v>97</v>
      </c>
      <c r="G261" s="9">
        <v>1199</v>
      </c>
      <c r="H261" s="5" t="s">
        <v>21</v>
      </c>
      <c r="I261" s="5" t="s">
        <v>750</v>
      </c>
      <c r="J261" s="12" t="str">
        <f>HYPERLINK("https://www.boe.es/gazeta/dias/1802/11/30/pdfs/GMD-1802-97.pdf#page=7","Abrir facsímil")</f>
        <v>Abrir facsímil</v>
      </c>
      <c r="K261" s="15" t="s">
        <v>23</v>
      </c>
    </row>
    <row r="262" spans="1:11" ht="42" customHeight="1">
      <c r="A262" s="4" t="s">
        <v>741</v>
      </c>
      <c r="B262" s="5" t="s">
        <v>742</v>
      </c>
      <c r="C262" s="5" t="s">
        <v>29</v>
      </c>
      <c r="D262" s="5" t="s">
        <v>30</v>
      </c>
      <c r="E262" s="5" t="s">
        <v>751</v>
      </c>
      <c r="F262" s="9">
        <v>98</v>
      </c>
      <c r="G262" s="9">
        <v>1210</v>
      </c>
      <c r="H262" s="5" t="s">
        <v>21</v>
      </c>
      <c r="I262" s="5" t="s">
        <v>752</v>
      </c>
      <c r="J262" s="12" t="str">
        <f>HYPERLINK("https://www.boe.es/gazeta/dias/1802/12/03/pdfs/GMD-1802-98.pdf#page=6","Abrir facsímil")</f>
        <v>Abrir facsímil</v>
      </c>
      <c r="K262" s="15" t="s">
        <v>23</v>
      </c>
    </row>
    <row r="263" spans="1:11" ht="42" customHeight="1">
      <c r="A263" s="4" t="s">
        <v>741</v>
      </c>
      <c r="B263" s="5" t="s">
        <v>742</v>
      </c>
      <c r="C263" s="5" t="s">
        <v>18</v>
      </c>
      <c r="D263" s="5" t="s">
        <v>19</v>
      </c>
      <c r="E263" s="5" t="s">
        <v>44</v>
      </c>
      <c r="F263" s="9">
        <v>99</v>
      </c>
      <c r="G263" s="9">
        <v>1219</v>
      </c>
      <c r="H263" s="5" t="s">
        <v>21</v>
      </c>
      <c r="I263" s="5" t="s">
        <v>753</v>
      </c>
      <c r="J263" s="12" t="str">
        <f>HYPERLINK("https://www.boe.es/gazeta/dias/1802/12/07/pdfs/GMD-1802-99.pdf#page=3","Abrir facsímil")</f>
        <v>Abrir facsímil</v>
      </c>
      <c r="K263" s="15" t="s">
        <v>23</v>
      </c>
    </row>
    <row r="264" spans="1:11" ht="42" customHeight="1">
      <c r="A264" s="4" t="s">
        <v>741</v>
      </c>
      <c r="B264" s="5" t="s">
        <v>742</v>
      </c>
      <c r="C264" s="5" t="s">
        <v>29</v>
      </c>
      <c r="D264" s="5" t="s">
        <v>30</v>
      </c>
      <c r="E264" s="5" t="s">
        <v>754</v>
      </c>
      <c r="F264" s="9">
        <v>101</v>
      </c>
      <c r="G264" s="9">
        <v>1239</v>
      </c>
      <c r="H264" s="5" t="s">
        <v>21</v>
      </c>
      <c r="I264" s="5" t="s">
        <v>755</v>
      </c>
      <c r="J264" s="12" t="str">
        <f>HYPERLINK("https://www.boe.es/gazeta/dias/1802/12/14/pdfs/GMD-1802-101.pdf#page=3","Abrir facsímil")</f>
        <v>Abrir facsímil</v>
      </c>
      <c r="K264" s="15" t="s">
        <v>23</v>
      </c>
    </row>
    <row r="265" spans="1:11" ht="42" customHeight="1">
      <c r="A265" s="4" t="s">
        <v>741</v>
      </c>
      <c r="B265" s="5" t="s">
        <v>742</v>
      </c>
      <c r="C265" s="5" t="s">
        <v>35</v>
      </c>
      <c r="D265" s="5" t="s">
        <v>36</v>
      </c>
      <c r="E265" s="5" t="s">
        <v>73</v>
      </c>
      <c r="F265" s="9">
        <v>102</v>
      </c>
      <c r="G265" s="9">
        <v>1249</v>
      </c>
      <c r="H265" s="5" t="s">
        <v>21</v>
      </c>
      <c r="I265" s="5" t="s">
        <v>756</v>
      </c>
      <c r="J265" s="12" t="str">
        <f>HYPERLINK("https://www.boe.es/gazeta/dias/1802/12/17/pdfs/GMD-1802-102.pdf#page=5","Abrir facsímil")</f>
        <v>Abrir facsímil</v>
      </c>
      <c r="K265" s="15" t="s">
        <v>23</v>
      </c>
    </row>
    <row r="266" spans="1:11" ht="42" customHeight="1">
      <c r="A266" s="4" t="s">
        <v>741</v>
      </c>
      <c r="B266" s="5" t="s">
        <v>742</v>
      </c>
      <c r="C266" s="5" t="s">
        <v>35</v>
      </c>
      <c r="D266" s="5" t="s">
        <v>36</v>
      </c>
      <c r="E266" s="5" t="s">
        <v>757</v>
      </c>
      <c r="F266" s="9">
        <v>104</v>
      </c>
      <c r="G266" s="9">
        <v>1267</v>
      </c>
      <c r="H266" s="5" t="s">
        <v>21</v>
      </c>
      <c r="I266" s="5" t="s">
        <v>758</v>
      </c>
      <c r="J266" s="12" t="str">
        <f>HYPERLINK("https://www.boe.es/gazeta/dias/1802/12/24/pdfs/GMD-1802-104.pdf#page=3","Abrir facsímil")</f>
        <v>Abrir facsímil</v>
      </c>
      <c r="K266" s="15" t="s">
        <v>23</v>
      </c>
    </row>
    <row r="267" spans="1:11" ht="42" customHeight="1">
      <c r="A267" s="4" t="s">
        <v>759</v>
      </c>
      <c r="B267" s="5" t="s">
        <v>760</v>
      </c>
      <c r="C267" s="5" t="s">
        <v>90</v>
      </c>
      <c r="D267" s="5" t="s">
        <v>91</v>
      </c>
      <c r="E267" s="5" t="s">
        <v>60</v>
      </c>
      <c r="F267" s="9">
        <v>5</v>
      </c>
      <c r="G267" s="9">
        <v>50</v>
      </c>
      <c r="H267" s="5" t="s">
        <v>21</v>
      </c>
      <c r="I267" s="5" t="s">
        <v>761</v>
      </c>
      <c r="J267" s="12" t="str">
        <f>HYPERLINK("https://www.boe.es/gazeta/dias/1802/01/15/pdfs/GMD-1802-5.pdf#page=6","Abrir facsímil")</f>
        <v>Abrir facsímil</v>
      </c>
      <c r="K267" s="15" t="s">
        <v>23</v>
      </c>
    </row>
    <row r="268" spans="1:11" ht="42" customHeight="1">
      <c r="A268" s="4" t="s">
        <v>762</v>
      </c>
      <c r="B268" s="5" t="s">
        <v>763</v>
      </c>
      <c r="C268" s="5" t="s">
        <v>90</v>
      </c>
      <c r="D268" s="5" t="s">
        <v>91</v>
      </c>
      <c r="E268" s="5" t="s">
        <v>764</v>
      </c>
      <c r="F268" s="9">
        <v>69</v>
      </c>
      <c r="G268" s="9">
        <v>850</v>
      </c>
      <c r="H268" s="5" t="s">
        <v>21</v>
      </c>
      <c r="I268" s="5" t="s">
        <v>765</v>
      </c>
      <c r="J268" s="12" t="str">
        <f>HYPERLINK("https://www.boe.es/gazeta/dias/1802/08/24/pdfs/GMD-1802-69.pdf#page=10","Abrir facsímil")</f>
        <v>Abrir facsímil</v>
      </c>
      <c r="K268" s="15" t="s">
        <v>23</v>
      </c>
    </row>
    <row r="269" spans="1:11" ht="42" customHeight="1">
      <c r="A269" s="4" t="s">
        <v>766</v>
      </c>
      <c r="B269" s="5" t="s">
        <v>767</v>
      </c>
      <c r="C269" s="5" t="s">
        <v>18</v>
      </c>
      <c r="D269" s="5" t="s">
        <v>19</v>
      </c>
      <c r="E269" s="5" t="s">
        <v>764</v>
      </c>
      <c r="F269" s="9">
        <v>69</v>
      </c>
      <c r="G269" s="9">
        <v>849</v>
      </c>
      <c r="H269" s="5" t="s">
        <v>21</v>
      </c>
      <c r="I269" s="5" t="s">
        <v>768</v>
      </c>
      <c r="J269" s="12" t="str">
        <f>HYPERLINK("https://www.boe.es/gazeta/dias/1802/08/24/pdfs/GMD-1802-69.pdf#page=9","Abrir facsímil")</f>
        <v>Abrir facsímil</v>
      </c>
      <c r="K269" s="15" t="s">
        <v>23</v>
      </c>
    </row>
    <row r="270" spans="1:11" ht="42" customHeight="1">
      <c r="A270" s="4" t="s">
        <v>769</v>
      </c>
      <c r="B270" s="5" t="s">
        <v>769</v>
      </c>
      <c r="C270" s="5" t="s">
        <v>55</v>
      </c>
      <c r="D270" s="5" t="s">
        <v>56</v>
      </c>
      <c r="E270" s="5" t="s">
        <v>152</v>
      </c>
      <c r="F270" s="9">
        <v>25</v>
      </c>
      <c r="G270" s="9">
        <v>287</v>
      </c>
      <c r="H270" s="5" t="s">
        <v>21</v>
      </c>
      <c r="I270" s="5" t="s">
        <v>770</v>
      </c>
      <c r="J270" s="12" t="str">
        <f>HYPERLINK("https://www.boe.es/gazeta/dias/1802/03/26/pdfs/GMD-1802-25.pdf#page=11","Abrir facsímil")</f>
        <v>Abrir facsímil</v>
      </c>
      <c r="K270" s="15" t="s">
        <v>23</v>
      </c>
    </row>
    <row r="271" spans="1:11" ht="42" customHeight="1">
      <c r="A271" s="4" t="s">
        <v>771</v>
      </c>
      <c r="B271" s="5" t="s">
        <v>772</v>
      </c>
      <c r="C271" s="5" t="s">
        <v>29</v>
      </c>
      <c r="D271" s="5" t="s">
        <v>30</v>
      </c>
      <c r="E271" s="5" t="s">
        <v>764</v>
      </c>
      <c r="F271" s="9">
        <v>69</v>
      </c>
      <c r="G271" s="9">
        <v>850</v>
      </c>
      <c r="H271" s="5" t="s">
        <v>21</v>
      </c>
      <c r="I271" s="5" t="s">
        <v>773</v>
      </c>
      <c r="J271" s="12" t="str">
        <f>HYPERLINK("https://www.boe.es/gazeta/dias/1802/08/24/pdfs/GMD-1802-69.pdf#page=10","Abrir facsímil")</f>
        <v>Abrir facsímil</v>
      </c>
      <c r="K271" s="15" t="s">
        <v>23</v>
      </c>
    </row>
    <row r="272" spans="1:11" ht="42" customHeight="1">
      <c r="A272" s="4" t="s">
        <v>774</v>
      </c>
      <c r="B272" s="5" t="s">
        <v>775</v>
      </c>
      <c r="C272" s="5" t="s">
        <v>29</v>
      </c>
      <c r="D272" s="5" t="s">
        <v>30</v>
      </c>
      <c r="E272" s="5" t="s">
        <v>128</v>
      </c>
      <c r="F272" s="9">
        <v>9</v>
      </c>
      <c r="G272" s="9">
        <v>89</v>
      </c>
      <c r="H272" s="5" t="s">
        <v>21</v>
      </c>
      <c r="I272" s="5" t="s">
        <v>776</v>
      </c>
      <c r="J272" s="12" t="str">
        <f>HYPERLINK("https://www.boe.es/gazeta/dias/1802/01/29/pdfs/GMD-1802-9.pdf#page=9","Abrir facsímil")</f>
        <v>Abrir facsímil</v>
      </c>
      <c r="K272" s="15" t="s">
        <v>23</v>
      </c>
    </row>
    <row r="273" spans="1:11" ht="42" customHeight="1">
      <c r="A273" s="4" t="s">
        <v>777</v>
      </c>
      <c r="B273" s="5" t="s">
        <v>778</v>
      </c>
      <c r="C273" s="5" t="s">
        <v>42</v>
      </c>
      <c r="D273" s="5" t="s">
        <v>43</v>
      </c>
      <c r="E273" s="5" t="s">
        <v>44</v>
      </c>
      <c r="F273" s="9">
        <v>99</v>
      </c>
      <c r="G273" s="9" t="s">
        <v>779</v>
      </c>
      <c r="H273" s="5" t="s">
        <v>21</v>
      </c>
      <c r="I273" s="5" t="s">
        <v>780</v>
      </c>
      <c r="J273" s="12" t="str">
        <f>HYPERLINK("https://www.boe.es/gazeta/dias/1802/12/07/pdfs/GMD-D-1802-99.pdf#page=13","Abrir facsímil")</f>
        <v>Abrir facsímil</v>
      </c>
      <c r="K273" s="15" t="s">
        <v>23</v>
      </c>
    </row>
    <row r="274" spans="1:11" ht="42" customHeight="1">
      <c r="A274" s="4" t="s">
        <v>781</v>
      </c>
      <c r="B274" s="5" t="s">
        <v>782</v>
      </c>
      <c r="C274" s="5" t="s">
        <v>42</v>
      </c>
      <c r="D274" s="5" t="s">
        <v>43</v>
      </c>
      <c r="E274" s="5" t="s">
        <v>44</v>
      </c>
      <c r="F274" s="9">
        <v>99</v>
      </c>
      <c r="G274" s="9" t="s">
        <v>554</v>
      </c>
      <c r="H274" s="5" t="s">
        <v>21</v>
      </c>
      <c r="I274" s="5" t="s">
        <v>783</v>
      </c>
      <c r="J274" s="12" t="str">
        <f>HYPERLINK("https://www.boe.es/gazeta/dias/1802/12/07/pdfs/GMD-D-1802-99.pdf#page=4","Abrir facsímil")</f>
        <v>Abrir facsímil</v>
      </c>
      <c r="K274" s="15" t="s">
        <v>23</v>
      </c>
    </row>
    <row r="275" spans="1:11" ht="42" customHeight="1">
      <c r="A275" s="4" t="s">
        <v>784</v>
      </c>
      <c r="B275" s="5" t="s">
        <v>785</v>
      </c>
      <c r="C275" s="5" t="s">
        <v>42</v>
      </c>
      <c r="D275" s="5" t="s">
        <v>43</v>
      </c>
      <c r="E275" s="5" t="s">
        <v>44</v>
      </c>
      <c r="F275" s="9">
        <v>99</v>
      </c>
      <c r="G275" s="9" t="s">
        <v>554</v>
      </c>
      <c r="H275" s="5" t="s">
        <v>21</v>
      </c>
      <c r="I275" s="5" t="s">
        <v>786</v>
      </c>
      <c r="J275" s="12" t="str">
        <f>HYPERLINK("https://www.boe.es/gazeta/dias/1802/12/07/pdfs/GMD-D-1802-99.pdf#page=4","Abrir facsímil")</f>
        <v>Abrir facsímil</v>
      </c>
      <c r="K275" s="15" t="s">
        <v>23</v>
      </c>
    </row>
    <row r="276" spans="1:11" ht="42" customHeight="1">
      <c r="A276" s="4" t="s">
        <v>787</v>
      </c>
      <c r="B276" s="5" t="s">
        <v>788</v>
      </c>
      <c r="C276" s="5" t="s">
        <v>18</v>
      </c>
      <c r="D276" s="5" t="s">
        <v>19</v>
      </c>
      <c r="E276" s="5" t="s">
        <v>20</v>
      </c>
      <c r="F276" s="9">
        <v>84</v>
      </c>
      <c r="G276" s="9">
        <v>1042</v>
      </c>
      <c r="H276" s="5" t="s">
        <v>21</v>
      </c>
      <c r="I276" s="5" t="s">
        <v>789</v>
      </c>
      <c r="J276" s="12" t="str">
        <f>HYPERLINK("https://www.boe.es/gazeta/dias/1802/10/15/pdfs/GMD-1802-84.pdf#page=10","Abrir facsímil")</f>
        <v>Abrir facsímil</v>
      </c>
      <c r="K276" s="15" t="s">
        <v>23</v>
      </c>
    </row>
    <row r="277" spans="1:11" ht="42" customHeight="1">
      <c r="A277" s="4" t="s">
        <v>790</v>
      </c>
      <c r="B277" s="5" t="s">
        <v>791</v>
      </c>
      <c r="C277" s="5" t="s">
        <v>35</v>
      </c>
      <c r="D277" s="5" t="s">
        <v>36</v>
      </c>
      <c r="E277" s="5" t="s">
        <v>757</v>
      </c>
      <c r="F277" s="9">
        <v>104</v>
      </c>
      <c r="G277" s="9">
        <v>1267</v>
      </c>
      <c r="H277" s="5" t="s">
        <v>21</v>
      </c>
      <c r="I277" s="5" t="s">
        <v>792</v>
      </c>
      <c r="J277" s="12" t="str">
        <f>HYPERLINK("https://www.boe.es/gazeta/dias/1802/12/24/pdfs/GMD-1802-104.pdf#page=3","Abrir facsímil")</f>
        <v>Abrir facsímil</v>
      </c>
      <c r="K277" s="15" t="s">
        <v>23</v>
      </c>
    </row>
    <row r="278" spans="1:11" ht="42" customHeight="1">
      <c r="A278" s="4" t="s">
        <v>793</v>
      </c>
      <c r="B278" s="5" t="s">
        <v>794</v>
      </c>
      <c r="C278" s="5" t="s">
        <v>90</v>
      </c>
      <c r="D278" s="5" t="s">
        <v>91</v>
      </c>
      <c r="E278" s="5" t="s">
        <v>73</v>
      </c>
      <c r="F278" s="9">
        <v>102</v>
      </c>
      <c r="G278" s="9">
        <v>1254</v>
      </c>
      <c r="H278" s="5" t="s">
        <v>21</v>
      </c>
      <c r="I278" s="5" t="s">
        <v>795</v>
      </c>
      <c r="J278" s="12" t="str">
        <f>HYPERLINK("https://www.boe.es/gazeta/dias/1802/12/17/pdfs/GMD-1802-102.pdf#page=10","Abrir facsímil")</f>
        <v>Abrir facsímil</v>
      </c>
      <c r="K278" s="15" t="s">
        <v>23</v>
      </c>
    </row>
    <row r="279" spans="1:11" ht="42" customHeight="1">
      <c r="A279" s="4" t="s">
        <v>796</v>
      </c>
      <c r="B279" s="5" t="s">
        <v>796</v>
      </c>
      <c r="C279" s="5" t="s">
        <v>18</v>
      </c>
      <c r="D279" s="5" t="s">
        <v>19</v>
      </c>
      <c r="E279" s="5" t="s">
        <v>20</v>
      </c>
      <c r="F279" s="9">
        <v>84</v>
      </c>
      <c r="G279" s="9">
        <v>1041</v>
      </c>
      <c r="H279" s="5" t="s">
        <v>21</v>
      </c>
      <c r="I279" s="5" t="s">
        <v>797</v>
      </c>
      <c r="J279" s="12" t="str">
        <f>HYPERLINK("https://www.boe.es/gazeta/dias/1802/10/15/pdfs/GMD-1802-84.pdf#page=9","Abrir facsímil")</f>
        <v>Abrir facsímil</v>
      </c>
      <c r="K279" s="15" t="s">
        <v>23</v>
      </c>
    </row>
    <row r="280" spans="1:11" ht="42" customHeight="1">
      <c r="A280" s="4" t="s">
        <v>798</v>
      </c>
      <c r="B280" s="5" t="s">
        <v>799</v>
      </c>
      <c r="C280" s="5" t="s">
        <v>18</v>
      </c>
      <c r="D280" s="5" t="s">
        <v>19</v>
      </c>
      <c r="E280" s="5" t="s">
        <v>635</v>
      </c>
      <c r="F280" s="9">
        <v>47</v>
      </c>
      <c r="G280" s="9">
        <v>573</v>
      </c>
      <c r="H280" s="5" t="s">
        <v>21</v>
      </c>
      <c r="I280" s="5" t="s">
        <v>800</v>
      </c>
      <c r="J280" s="12" t="str">
        <f>HYPERLINK("https://www.boe.es/gazeta/dias/1802/06/11/pdfs/GMD-1802-47.pdf#page=9","Abrir facsímil")</f>
        <v>Abrir facsímil</v>
      </c>
      <c r="K280" s="15" t="s">
        <v>23</v>
      </c>
    </row>
    <row r="281" spans="1:11" ht="42" customHeight="1">
      <c r="A281" s="4" t="s">
        <v>801</v>
      </c>
      <c r="B281" s="5" t="s">
        <v>802</v>
      </c>
      <c r="C281" s="5" t="s">
        <v>29</v>
      </c>
      <c r="D281" s="5" t="s">
        <v>30</v>
      </c>
      <c r="E281" s="5" t="s">
        <v>299</v>
      </c>
      <c r="F281" s="9">
        <v>19</v>
      </c>
      <c r="G281" s="9">
        <v>210</v>
      </c>
      <c r="H281" s="5" t="s">
        <v>21</v>
      </c>
      <c r="I281" s="5" t="s">
        <v>803</v>
      </c>
      <c r="J281" s="12" t="str">
        <f>HYPERLINK("https://www.boe.es/gazeta/dias/1802/03/05/pdfs/GMD-1802-19.pdf#page=10","Abrir facsímil")</f>
        <v>Abrir facsímil</v>
      </c>
      <c r="K281" s="15" t="s">
        <v>23</v>
      </c>
    </row>
    <row r="282" spans="1:11" ht="42" customHeight="1">
      <c r="A282" s="4" t="s">
        <v>804</v>
      </c>
      <c r="B282" s="5" t="s">
        <v>804</v>
      </c>
      <c r="C282" s="5" t="s">
        <v>29</v>
      </c>
      <c r="D282" s="5" t="s">
        <v>30</v>
      </c>
      <c r="E282" s="5" t="s">
        <v>311</v>
      </c>
      <c r="F282" s="9">
        <v>88</v>
      </c>
      <c r="G282" s="9">
        <v>1093</v>
      </c>
      <c r="H282" s="5" t="s">
        <v>21</v>
      </c>
      <c r="I282" s="5" t="s">
        <v>805</v>
      </c>
      <c r="J282" s="12" t="str">
        <f>HYPERLINK("https://www.boe.es/gazeta/dias/1802/10/29/pdfs/GMD-1802-88.pdf#page=9","Abrir facsímil")</f>
        <v>Abrir facsímil</v>
      </c>
      <c r="K282" s="15" t="s">
        <v>23</v>
      </c>
    </row>
    <row r="283" spans="1:11" ht="42" customHeight="1">
      <c r="A283" s="4" t="s">
        <v>806</v>
      </c>
      <c r="B283" s="5" t="s">
        <v>807</v>
      </c>
      <c r="C283" s="5" t="s">
        <v>42</v>
      </c>
      <c r="D283" s="5" t="s">
        <v>43</v>
      </c>
      <c r="E283" s="5" t="s">
        <v>44</v>
      </c>
      <c r="F283" s="9">
        <v>99</v>
      </c>
      <c r="G283" s="9" t="s">
        <v>295</v>
      </c>
      <c r="H283" s="5" t="s">
        <v>21</v>
      </c>
      <c r="I283" s="5" t="s">
        <v>808</v>
      </c>
      <c r="J283" s="12" t="str">
        <f>HYPERLINK("https://www.boe.es/gazeta/dias/1802/12/07/pdfs/GMD-D-1802-99.pdf#page=7","Abrir facsímil")</f>
        <v>Abrir facsímil</v>
      </c>
      <c r="K283" s="15" t="s">
        <v>23</v>
      </c>
    </row>
    <row r="284" spans="1:11" ht="42" customHeight="1">
      <c r="A284" s="4" t="s">
        <v>809</v>
      </c>
      <c r="B284" s="5" t="s">
        <v>809</v>
      </c>
      <c r="C284" s="5" t="s">
        <v>18</v>
      </c>
      <c r="D284" s="5" t="s">
        <v>19</v>
      </c>
      <c r="E284" s="5" t="s">
        <v>299</v>
      </c>
      <c r="F284" s="9">
        <v>19</v>
      </c>
      <c r="G284" s="9">
        <v>208</v>
      </c>
      <c r="H284" s="5" t="s">
        <v>21</v>
      </c>
      <c r="I284" s="5" t="s">
        <v>810</v>
      </c>
      <c r="J284" s="12" t="str">
        <f>HYPERLINK("https://www.boe.es/gazeta/dias/1802/03/05/pdfs/GMD-1802-19.pdf#page=8","Abrir facsímil")</f>
        <v>Abrir facsímil</v>
      </c>
      <c r="K284" s="15" t="s">
        <v>23</v>
      </c>
    </row>
    <row r="285" spans="1:11" ht="42" customHeight="1">
      <c r="A285" s="4" t="s">
        <v>811</v>
      </c>
      <c r="B285" s="5" t="s">
        <v>811</v>
      </c>
      <c r="C285" s="5" t="s">
        <v>18</v>
      </c>
      <c r="D285" s="5" t="s">
        <v>19</v>
      </c>
      <c r="E285" s="5" t="s">
        <v>49</v>
      </c>
      <c r="F285" s="9">
        <v>83</v>
      </c>
      <c r="G285" s="9">
        <v>1024</v>
      </c>
      <c r="H285" s="5" t="s">
        <v>21</v>
      </c>
      <c r="I285" s="5" t="s">
        <v>812</v>
      </c>
      <c r="J285" s="12" t="str">
        <f>HYPERLINK("https://www.boe.es/gazeta/dias/1802/10/12/pdfs/GMD-1802-83.pdf#page=12","Abrir facsímil")</f>
        <v>Abrir facsímil</v>
      </c>
      <c r="K285" s="15" t="s">
        <v>23</v>
      </c>
    </row>
    <row r="286" spans="1:11" ht="42" customHeight="1">
      <c r="A286" s="4" t="s">
        <v>813</v>
      </c>
      <c r="B286" s="5" t="s">
        <v>813</v>
      </c>
      <c r="C286" s="5" t="s">
        <v>160</v>
      </c>
      <c r="D286" s="5" t="s">
        <v>91</v>
      </c>
      <c r="E286" s="5" t="s">
        <v>814</v>
      </c>
      <c r="F286" s="9">
        <v>41</v>
      </c>
      <c r="G286" s="9">
        <v>495</v>
      </c>
      <c r="H286" s="5" t="s">
        <v>21</v>
      </c>
      <c r="I286" s="5" t="s">
        <v>815</v>
      </c>
      <c r="J286" s="12" t="str">
        <f>HYPERLINK("https://www.boe.es/gazeta/dias/1802/05/21/pdfs/GMD-1802-41.pdf#page=11","Abrir facsímil")</f>
        <v>Abrir facsímil</v>
      </c>
      <c r="K286" s="15" t="s">
        <v>23</v>
      </c>
    </row>
    <row r="287" spans="1:11" ht="42" customHeight="1">
      <c r="A287" s="4" t="s">
        <v>816</v>
      </c>
      <c r="B287" s="5" t="s">
        <v>816</v>
      </c>
      <c r="C287" s="5" t="s">
        <v>18</v>
      </c>
      <c r="D287" s="5" t="s">
        <v>19</v>
      </c>
      <c r="E287" s="5" t="s">
        <v>49</v>
      </c>
      <c r="F287" s="9">
        <v>83</v>
      </c>
      <c r="G287" s="9">
        <v>1025</v>
      </c>
      <c r="H287" s="5" t="s">
        <v>21</v>
      </c>
      <c r="I287" s="5" t="s">
        <v>817</v>
      </c>
      <c r="J287" s="12" t="str">
        <f>HYPERLINK("https://www.boe.es/gazeta/dias/1802/10/12/pdfs/GMD-1802-83.pdf#page=13","Abrir facsímil")</f>
        <v>Abrir facsímil</v>
      </c>
      <c r="K287" s="15" t="s">
        <v>23</v>
      </c>
    </row>
    <row r="288" spans="1:11" ht="42" customHeight="1">
      <c r="A288" s="4" t="s">
        <v>818</v>
      </c>
      <c r="B288" s="5" t="s">
        <v>819</v>
      </c>
      <c r="C288" s="5" t="s">
        <v>18</v>
      </c>
      <c r="D288" s="5" t="s">
        <v>19</v>
      </c>
      <c r="E288" s="5" t="s">
        <v>152</v>
      </c>
      <c r="F288" s="9">
        <v>25</v>
      </c>
      <c r="G288" s="9">
        <v>282</v>
      </c>
      <c r="H288" s="5" t="s">
        <v>21</v>
      </c>
      <c r="I288" s="5" t="s">
        <v>820</v>
      </c>
      <c r="J288" s="12" t="str">
        <f>HYPERLINK("https://www.boe.es/gazeta/dias/1802/03/26/pdfs/GMD-1802-25.pdf#page=6","Abrir facsímil")</f>
        <v>Abrir facsímil</v>
      </c>
      <c r="K288" s="15" t="s">
        <v>23</v>
      </c>
    </row>
    <row r="289" spans="1:11" ht="42" customHeight="1">
      <c r="A289" s="4" t="s">
        <v>821</v>
      </c>
      <c r="B289" s="5" t="s">
        <v>822</v>
      </c>
      <c r="C289" s="5" t="s">
        <v>35</v>
      </c>
      <c r="D289" s="5" t="s">
        <v>36</v>
      </c>
      <c r="E289" s="5" t="s">
        <v>823</v>
      </c>
      <c r="F289" s="9">
        <v>94</v>
      </c>
      <c r="G289" s="9">
        <v>1163</v>
      </c>
      <c r="H289" s="5" t="s">
        <v>21</v>
      </c>
      <c r="I289" s="5" t="s">
        <v>824</v>
      </c>
      <c r="J289" s="12" t="str">
        <f>HYPERLINK("https://www.boe.es/gazeta/dias/1802/11/19/pdfs/GMD-1802-94.pdf#page=11","Abrir facsímil")</f>
        <v>Abrir facsímil</v>
      </c>
      <c r="K289" s="15" t="s">
        <v>23</v>
      </c>
    </row>
    <row r="290" spans="1:11" ht="42" customHeight="1">
      <c r="A290" s="4" t="s">
        <v>825</v>
      </c>
      <c r="B290" s="5" t="s">
        <v>825</v>
      </c>
      <c r="C290" s="5" t="s">
        <v>18</v>
      </c>
      <c r="D290" s="5" t="s">
        <v>19</v>
      </c>
      <c r="E290" s="5" t="s">
        <v>826</v>
      </c>
      <c r="F290" s="9">
        <v>67</v>
      </c>
      <c r="G290" s="9">
        <v>818</v>
      </c>
      <c r="H290" s="5" t="s">
        <v>21</v>
      </c>
      <c r="I290" s="5" t="s">
        <v>827</v>
      </c>
      <c r="J290" s="12" t="str">
        <f>HYPERLINK("https://www.boe.es/gazeta/dias/1802/08/17/pdfs/GMD-1802-67.pdf#page=6","Abrir facsímil")</f>
        <v>Abrir facsímil</v>
      </c>
      <c r="K290" s="15" t="s">
        <v>23</v>
      </c>
    </row>
    <row r="291" spans="1:11" ht="42" customHeight="1">
      <c r="A291" s="4" t="s">
        <v>828</v>
      </c>
      <c r="B291" s="5" t="s">
        <v>829</v>
      </c>
      <c r="C291" s="5" t="s">
        <v>18</v>
      </c>
      <c r="D291" s="5" t="s">
        <v>19</v>
      </c>
      <c r="E291" s="5" t="s">
        <v>82</v>
      </c>
      <c r="F291" s="9">
        <v>74</v>
      </c>
      <c r="G291" s="9">
        <v>914</v>
      </c>
      <c r="H291" s="5" t="s">
        <v>21</v>
      </c>
      <c r="I291" s="5" t="s">
        <v>830</v>
      </c>
      <c r="J291" s="12" t="str">
        <f>HYPERLINK("https://www.boe.es/gazeta/dias/1802/09/10/pdfs/GMD-1802-74.pdf#page=10","Abrir facsímil")</f>
        <v>Abrir facsímil</v>
      </c>
      <c r="K291" s="15" t="s">
        <v>23</v>
      </c>
    </row>
    <row r="292" spans="1:11" ht="42" customHeight="1">
      <c r="A292" s="4" t="s">
        <v>831</v>
      </c>
      <c r="B292" s="5" t="s">
        <v>832</v>
      </c>
      <c r="C292" s="5" t="s">
        <v>160</v>
      </c>
      <c r="D292" s="5" t="s">
        <v>91</v>
      </c>
      <c r="E292" s="5" t="s">
        <v>165</v>
      </c>
      <c r="F292" s="9">
        <v>3</v>
      </c>
      <c r="G292" s="9">
        <v>28</v>
      </c>
      <c r="H292" s="5" t="s">
        <v>21</v>
      </c>
      <c r="I292" s="5" t="s">
        <v>833</v>
      </c>
      <c r="J292" s="12" t="str">
        <f>HYPERLINK("https://www.boe.es/gazeta/dias/1802/01/08/pdfs/GMD-1802-3.pdf#page=8","Abrir facsímil")</f>
        <v>Abrir facsímil</v>
      </c>
      <c r="K292" s="15" t="s">
        <v>23</v>
      </c>
    </row>
    <row r="293" spans="1:11" ht="42" customHeight="1">
      <c r="A293" s="4" t="s">
        <v>834</v>
      </c>
      <c r="B293" s="5" t="s">
        <v>835</v>
      </c>
      <c r="C293" s="5" t="s">
        <v>55</v>
      </c>
      <c r="D293" s="5" t="s">
        <v>56</v>
      </c>
      <c r="E293" s="5" t="s">
        <v>206</v>
      </c>
      <c r="F293" s="9">
        <v>22</v>
      </c>
      <c r="G293" s="9">
        <v>252</v>
      </c>
      <c r="H293" s="5" t="s">
        <v>21</v>
      </c>
      <c r="I293" s="5" t="s">
        <v>836</v>
      </c>
      <c r="J293" s="12" t="str">
        <f>HYPERLINK("https://www.boe.es/gazeta/dias/1802/03/16/pdfs/GMD-C-1802-22.pdf#page=8","Abrir facsímil")</f>
        <v>Abrir facsímil</v>
      </c>
      <c r="K293" s="15" t="s">
        <v>23</v>
      </c>
    </row>
    <row r="294" spans="1:11" ht="42" customHeight="1">
      <c r="A294" s="4" t="s">
        <v>837</v>
      </c>
      <c r="B294" s="5" t="s">
        <v>838</v>
      </c>
      <c r="C294" s="5" t="s">
        <v>160</v>
      </c>
      <c r="D294" s="5" t="s">
        <v>91</v>
      </c>
      <c r="E294" s="5" t="s">
        <v>635</v>
      </c>
      <c r="F294" s="9">
        <v>47</v>
      </c>
      <c r="G294" s="9">
        <v>575</v>
      </c>
      <c r="H294" s="5" t="s">
        <v>21</v>
      </c>
      <c r="I294" s="5" t="s">
        <v>839</v>
      </c>
      <c r="J294" s="12" t="str">
        <f>HYPERLINK("https://www.boe.es/gazeta/dias/1802/06/11/pdfs/GMD-1802-47.pdf#page=11","Abrir facsímil")</f>
        <v>Abrir facsímil</v>
      </c>
      <c r="K294" s="15" t="s">
        <v>23</v>
      </c>
    </row>
    <row r="295" spans="1:11" ht="42" customHeight="1">
      <c r="A295" s="4" t="s">
        <v>840</v>
      </c>
      <c r="B295" s="5" t="s">
        <v>841</v>
      </c>
      <c r="C295" s="5" t="s">
        <v>29</v>
      </c>
      <c r="D295" s="5" t="s">
        <v>30</v>
      </c>
      <c r="E295" s="5" t="s">
        <v>92</v>
      </c>
      <c r="F295" s="9">
        <v>29</v>
      </c>
      <c r="G295" s="9">
        <v>342</v>
      </c>
      <c r="H295" s="5" t="s">
        <v>21</v>
      </c>
      <c r="I295" s="5" t="s">
        <v>842</v>
      </c>
      <c r="J295" s="12" t="str">
        <f>HYPERLINK("https://www.boe.es/gazeta/dias/1802/04/09/pdfs/GMD-1802-29.pdf#page=10","Abrir facsímil")</f>
        <v>Abrir facsímil</v>
      </c>
      <c r="K295" s="15" t="s">
        <v>23</v>
      </c>
    </row>
    <row r="296" spans="1:11" ht="42" customHeight="1">
      <c r="A296" s="4" t="s">
        <v>843</v>
      </c>
      <c r="B296" s="5" t="s">
        <v>843</v>
      </c>
      <c r="C296" s="5" t="s">
        <v>42</v>
      </c>
      <c r="D296" s="5" t="s">
        <v>43</v>
      </c>
      <c r="E296" s="5" t="s">
        <v>44</v>
      </c>
      <c r="F296" s="9">
        <v>99</v>
      </c>
      <c r="G296" s="9" t="s">
        <v>548</v>
      </c>
      <c r="H296" s="5" t="s">
        <v>21</v>
      </c>
      <c r="I296" s="5" t="s">
        <v>844</v>
      </c>
      <c r="J296" s="12" t="str">
        <f>HYPERLINK("https://www.boe.es/gazeta/dias/1802/12/07/pdfs/GMD-D-1802-99.pdf#page=12","Abrir facsímil")</f>
        <v>Abrir facsímil</v>
      </c>
      <c r="K296" s="15" t="s">
        <v>23</v>
      </c>
    </row>
    <row r="297" spans="1:11" ht="42" customHeight="1">
      <c r="A297" s="4" t="s">
        <v>845</v>
      </c>
      <c r="B297" s="5" t="s">
        <v>846</v>
      </c>
      <c r="C297" s="5" t="s">
        <v>42</v>
      </c>
      <c r="D297" s="5" t="s">
        <v>43</v>
      </c>
      <c r="E297" s="5" t="s">
        <v>44</v>
      </c>
      <c r="F297" s="9">
        <v>99</v>
      </c>
      <c r="G297" s="9" t="s">
        <v>558</v>
      </c>
      <c r="H297" s="5" t="s">
        <v>21</v>
      </c>
      <c r="I297" s="5" t="s">
        <v>847</v>
      </c>
      <c r="J297" s="12" t="str">
        <f>HYPERLINK("https://www.boe.es/gazeta/dias/1802/12/07/pdfs/GMD-D-1802-99.pdf#page=1","Abrir facsímil")</f>
        <v>Abrir facsímil</v>
      </c>
      <c r="K297" s="15" t="s">
        <v>23</v>
      </c>
    </row>
    <row r="298" spans="1:11" ht="42" customHeight="1">
      <c r="A298" s="4" t="s">
        <v>848</v>
      </c>
      <c r="B298" s="5" t="s">
        <v>849</v>
      </c>
      <c r="C298" s="5" t="s">
        <v>18</v>
      </c>
      <c r="D298" s="5" t="s">
        <v>19</v>
      </c>
      <c r="E298" s="5" t="s">
        <v>20</v>
      </c>
      <c r="F298" s="9">
        <v>84</v>
      </c>
      <c r="G298" s="9">
        <v>1043</v>
      </c>
      <c r="H298" s="5" t="s">
        <v>21</v>
      </c>
      <c r="I298" s="5" t="s">
        <v>850</v>
      </c>
      <c r="J298" s="12" t="str">
        <f>HYPERLINK("https://www.boe.es/gazeta/dias/1802/10/15/pdfs/GMD-1802-84.pdf#page=11","Abrir facsímil")</f>
        <v>Abrir facsímil</v>
      </c>
      <c r="K298" s="15" t="s">
        <v>23</v>
      </c>
    </row>
    <row r="299" spans="1:11" ht="42" customHeight="1">
      <c r="A299" s="4" t="s">
        <v>851</v>
      </c>
      <c r="B299" s="5" t="s">
        <v>851</v>
      </c>
      <c r="C299" s="5" t="s">
        <v>18</v>
      </c>
      <c r="D299" s="5" t="s">
        <v>19</v>
      </c>
      <c r="E299" s="5" t="s">
        <v>258</v>
      </c>
      <c r="F299" s="9">
        <v>63</v>
      </c>
      <c r="G299" s="9">
        <v>770</v>
      </c>
      <c r="H299" s="5" t="s">
        <v>21</v>
      </c>
      <c r="I299" s="5" t="s">
        <v>852</v>
      </c>
      <c r="J299" s="12" t="str">
        <f>HYPERLINK("https://www.boe.es/gazeta/dias/1802/08/03/pdfs/GMD-1802-63.pdf#page=10","Abrir facsímil")</f>
        <v>Abrir facsímil</v>
      </c>
      <c r="K299" s="15" t="s">
        <v>23</v>
      </c>
    </row>
    <row r="300" spans="1:11" ht="42" customHeight="1">
      <c r="A300" s="4" t="s">
        <v>853</v>
      </c>
      <c r="B300" s="5" t="s">
        <v>854</v>
      </c>
      <c r="C300" s="5" t="s">
        <v>90</v>
      </c>
      <c r="D300" s="5" t="s">
        <v>91</v>
      </c>
      <c r="E300" s="5" t="s">
        <v>678</v>
      </c>
      <c r="F300" s="9">
        <v>15</v>
      </c>
      <c r="G300" s="9">
        <v>154</v>
      </c>
      <c r="H300" s="5" t="s">
        <v>21</v>
      </c>
      <c r="I300" s="5" t="s">
        <v>855</v>
      </c>
      <c r="J300" s="12" t="str">
        <f>HYPERLINK("https://www.boe.es/gazeta/dias/1802/02/19/pdfs/GMD-1802-15.pdf#page=6","Abrir facsímil")</f>
        <v>Abrir facsímil</v>
      </c>
      <c r="K300" s="15" t="s">
        <v>23</v>
      </c>
    </row>
    <row r="301" spans="1:11" ht="42" customHeight="1">
      <c r="A301" s="4" t="s">
        <v>853</v>
      </c>
      <c r="B301" s="5" t="s">
        <v>854</v>
      </c>
      <c r="C301" s="5" t="s">
        <v>29</v>
      </c>
      <c r="D301" s="5" t="s">
        <v>30</v>
      </c>
      <c r="E301" s="5" t="s">
        <v>170</v>
      </c>
      <c r="F301" s="9">
        <v>28</v>
      </c>
      <c r="G301" s="9">
        <v>324</v>
      </c>
      <c r="H301" s="5" t="s">
        <v>21</v>
      </c>
      <c r="I301" s="5" t="s">
        <v>856</v>
      </c>
      <c r="J301" s="12" t="str">
        <f>HYPERLINK("https://www.boe.es/gazeta/dias/1802/04/06/pdfs/GMD-1802-28.pdf#page=4","Abrir facsímil")</f>
        <v>Abrir facsímil</v>
      </c>
      <c r="K301" s="15" t="s">
        <v>23</v>
      </c>
    </row>
    <row r="302" spans="1:11" ht="42" customHeight="1">
      <c r="A302" s="4" t="s">
        <v>857</v>
      </c>
      <c r="B302" s="5" t="s">
        <v>858</v>
      </c>
      <c r="C302" s="5" t="s">
        <v>18</v>
      </c>
      <c r="D302" s="5" t="s">
        <v>19</v>
      </c>
      <c r="E302" s="5" t="s">
        <v>57</v>
      </c>
      <c r="F302" s="9">
        <v>54</v>
      </c>
      <c r="G302" s="9">
        <v>655</v>
      </c>
      <c r="H302" s="5" t="s">
        <v>21</v>
      </c>
      <c r="I302" s="5" t="s">
        <v>859</v>
      </c>
      <c r="J302" s="12" t="str">
        <f>HYPERLINK("https://www.boe.es/gazeta/dias/1802/07/06/pdfs/GMD-1802-54.pdf#page=11","Abrir facsímil")</f>
        <v>Abrir facsímil</v>
      </c>
      <c r="K302" s="15" t="s">
        <v>23</v>
      </c>
    </row>
    <row r="303" spans="1:11" ht="42" customHeight="1">
      <c r="A303" s="4" t="s">
        <v>860</v>
      </c>
      <c r="B303" s="5" t="s">
        <v>861</v>
      </c>
      <c r="C303" s="5" t="s">
        <v>160</v>
      </c>
      <c r="D303" s="5" t="s">
        <v>91</v>
      </c>
      <c r="E303" s="5" t="s">
        <v>439</v>
      </c>
      <c r="F303" s="9">
        <v>76</v>
      </c>
      <c r="G303" s="9">
        <v>939</v>
      </c>
      <c r="H303" s="5" t="s">
        <v>21</v>
      </c>
      <c r="I303" s="5" t="s">
        <v>862</v>
      </c>
      <c r="J303" s="12" t="str">
        <f>HYPERLINK("https://www.boe.es/gazeta/dias/1802/09/17/pdfs/GMD-1802-76.pdf#page=11","Abrir facsímil")</f>
        <v>Abrir facsímil</v>
      </c>
      <c r="K303" s="15" t="s">
        <v>23</v>
      </c>
    </row>
    <row r="304" spans="1:11" ht="42" customHeight="1">
      <c r="A304" s="4" t="s">
        <v>863</v>
      </c>
      <c r="B304" s="5" t="s">
        <v>864</v>
      </c>
      <c r="C304" s="5" t="s">
        <v>160</v>
      </c>
      <c r="D304" s="5" t="s">
        <v>91</v>
      </c>
      <c r="E304" s="5" t="s">
        <v>865</v>
      </c>
      <c r="F304" s="9">
        <v>12</v>
      </c>
      <c r="G304" s="9">
        <v>123</v>
      </c>
      <c r="H304" s="5" t="s">
        <v>21</v>
      </c>
      <c r="I304" s="5" t="s">
        <v>866</v>
      </c>
      <c r="J304" s="12" t="str">
        <f>HYPERLINK("https://www.boe.es/gazeta/dias/1802/02/09/pdfs/GMD-1802-12.pdf#page=7","Abrir facsímil")</f>
        <v>Abrir facsímil</v>
      </c>
      <c r="K304" s="15" t="s">
        <v>23</v>
      </c>
    </row>
    <row r="305" spans="1:11" ht="42" customHeight="1">
      <c r="A305" s="4" t="s">
        <v>867</v>
      </c>
      <c r="B305" s="5" t="s">
        <v>868</v>
      </c>
      <c r="C305" s="5" t="s">
        <v>18</v>
      </c>
      <c r="D305" s="5" t="s">
        <v>19</v>
      </c>
      <c r="E305" s="5" t="s">
        <v>172</v>
      </c>
      <c r="F305" s="9">
        <v>35</v>
      </c>
      <c r="G305" s="9">
        <v>414</v>
      </c>
      <c r="H305" s="5" t="s">
        <v>21</v>
      </c>
      <c r="I305" s="5" t="s">
        <v>869</v>
      </c>
      <c r="J305" s="12" t="str">
        <f>HYPERLINK("https://www.boe.es/gazeta/dias/1802/04/30/pdfs/GMD-1802-35.pdf#page=14","Abrir facsímil")</f>
        <v>Abrir facsímil</v>
      </c>
      <c r="K305" s="15" t="s">
        <v>23</v>
      </c>
    </row>
    <row r="306" spans="1:11" ht="42" customHeight="1">
      <c r="A306" s="4" t="s">
        <v>870</v>
      </c>
      <c r="B306" s="5" t="s">
        <v>871</v>
      </c>
      <c r="C306" s="5" t="s">
        <v>90</v>
      </c>
      <c r="D306" s="5" t="s">
        <v>91</v>
      </c>
      <c r="E306" s="5" t="s">
        <v>181</v>
      </c>
      <c r="F306" s="9">
        <v>55</v>
      </c>
      <c r="G306" s="9">
        <v>667</v>
      </c>
      <c r="H306" s="5" t="s">
        <v>21</v>
      </c>
      <c r="I306" s="5" t="s">
        <v>872</v>
      </c>
      <c r="J306" s="12" t="str">
        <f>HYPERLINK("https://www.boe.es/gazeta/dias/1802/07/09/pdfs/GMD-1802-55.pdf#page=11","Abrir facsímil")</f>
        <v>Abrir facsímil</v>
      </c>
      <c r="K306" s="15" t="s">
        <v>23</v>
      </c>
    </row>
    <row r="307" spans="1:11" ht="42" customHeight="1">
      <c r="A307" s="4" t="s">
        <v>870</v>
      </c>
      <c r="B307" s="5" t="s">
        <v>871</v>
      </c>
      <c r="C307" s="5" t="s">
        <v>90</v>
      </c>
      <c r="D307" s="5" t="s">
        <v>91</v>
      </c>
      <c r="E307" s="5" t="s">
        <v>574</v>
      </c>
      <c r="F307" s="9" t="s">
        <v>575</v>
      </c>
      <c r="G307" s="9">
        <v>705</v>
      </c>
      <c r="H307" s="5" t="s">
        <v>21</v>
      </c>
      <c r="I307" s="5" t="s">
        <v>873</v>
      </c>
      <c r="J307" s="12" t="str">
        <f>HYPERLINK("https://www.boe.es/gazeta/dias/1802/07/21/pdfs/GMD-1802-59E.pdf#page=1","Abrir facsímil")</f>
        <v>Abrir facsímil</v>
      </c>
      <c r="K307" s="15" t="s">
        <v>23</v>
      </c>
    </row>
    <row r="308" spans="1:11" ht="42" customHeight="1">
      <c r="A308" s="4" t="s">
        <v>874</v>
      </c>
      <c r="B308" s="5" t="s">
        <v>875</v>
      </c>
      <c r="C308" s="5" t="s">
        <v>90</v>
      </c>
      <c r="D308" s="5" t="s">
        <v>91</v>
      </c>
      <c r="E308" s="5" t="s">
        <v>258</v>
      </c>
      <c r="F308" s="9">
        <v>63</v>
      </c>
      <c r="G308" s="9">
        <v>766</v>
      </c>
      <c r="H308" s="5" t="s">
        <v>21</v>
      </c>
      <c r="I308" s="5" t="s">
        <v>876</v>
      </c>
      <c r="J308" s="12" t="str">
        <f>HYPERLINK("https://www.boe.es/gazeta/dias/1802/08/03/pdfs/GMD-1802-63.pdf#page=6","Abrir facsímil")</f>
        <v>Abrir facsímil</v>
      </c>
      <c r="K308" s="15" t="s">
        <v>23</v>
      </c>
    </row>
    <row r="309" spans="1:11" ht="42" customHeight="1">
      <c r="A309" s="4" t="s">
        <v>877</v>
      </c>
      <c r="B309" s="5" t="s">
        <v>877</v>
      </c>
      <c r="C309" s="5" t="s">
        <v>29</v>
      </c>
      <c r="D309" s="5" t="s">
        <v>30</v>
      </c>
      <c r="E309" s="5" t="s">
        <v>574</v>
      </c>
      <c r="F309" s="9" t="s">
        <v>575</v>
      </c>
      <c r="G309" s="9">
        <v>711</v>
      </c>
      <c r="H309" s="5" t="s">
        <v>21</v>
      </c>
      <c r="I309" s="5" t="s">
        <v>878</v>
      </c>
      <c r="J309" s="12" t="str">
        <f>HYPERLINK("https://www.boe.es/gazeta/dias/1802/07/21/pdfs/GMD-1802-59E.pdf#page=7","Abrir facsímil")</f>
        <v>Abrir facsímil</v>
      </c>
      <c r="K309" s="15" t="s">
        <v>23</v>
      </c>
    </row>
    <row r="310" spans="1:11" ht="42" customHeight="1">
      <c r="A310" s="4" t="s">
        <v>879</v>
      </c>
      <c r="B310" s="5" t="s">
        <v>880</v>
      </c>
      <c r="C310" s="5" t="s">
        <v>18</v>
      </c>
      <c r="D310" s="5" t="s">
        <v>19</v>
      </c>
      <c r="E310" s="5" t="s">
        <v>881</v>
      </c>
      <c r="F310" s="9">
        <v>65</v>
      </c>
      <c r="G310" s="9">
        <v>792</v>
      </c>
      <c r="H310" s="5" t="s">
        <v>21</v>
      </c>
      <c r="I310" s="5" t="s">
        <v>882</v>
      </c>
      <c r="J310" s="12" t="str">
        <f>HYPERLINK("https://www.boe.es/gazeta/dias/1802/08/10/pdfs/GMD-1802-65.pdf#page=8","Abrir facsímil")</f>
        <v>Abrir facsímil</v>
      </c>
      <c r="K310" s="15" t="s">
        <v>23</v>
      </c>
    </row>
    <row r="311" spans="1:11" ht="42" customHeight="1">
      <c r="A311" s="4" t="s">
        <v>883</v>
      </c>
      <c r="B311" s="5" t="s">
        <v>884</v>
      </c>
      <c r="C311" s="5" t="s">
        <v>35</v>
      </c>
      <c r="D311" s="5" t="s">
        <v>36</v>
      </c>
      <c r="E311" s="5" t="s">
        <v>60</v>
      </c>
      <c r="F311" s="9">
        <v>5</v>
      </c>
      <c r="G311" s="9">
        <v>46</v>
      </c>
      <c r="H311" s="5" t="s">
        <v>21</v>
      </c>
      <c r="I311" s="5" t="s">
        <v>885</v>
      </c>
      <c r="J311" s="12" t="str">
        <f>HYPERLINK("https://www.boe.es/gazeta/dias/1802/01/15/pdfs/GMD-1802-5.pdf#page=2","Abrir facsímil")</f>
        <v>Abrir facsímil</v>
      </c>
      <c r="K311" s="15" t="s">
        <v>23</v>
      </c>
    </row>
    <row r="312" spans="1:11" ht="42" customHeight="1">
      <c r="A312" s="4" t="s">
        <v>883</v>
      </c>
      <c r="B312" s="5" t="s">
        <v>884</v>
      </c>
      <c r="C312" s="5" t="s">
        <v>29</v>
      </c>
      <c r="D312" s="5" t="s">
        <v>30</v>
      </c>
      <c r="E312" s="5" t="s">
        <v>886</v>
      </c>
      <c r="F312" s="9">
        <v>7</v>
      </c>
      <c r="G312" s="9">
        <v>63</v>
      </c>
      <c r="H312" s="5" t="s">
        <v>21</v>
      </c>
      <c r="I312" s="5" t="s">
        <v>887</v>
      </c>
      <c r="J312" s="12" t="str">
        <f>HYPERLINK("https://www.boe.es/gazeta/dias/1802/01/22/pdfs/GMD-1802-7.pdf#page=3","Abrir facsímil")</f>
        <v>Abrir facsímil</v>
      </c>
      <c r="K312" s="15" t="s">
        <v>23</v>
      </c>
    </row>
    <row r="313" spans="1:11" ht="42" customHeight="1">
      <c r="A313" s="4" t="s">
        <v>883</v>
      </c>
      <c r="B313" s="5" t="s">
        <v>884</v>
      </c>
      <c r="C313" s="5" t="s">
        <v>35</v>
      </c>
      <c r="D313" s="5" t="s">
        <v>36</v>
      </c>
      <c r="E313" s="5" t="s">
        <v>109</v>
      </c>
      <c r="F313" s="9">
        <v>10</v>
      </c>
      <c r="G313" s="9">
        <v>95</v>
      </c>
      <c r="H313" s="5" t="s">
        <v>21</v>
      </c>
      <c r="I313" s="5" t="s">
        <v>888</v>
      </c>
      <c r="J313" s="12" t="str">
        <f>HYPERLINK("https://www.boe.es/gazeta/dias/1802/02/02/pdfs/GMD-1802-10.pdf#page=3","Abrir facsímil")</f>
        <v>Abrir facsímil</v>
      </c>
      <c r="K313" s="15" t="s">
        <v>23</v>
      </c>
    </row>
    <row r="314" spans="1:11" ht="42" customHeight="1">
      <c r="A314" s="4" t="s">
        <v>883</v>
      </c>
      <c r="B314" s="5" t="s">
        <v>884</v>
      </c>
      <c r="C314" s="5" t="s">
        <v>29</v>
      </c>
      <c r="D314" s="5" t="s">
        <v>30</v>
      </c>
      <c r="E314" s="5" t="s">
        <v>381</v>
      </c>
      <c r="F314" s="9">
        <v>13</v>
      </c>
      <c r="G314" s="9">
        <v>126</v>
      </c>
      <c r="H314" s="5" t="s">
        <v>21</v>
      </c>
      <c r="I314" s="5" t="s">
        <v>889</v>
      </c>
      <c r="J314" s="12" t="str">
        <f>HYPERLINK("https://www.boe.es/gazeta/dias/1802/02/12/pdfs/GMD-1802-13.pdf#page=2","Abrir facsímil")</f>
        <v>Abrir facsímil</v>
      </c>
      <c r="K314" s="15" t="s">
        <v>23</v>
      </c>
    </row>
    <row r="315" spans="1:11" ht="42" customHeight="1">
      <c r="A315" s="4" t="s">
        <v>883</v>
      </c>
      <c r="B315" s="5" t="s">
        <v>884</v>
      </c>
      <c r="C315" s="5" t="s">
        <v>35</v>
      </c>
      <c r="D315" s="5" t="s">
        <v>36</v>
      </c>
      <c r="E315" s="5" t="s">
        <v>247</v>
      </c>
      <c r="F315" s="9">
        <v>14</v>
      </c>
      <c r="G315" s="9">
        <v>140</v>
      </c>
      <c r="H315" s="5" t="s">
        <v>21</v>
      </c>
      <c r="I315" s="5" t="s">
        <v>890</v>
      </c>
      <c r="J315" s="12" t="str">
        <f>HYPERLINK("https://www.boe.es/gazeta/dias/1802/02/16/pdfs/GMD-1802-14.pdf#page=4","Abrir facsímil")</f>
        <v>Abrir facsímil</v>
      </c>
      <c r="K315" s="15" t="s">
        <v>23</v>
      </c>
    </row>
    <row r="316" spans="1:11" ht="42" customHeight="1">
      <c r="A316" s="4" t="s">
        <v>883</v>
      </c>
      <c r="B316" s="5" t="s">
        <v>884</v>
      </c>
      <c r="C316" s="5" t="s">
        <v>29</v>
      </c>
      <c r="D316" s="5" t="s">
        <v>30</v>
      </c>
      <c r="E316" s="5" t="s">
        <v>678</v>
      </c>
      <c r="F316" s="9">
        <v>15</v>
      </c>
      <c r="G316" s="9">
        <v>151</v>
      </c>
      <c r="H316" s="5" t="s">
        <v>21</v>
      </c>
      <c r="I316" s="5" t="s">
        <v>891</v>
      </c>
      <c r="J316" s="12" t="str">
        <f>HYPERLINK("https://www.boe.es/gazeta/dias/1802/02/19/pdfs/GMD-1802-15.pdf#page=3","Abrir facsímil")</f>
        <v>Abrir facsímil</v>
      </c>
      <c r="K316" s="15" t="s">
        <v>23</v>
      </c>
    </row>
    <row r="317" spans="1:11" ht="42" customHeight="1">
      <c r="A317" s="4" t="s">
        <v>883</v>
      </c>
      <c r="B317" s="5" t="s">
        <v>884</v>
      </c>
      <c r="C317" s="5" t="s">
        <v>18</v>
      </c>
      <c r="D317" s="5" t="s">
        <v>19</v>
      </c>
      <c r="E317" s="5" t="s">
        <v>678</v>
      </c>
      <c r="F317" s="9">
        <v>15</v>
      </c>
      <c r="G317" s="9">
        <v>152</v>
      </c>
      <c r="H317" s="5" t="s">
        <v>21</v>
      </c>
      <c r="I317" s="5" t="s">
        <v>892</v>
      </c>
      <c r="J317" s="12" t="str">
        <f>HYPERLINK("https://www.boe.es/gazeta/dias/1802/02/19/pdfs/GMD-1802-15.pdf#page=4","Abrir facsímil")</f>
        <v>Abrir facsímil</v>
      </c>
      <c r="K317" s="15" t="s">
        <v>23</v>
      </c>
    </row>
    <row r="318" spans="1:11" ht="42" customHeight="1">
      <c r="A318" s="4" t="s">
        <v>883</v>
      </c>
      <c r="B318" s="5" t="s">
        <v>884</v>
      </c>
      <c r="C318" s="5" t="s">
        <v>35</v>
      </c>
      <c r="D318" s="5" t="s">
        <v>36</v>
      </c>
      <c r="E318" s="5" t="s">
        <v>172</v>
      </c>
      <c r="F318" s="9">
        <v>35</v>
      </c>
      <c r="G318" s="9">
        <v>404</v>
      </c>
      <c r="H318" s="5" t="s">
        <v>21</v>
      </c>
      <c r="I318" s="5" t="s">
        <v>893</v>
      </c>
      <c r="J318" s="12" t="str">
        <f>HYPERLINK("https://www.boe.es/gazeta/dias/1802/04/30/pdfs/GMD-1802-35.pdf#page=4","Abrir facsímil")</f>
        <v>Abrir facsímil</v>
      </c>
      <c r="K318" s="15" t="s">
        <v>23</v>
      </c>
    </row>
    <row r="319" spans="1:11" ht="42" customHeight="1">
      <c r="A319" s="4" t="s">
        <v>883</v>
      </c>
      <c r="B319" s="5" t="s">
        <v>884</v>
      </c>
      <c r="C319" s="5" t="s">
        <v>90</v>
      </c>
      <c r="D319" s="5" t="s">
        <v>91</v>
      </c>
      <c r="E319" s="5" t="s">
        <v>764</v>
      </c>
      <c r="F319" s="9">
        <v>69</v>
      </c>
      <c r="G319" s="9">
        <v>843</v>
      </c>
      <c r="H319" s="5" t="s">
        <v>21</v>
      </c>
      <c r="I319" s="5" t="s">
        <v>894</v>
      </c>
      <c r="J319" s="12" t="str">
        <f>HYPERLINK("https://www.boe.es/gazeta/dias/1802/08/24/pdfs/GMD-1802-69.pdf#page=3","Abrir facsímil")</f>
        <v>Abrir facsímil</v>
      </c>
      <c r="K319" s="15" t="s">
        <v>23</v>
      </c>
    </row>
    <row r="320" spans="1:11" ht="42" customHeight="1">
      <c r="A320" s="4" t="s">
        <v>895</v>
      </c>
      <c r="B320" s="5" t="s">
        <v>896</v>
      </c>
      <c r="C320" s="5" t="s">
        <v>55</v>
      </c>
      <c r="D320" s="5" t="s">
        <v>56</v>
      </c>
      <c r="E320" s="5" t="s">
        <v>517</v>
      </c>
      <c r="F320" s="9">
        <v>61</v>
      </c>
      <c r="G320" s="9">
        <v>733</v>
      </c>
      <c r="H320" s="5" t="s">
        <v>21</v>
      </c>
      <c r="I320" s="5" t="s">
        <v>897</v>
      </c>
      <c r="J320" s="12" t="str">
        <f>HYPERLINK("https://www.boe.es/gazeta/dias/1802/07/27/pdfs/GMD-1802-61.pdf#page=1","Abrir facsímil")</f>
        <v>Abrir facsímil</v>
      </c>
      <c r="K320" s="15" t="s">
        <v>23</v>
      </c>
    </row>
    <row r="321" spans="1:11" ht="42" customHeight="1">
      <c r="A321" s="4" t="s">
        <v>898</v>
      </c>
      <c r="B321" s="5" t="s">
        <v>899</v>
      </c>
      <c r="C321" s="5" t="s">
        <v>29</v>
      </c>
      <c r="D321" s="5" t="s">
        <v>30</v>
      </c>
      <c r="E321" s="5" t="s">
        <v>900</v>
      </c>
      <c r="F321" s="9">
        <v>16</v>
      </c>
      <c r="G321" s="9">
        <v>171</v>
      </c>
      <c r="H321" s="5" t="s">
        <v>21</v>
      </c>
      <c r="I321" s="5" t="s">
        <v>901</v>
      </c>
      <c r="J321" s="12" t="str">
        <f>HYPERLINK("https://www.boe.es/gazeta/dias/1802/02/23/pdfs/GMD-1802-16.pdf#page=11","Abrir facsímil")</f>
        <v>Abrir facsímil</v>
      </c>
      <c r="K321" s="15" t="s">
        <v>23</v>
      </c>
    </row>
    <row r="322" spans="1:11" ht="42" customHeight="1">
      <c r="A322" s="4" t="s">
        <v>902</v>
      </c>
      <c r="B322" s="5" t="s">
        <v>902</v>
      </c>
      <c r="C322" s="5" t="s">
        <v>29</v>
      </c>
      <c r="D322" s="5" t="s">
        <v>30</v>
      </c>
      <c r="E322" s="5" t="s">
        <v>491</v>
      </c>
      <c r="F322" s="9">
        <v>57</v>
      </c>
      <c r="G322" s="9">
        <v>690</v>
      </c>
      <c r="H322" s="5" t="s">
        <v>21</v>
      </c>
      <c r="I322" s="5" t="s">
        <v>903</v>
      </c>
      <c r="J322" s="12" t="str">
        <f>HYPERLINK("https://www.boe.es/gazeta/dias/1802/07/16/pdfs/GMD-1802-57.pdf#page=10","Abrir facsímil")</f>
        <v>Abrir facsímil</v>
      </c>
      <c r="K322" s="15" t="s">
        <v>23</v>
      </c>
    </row>
    <row r="323" spans="1:11" ht="42" customHeight="1">
      <c r="A323" s="4" t="s">
        <v>904</v>
      </c>
      <c r="B323" s="5" t="s">
        <v>904</v>
      </c>
      <c r="C323" s="5" t="s">
        <v>18</v>
      </c>
      <c r="D323" s="5" t="s">
        <v>19</v>
      </c>
      <c r="E323" s="5" t="s">
        <v>148</v>
      </c>
      <c r="F323" s="9">
        <v>66</v>
      </c>
      <c r="G323" s="9">
        <v>811</v>
      </c>
      <c r="H323" s="5" t="s">
        <v>21</v>
      </c>
      <c r="I323" s="5" t="s">
        <v>905</v>
      </c>
      <c r="J323" s="12" t="str">
        <f>HYPERLINK("https://www.boe.es/gazeta/dias/1802/08/13/pdfs/GMD-1802-66.pdf#page=15","Abrir facsímil")</f>
        <v>Abrir facsímil</v>
      </c>
      <c r="K323" s="15" t="s">
        <v>23</v>
      </c>
    </row>
    <row r="324" spans="1:11" ht="42" customHeight="1">
      <c r="A324" s="4" t="s">
        <v>906</v>
      </c>
      <c r="B324" s="5" t="s">
        <v>906</v>
      </c>
      <c r="C324" s="5" t="s">
        <v>29</v>
      </c>
      <c r="D324" s="5" t="s">
        <v>30</v>
      </c>
      <c r="E324" s="5" t="s">
        <v>907</v>
      </c>
      <c r="F324" s="9">
        <v>77</v>
      </c>
      <c r="G324" s="9">
        <v>949</v>
      </c>
      <c r="H324" s="5" t="s">
        <v>21</v>
      </c>
      <c r="I324" s="5" t="s">
        <v>908</v>
      </c>
      <c r="J324" s="12" t="str">
        <f>HYPERLINK("https://www.boe.es/gazeta/dias/1802/09/21/pdfs/GMD-1802-77.pdf#page=9","Abrir facsímil")</f>
        <v>Abrir facsímil</v>
      </c>
      <c r="K324" s="15" t="s">
        <v>23</v>
      </c>
    </row>
    <row r="325" spans="1:11" ht="42" customHeight="1">
      <c r="A325" s="4" t="s">
        <v>909</v>
      </c>
      <c r="B325" s="5" t="s">
        <v>910</v>
      </c>
      <c r="C325" s="5" t="s">
        <v>29</v>
      </c>
      <c r="D325" s="5" t="s">
        <v>30</v>
      </c>
      <c r="E325" s="5" t="s">
        <v>443</v>
      </c>
      <c r="F325" s="9">
        <v>78</v>
      </c>
      <c r="G325" s="9">
        <v>963</v>
      </c>
      <c r="H325" s="5" t="s">
        <v>21</v>
      </c>
      <c r="I325" s="5" t="s">
        <v>911</v>
      </c>
      <c r="J325" s="12" t="str">
        <f>HYPERLINK("https://www.boe.es/gazeta/dias/1802/09/24/pdfs/GMD-1802-78.pdf#page=11","Abrir facsímil")</f>
        <v>Abrir facsímil</v>
      </c>
      <c r="K325" s="15" t="s">
        <v>23</v>
      </c>
    </row>
    <row r="326" spans="1:11" ht="42" customHeight="1">
      <c r="A326" s="4" t="s">
        <v>912</v>
      </c>
      <c r="B326" s="5" t="s">
        <v>912</v>
      </c>
      <c r="C326" s="5" t="s">
        <v>90</v>
      </c>
      <c r="D326" s="5" t="s">
        <v>91</v>
      </c>
      <c r="E326" s="5" t="s">
        <v>311</v>
      </c>
      <c r="F326" s="9">
        <v>88</v>
      </c>
      <c r="G326" s="9">
        <v>1093</v>
      </c>
      <c r="H326" s="5" t="s">
        <v>21</v>
      </c>
      <c r="I326" s="5" t="s">
        <v>913</v>
      </c>
      <c r="J326" s="12" t="str">
        <f>HYPERLINK("https://www.boe.es/gazeta/dias/1802/10/29/pdfs/GMD-1802-88.pdf#page=9","Abrir facsímil")</f>
        <v>Abrir facsímil</v>
      </c>
      <c r="K326" s="15" t="s">
        <v>23</v>
      </c>
    </row>
    <row r="327" spans="1:11" ht="42" customHeight="1">
      <c r="A327" s="4" t="s">
        <v>914</v>
      </c>
      <c r="B327" s="5" t="s">
        <v>915</v>
      </c>
      <c r="C327" s="5" t="s">
        <v>35</v>
      </c>
      <c r="D327" s="5" t="s">
        <v>36</v>
      </c>
      <c r="E327" s="5" t="s">
        <v>292</v>
      </c>
      <c r="F327" s="9">
        <v>62</v>
      </c>
      <c r="G327" s="9">
        <v>751</v>
      </c>
      <c r="H327" s="5" t="s">
        <v>21</v>
      </c>
      <c r="I327" s="5" t="s">
        <v>916</v>
      </c>
      <c r="J327" s="12" t="str">
        <f>HYPERLINK("https://www.boe.es/gazeta/dias/1802/07/30/pdfs/GMD-1802-62.pdf#page=7","Abrir facsímil")</f>
        <v>Abrir facsímil</v>
      </c>
      <c r="K327" s="15" t="s">
        <v>23</v>
      </c>
    </row>
    <row r="328" spans="1:11" ht="42" customHeight="1">
      <c r="A328" s="4" t="s">
        <v>917</v>
      </c>
      <c r="B328" s="5" t="s">
        <v>917</v>
      </c>
      <c r="C328" s="5" t="s">
        <v>29</v>
      </c>
      <c r="D328" s="5" t="s">
        <v>30</v>
      </c>
      <c r="E328" s="5" t="s">
        <v>49</v>
      </c>
      <c r="F328" s="9">
        <v>83</v>
      </c>
      <c r="G328" s="9">
        <v>1020</v>
      </c>
      <c r="H328" s="5" t="s">
        <v>21</v>
      </c>
      <c r="I328" s="5" t="s">
        <v>918</v>
      </c>
      <c r="J328" s="12" t="str">
        <f>HYPERLINK("https://www.boe.es/gazeta/dias/1802/10/12/pdfs/GMD-1802-83.pdf#page=8","Abrir facsímil")</f>
        <v>Abrir facsímil</v>
      </c>
      <c r="K328" s="15" t="s">
        <v>23</v>
      </c>
    </row>
    <row r="329" spans="1:11" ht="42" customHeight="1">
      <c r="A329" s="4" t="s">
        <v>919</v>
      </c>
      <c r="B329" s="5" t="s">
        <v>920</v>
      </c>
      <c r="C329" s="5" t="s">
        <v>55</v>
      </c>
      <c r="D329" s="5" t="s">
        <v>56</v>
      </c>
      <c r="E329" s="5" t="s">
        <v>921</v>
      </c>
      <c r="F329" s="9">
        <v>50</v>
      </c>
      <c r="G329" s="9">
        <v>610</v>
      </c>
      <c r="H329" s="5" t="s">
        <v>21</v>
      </c>
      <c r="I329" s="5" t="s">
        <v>922</v>
      </c>
      <c r="J329" s="12" t="str">
        <f>HYPERLINK("https://www.boe.es/gazeta/dias/1802/06/22/pdfs/GMD-1802-50.pdf#page=10","Abrir facsímil")</f>
        <v>Abrir facsímil</v>
      </c>
      <c r="K329" s="15" t="s">
        <v>23</v>
      </c>
    </row>
    <row r="330" spans="1:11" ht="42" customHeight="1">
      <c r="A330" s="4" t="s">
        <v>923</v>
      </c>
      <c r="B330" s="5" t="s">
        <v>924</v>
      </c>
      <c r="C330" s="5" t="s">
        <v>29</v>
      </c>
      <c r="D330" s="5" t="s">
        <v>30</v>
      </c>
      <c r="E330" s="5" t="s">
        <v>206</v>
      </c>
      <c r="F330" s="9">
        <v>22</v>
      </c>
      <c r="G330" s="9">
        <v>241</v>
      </c>
      <c r="H330" s="5" t="s">
        <v>21</v>
      </c>
      <c r="I330" s="5" t="s">
        <v>925</v>
      </c>
      <c r="J330" s="12" t="str">
        <f>HYPERLINK("https://www.boe.es/gazeta/dias/1802/03/16/pdfs/GMD-1802-22.pdf#page=9","Abrir facsímil")</f>
        <v>Abrir facsímil</v>
      </c>
      <c r="K330" s="15" t="s">
        <v>23</v>
      </c>
    </row>
    <row r="331" spans="1:11" ht="42" customHeight="1">
      <c r="A331" s="4" t="s">
        <v>926</v>
      </c>
      <c r="B331" s="5" t="s">
        <v>927</v>
      </c>
      <c r="C331" s="5" t="s">
        <v>29</v>
      </c>
      <c r="D331" s="5" t="s">
        <v>30</v>
      </c>
      <c r="E331" s="5" t="s">
        <v>439</v>
      </c>
      <c r="F331" s="9">
        <v>76</v>
      </c>
      <c r="G331" s="9">
        <v>939</v>
      </c>
      <c r="H331" s="5" t="s">
        <v>21</v>
      </c>
      <c r="I331" s="5" t="s">
        <v>928</v>
      </c>
      <c r="J331" s="12" t="str">
        <f>HYPERLINK("https://www.boe.es/gazeta/dias/1802/09/17/pdfs/GMD-1802-76.pdf#page=11","Abrir facsímil")</f>
        <v>Abrir facsímil</v>
      </c>
      <c r="K331" s="15" t="s">
        <v>23</v>
      </c>
    </row>
    <row r="332" spans="1:11" ht="42" customHeight="1">
      <c r="A332" s="4" t="s">
        <v>929</v>
      </c>
      <c r="B332" s="5" t="s">
        <v>930</v>
      </c>
      <c r="C332" s="5" t="s">
        <v>29</v>
      </c>
      <c r="D332" s="5" t="s">
        <v>30</v>
      </c>
      <c r="E332" s="5" t="s">
        <v>181</v>
      </c>
      <c r="F332" s="9">
        <v>55</v>
      </c>
      <c r="G332" s="9">
        <v>667</v>
      </c>
      <c r="H332" s="5" t="s">
        <v>21</v>
      </c>
      <c r="I332" s="5" t="s">
        <v>931</v>
      </c>
      <c r="J332" s="12" t="str">
        <f>HYPERLINK("https://www.boe.es/gazeta/dias/1802/07/09/pdfs/GMD-1802-55.pdf#page=11","Abrir facsímil")</f>
        <v>Abrir facsímil</v>
      </c>
      <c r="K332" s="15" t="s">
        <v>23</v>
      </c>
    </row>
    <row r="333" spans="1:11" ht="42" customHeight="1">
      <c r="A333" s="4" t="s">
        <v>932</v>
      </c>
      <c r="B333" s="5" t="s">
        <v>933</v>
      </c>
      <c r="C333" s="5" t="s">
        <v>42</v>
      </c>
      <c r="D333" s="5" t="s">
        <v>43</v>
      </c>
      <c r="E333" s="5" t="s">
        <v>44</v>
      </c>
      <c r="F333" s="9">
        <v>99</v>
      </c>
      <c r="G333" s="9" t="s">
        <v>78</v>
      </c>
      <c r="H333" s="5" t="s">
        <v>21</v>
      </c>
      <c r="I333" s="5" t="s">
        <v>934</v>
      </c>
      <c r="J333" s="12" t="str">
        <f>HYPERLINK("https://www.boe.es/gazeta/dias/1802/12/07/pdfs/GMD-D-1802-99.pdf#page=15","Abrir facsímil")</f>
        <v>Abrir facsímil</v>
      </c>
      <c r="K333" s="15" t="s">
        <v>23</v>
      </c>
    </row>
    <row r="334" spans="1:11" ht="42" customHeight="1">
      <c r="A334" s="4" t="s">
        <v>935</v>
      </c>
      <c r="B334" s="5" t="s">
        <v>936</v>
      </c>
      <c r="C334" s="5" t="s">
        <v>42</v>
      </c>
      <c r="D334" s="5" t="s">
        <v>43</v>
      </c>
      <c r="E334" s="5" t="s">
        <v>44</v>
      </c>
      <c r="F334" s="9">
        <v>99</v>
      </c>
      <c r="G334" s="9" t="s">
        <v>251</v>
      </c>
      <c r="H334" s="5" t="s">
        <v>21</v>
      </c>
      <c r="I334" s="5" t="s">
        <v>937</v>
      </c>
      <c r="J334" s="12" t="str">
        <f>HYPERLINK("https://www.boe.es/gazeta/dias/1802/12/07/pdfs/GMD-D-1802-99.pdf#page=6","Abrir facsímil")</f>
        <v>Abrir facsímil</v>
      </c>
      <c r="K334" s="15" t="s">
        <v>23</v>
      </c>
    </row>
    <row r="335" spans="1:11" ht="42" customHeight="1">
      <c r="A335" s="4" t="s">
        <v>938</v>
      </c>
      <c r="B335" s="5" t="s">
        <v>938</v>
      </c>
      <c r="C335" s="5" t="s">
        <v>29</v>
      </c>
      <c r="D335" s="5" t="s">
        <v>30</v>
      </c>
      <c r="E335" s="5" t="s">
        <v>439</v>
      </c>
      <c r="F335" s="9">
        <v>76</v>
      </c>
      <c r="G335" s="9">
        <v>939</v>
      </c>
      <c r="H335" s="5" t="s">
        <v>21</v>
      </c>
      <c r="I335" s="5" t="s">
        <v>939</v>
      </c>
      <c r="J335" s="12" t="str">
        <f>HYPERLINK("https://www.boe.es/gazeta/dias/1802/09/17/pdfs/GMD-1802-76.pdf#page=11","Abrir facsímil")</f>
        <v>Abrir facsímil</v>
      </c>
      <c r="K335" s="15" t="s">
        <v>23</v>
      </c>
    </row>
    <row r="336" spans="1:11" ht="42" customHeight="1">
      <c r="A336" s="4" t="s">
        <v>940</v>
      </c>
      <c r="B336" s="5" t="s">
        <v>941</v>
      </c>
      <c r="C336" s="5" t="s">
        <v>90</v>
      </c>
      <c r="D336" s="5" t="s">
        <v>91</v>
      </c>
      <c r="E336" s="5" t="s">
        <v>678</v>
      </c>
      <c r="F336" s="9">
        <v>15</v>
      </c>
      <c r="G336" s="9">
        <v>158</v>
      </c>
      <c r="H336" s="5" t="s">
        <v>21</v>
      </c>
      <c r="I336" s="5" t="s">
        <v>942</v>
      </c>
      <c r="J336" s="12" t="str">
        <f>HYPERLINK("https://www.boe.es/gazeta/dias/1802/02/19/pdfs/GMD-1802-15.pdf#page=10","Abrir facsímil")</f>
        <v>Abrir facsímil</v>
      </c>
      <c r="K336" s="15" t="s">
        <v>23</v>
      </c>
    </row>
    <row r="337" spans="1:11" ht="42" customHeight="1">
      <c r="A337" s="4" t="s">
        <v>943</v>
      </c>
      <c r="B337" s="5" t="s">
        <v>944</v>
      </c>
      <c r="C337" s="5" t="s">
        <v>29</v>
      </c>
      <c r="D337" s="5" t="s">
        <v>30</v>
      </c>
      <c r="E337" s="5" t="s">
        <v>678</v>
      </c>
      <c r="F337" s="9">
        <v>15</v>
      </c>
      <c r="G337" s="9">
        <v>157</v>
      </c>
      <c r="H337" s="5" t="s">
        <v>21</v>
      </c>
      <c r="I337" s="5" t="s">
        <v>945</v>
      </c>
      <c r="J337" s="12" t="str">
        <f>HYPERLINK("https://www.boe.es/gazeta/dias/1802/02/19/pdfs/GMD-1802-15.pdf#page=9","Abrir facsímil")</f>
        <v>Abrir facsímil</v>
      </c>
      <c r="K337" s="15" t="s">
        <v>23</v>
      </c>
    </row>
    <row r="338" spans="1:11" ht="42" customHeight="1">
      <c r="A338" s="4" t="s">
        <v>946</v>
      </c>
      <c r="B338" s="5" t="s">
        <v>947</v>
      </c>
      <c r="C338" s="5" t="s">
        <v>29</v>
      </c>
      <c r="D338" s="5" t="s">
        <v>30</v>
      </c>
      <c r="E338" s="5" t="s">
        <v>175</v>
      </c>
      <c r="F338" s="9">
        <v>37</v>
      </c>
      <c r="G338" s="9">
        <v>442</v>
      </c>
      <c r="H338" s="5" t="s">
        <v>21</v>
      </c>
      <c r="I338" s="5" t="s">
        <v>948</v>
      </c>
      <c r="J338" s="12" t="str">
        <f>HYPERLINK("https://www.boe.es/gazeta/dias/1802/05/07/pdfs/GMD-1802-37.pdf#page=10","Abrir facsímil")</f>
        <v>Abrir facsímil</v>
      </c>
      <c r="K338" s="15" t="s">
        <v>23</v>
      </c>
    </row>
    <row r="339" spans="1:11" ht="42" customHeight="1">
      <c r="A339" s="4" t="s">
        <v>949</v>
      </c>
      <c r="B339" s="5" t="s">
        <v>950</v>
      </c>
      <c r="C339" s="5" t="s">
        <v>90</v>
      </c>
      <c r="D339" s="5" t="s">
        <v>91</v>
      </c>
      <c r="E339" s="5" t="s">
        <v>325</v>
      </c>
      <c r="F339" s="9">
        <v>90</v>
      </c>
      <c r="G339" s="9">
        <v>1119</v>
      </c>
      <c r="H339" s="5" t="s">
        <v>21</v>
      </c>
      <c r="I339" s="5" t="s">
        <v>951</v>
      </c>
      <c r="J339" s="12" t="str">
        <f>HYPERLINK("https://www.boe.es/gazeta/dias/1802/11/05/pdfs/GMD-1802-90.pdf#page=11","Abrir facsímil")</f>
        <v>Abrir facsímil</v>
      </c>
      <c r="K339" s="15" t="s">
        <v>23</v>
      </c>
    </row>
    <row r="340" spans="1:11" ht="42" customHeight="1">
      <c r="A340" s="4" t="s">
        <v>952</v>
      </c>
      <c r="B340" s="5" t="s">
        <v>953</v>
      </c>
      <c r="C340" s="5" t="s">
        <v>18</v>
      </c>
      <c r="D340" s="5" t="s">
        <v>19</v>
      </c>
      <c r="E340" s="5" t="s">
        <v>148</v>
      </c>
      <c r="F340" s="9">
        <v>66</v>
      </c>
      <c r="G340" s="9">
        <v>811</v>
      </c>
      <c r="H340" s="5" t="s">
        <v>21</v>
      </c>
      <c r="I340" s="5" t="s">
        <v>954</v>
      </c>
      <c r="J340" s="12" t="str">
        <f>HYPERLINK("https://www.boe.es/gazeta/dias/1802/08/13/pdfs/GMD-1802-66.pdf#page=15","Abrir facsímil")</f>
        <v>Abrir facsímil</v>
      </c>
      <c r="K340" s="15" t="s">
        <v>23</v>
      </c>
    </row>
    <row r="341" spans="1:11" ht="42" customHeight="1">
      <c r="A341" s="4" t="s">
        <v>955</v>
      </c>
      <c r="B341" s="5" t="s">
        <v>956</v>
      </c>
      <c r="C341" s="5" t="s">
        <v>29</v>
      </c>
      <c r="D341" s="5" t="s">
        <v>30</v>
      </c>
      <c r="E341" s="5" t="s">
        <v>678</v>
      </c>
      <c r="F341" s="9">
        <v>15</v>
      </c>
      <c r="G341" s="9">
        <v>158</v>
      </c>
      <c r="H341" s="5" t="s">
        <v>21</v>
      </c>
      <c r="I341" s="5" t="s">
        <v>957</v>
      </c>
      <c r="J341" s="12" t="str">
        <f>HYPERLINK("https://www.boe.es/gazeta/dias/1802/02/19/pdfs/GMD-1802-15.pdf#page=10","Abrir facsímil")</f>
        <v>Abrir facsímil</v>
      </c>
      <c r="K341" s="15" t="s">
        <v>23</v>
      </c>
    </row>
    <row r="342" spans="1:11" ht="42" customHeight="1">
      <c r="A342" s="4" t="s">
        <v>958</v>
      </c>
      <c r="B342" s="5" t="s">
        <v>959</v>
      </c>
      <c r="C342" s="5" t="s">
        <v>42</v>
      </c>
      <c r="D342" s="5" t="s">
        <v>43</v>
      </c>
      <c r="E342" s="5" t="s">
        <v>44</v>
      </c>
      <c r="F342" s="9">
        <v>99</v>
      </c>
      <c r="G342" s="9" t="s">
        <v>295</v>
      </c>
      <c r="H342" s="5" t="s">
        <v>21</v>
      </c>
      <c r="I342" s="5" t="s">
        <v>960</v>
      </c>
      <c r="J342" s="12" t="str">
        <f>HYPERLINK("https://www.boe.es/gazeta/dias/1802/12/07/pdfs/GMD-D-1802-99.pdf#page=7","Abrir facsímil")</f>
        <v>Abrir facsímil</v>
      </c>
      <c r="K342" s="15" t="s">
        <v>23</v>
      </c>
    </row>
    <row r="343" spans="1:11" ht="42" customHeight="1">
      <c r="A343" s="4" t="s">
        <v>961</v>
      </c>
      <c r="B343" s="5" t="s">
        <v>962</v>
      </c>
      <c r="C343" s="5" t="s">
        <v>160</v>
      </c>
      <c r="D343" s="5" t="s">
        <v>91</v>
      </c>
      <c r="E343" s="5" t="s">
        <v>148</v>
      </c>
      <c r="F343" s="9">
        <v>66</v>
      </c>
      <c r="G343" s="9">
        <v>808</v>
      </c>
      <c r="H343" s="5" t="s">
        <v>21</v>
      </c>
      <c r="I343" s="5" t="s">
        <v>963</v>
      </c>
      <c r="J343" s="12" t="str">
        <f>HYPERLINK("https://www.boe.es/gazeta/dias/1802/08/13/pdfs/GMD-1802-66.pdf#page=12","Abrir facsímil")</f>
        <v>Abrir facsímil</v>
      </c>
      <c r="K343" s="15" t="s">
        <v>23</v>
      </c>
    </row>
    <row r="344" spans="1:11" ht="42" customHeight="1">
      <c r="A344" s="4" t="s">
        <v>964</v>
      </c>
      <c r="B344" s="5" t="s">
        <v>964</v>
      </c>
      <c r="C344" s="5" t="s">
        <v>90</v>
      </c>
      <c r="D344" s="5" t="s">
        <v>91</v>
      </c>
      <c r="E344" s="5" t="s">
        <v>131</v>
      </c>
      <c r="F344" s="9">
        <v>11</v>
      </c>
      <c r="G344" s="9">
        <v>111</v>
      </c>
      <c r="H344" s="5" t="s">
        <v>21</v>
      </c>
      <c r="I344" s="5" t="s">
        <v>965</v>
      </c>
      <c r="J344" s="12" t="str">
        <f>HYPERLINK("https://www.boe.es/gazeta/dias/1802/02/05/pdfs/GMD-1802-11.pdf#page=7","Abrir facsímil")</f>
        <v>Abrir facsímil</v>
      </c>
      <c r="K344" s="15" t="s">
        <v>23</v>
      </c>
    </row>
    <row r="345" spans="1:11" ht="42" customHeight="1">
      <c r="A345" s="4" t="s">
        <v>966</v>
      </c>
      <c r="B345" s="5" t="s">
        <v>967</v>
      </c>
      <c r="C345" s="5" t="s">
        <v>18</v>
      </c>
      <c r="D345" s="5" t="s">
        <v>19</v>
      </c>
      <c r="E345" s="5" t="s">
        <v>20</v>
      </c>
      <c r="F345" s="9">
        <v>84</v>
      </c>
      <c r="G345" s="9">
        <v>1047</v>
      </c>
      <c r="H345" s="5" t="s">
        <v>21</v>
      </c>
      <c r="I345" s="5" t="s">
        <v>968</v>
      </c>
      <c r="J345" s="12" t="str">
        <f>HYPERLINK("https://www.boe.es/gazeta/dias/1802/10/15/pdfs/GMD-1802-84.pdf#page=15","Abrir facsímil")</f>
        <v>Abrir facsímil</v>
      </c>
      <c r="K345" s="15" t="s">
        <v>23</v>
      </c>
    </row>
    <row r="346" spans="1:11" ht="42" customHeight="1">
      <c r="A346" s="4" t="s">
        <v>969</v>
      </c>
      <c r="B346" s="5" t="s">
        <v>970</v>
      </c>
      <c r="C346" s="5" t="s">
        <v>35</v>
      </c>
      <c r="D346" s="5" t="s">
        <v>36</v>
      </c>
      <c r="E346" s="5" t="s">
        <v>109</v>
      </c>
      <c r="F346" s="9">
        <v>10</v>
      </c>
      <c r="G346" s="9">
        <v>96</v>
      </c>
      <c r="H346" s="5" t="s">
        <v>21</v>
      </c>
      <c r="I346" s="5" t="s">
        <v>971</v>
      </c>
      <c r="J346" s="12" t="str">
        <f>HYPERLINK("https://www.boe.es/gazeta/dias/1802/02/02/pdfs/GMD-1802-10.pdf#page=4","Abrir facsímil")</f>
        <v>Abrir facsímil</v>
      </c>
      <c r="K346" s="15" t="s">
        <v>23</v>
      </c>
    </row>
    <row r="347" spans="1:11" ht="42" customHeight="1">
      <c r="A347" s="4" t="s">
        <v>972</v>
      </c>
      <c r="B347" s="5" t="s">
        <v>973</v>
      </c>
      <c r="C347" s="5" t="s">
        <v>18</v>
      </c>
      <c r="D347" s="5" t="s">
        <v>19</v>
      </c>
      <c r="E347" s="5" t="s">
        <v>20</v>
      </c>
      <c r="F347" s="9">
        <v>84</v>
      </c>
      <c r="G347" s="9">
        <v>1041</v>
      </c>
      <c r="H347" s="5" t="s">
        <v>21</v>
      </c>
      <c r="I347" s="5" t="s">
        <v>974</v>
      </c>
      <c r="J347" s="12" t="str">
        <f>HYPERLINK("https://www.boe.es/gazeta/dias/1802/10/15/pdfs/GMD-1802-84.pdf#page=9","Abrir facsímil")</f>
        <v>Abrir facsímil</v>
      </c>
      <c r="K347" s="15" t="s">
        <v>23</v>
      </c>
    </row>
    <row r="348" spans="1:11" ht="42" customHeight="1">
      <c r="A348" s="4" t="s">
        <v>975</v>
      </c>
      <c r="B348" s="5" t="s">
        <v>976</v>
      </c>
      <c r="C348" s="5" t="s">
        <v>18</v>
      </c>
      <c r="D348" s="5" t="s">
        <v>19</v>
      </c>
      <c r="E348" s="5" t="s">
        <v>49</v>
      </c>
      <c r="F348" s="9">
        <v>83</v>
      </c>
      <c r="G348" s="9">
        <v>1025</v>
      </c>
      <c r="H348" s="5" t="s">
        <v>21</v>
      </c>
      <c r="I348" s="5" t="s">
        <v>977</v>
      </c>
      <c r="J348" s="12" t="str">
        <f>HYPERLINK("https://www.boe.es/gazeta/dias/1802/10/12/pdfs/GMD-1802-83.pdf#page=13","Abrir facsímil")</f>
        <v>Abrir facsímil</v>
      </c>
      <c r="K348" s="15" t="s">
        <v>23</v>
      </c>
    </row>
    <row r="349" spans="1:11" ht="42" customHeight="1">
      <c r="A349" s="4" t="s">
        <v>978</v>
      </c>
      <c r="B349" s="5" t="s">
        <v>978</v>
      </c>
      <c r="C349" s="5" t="s">
        <v>90</v>
      </c>
      <c r="D349" s="5" t="s">
        <v>91</v>
      </c>
      <c r="E349" s="5" t="s">
        <v>678</v>
      </c>
      <c r="F349" s="9">
        <v>15</v>
      </c>
      <c r="G349" s="9">
        <v>150</v>
      </c>
      <c r="H349" s="5" t="s">
        <v>21</v>
      </c>
      <c r="I349" s="5" t="s">
        <v>979</v>
      </c>
      <c r="J349" s="12" t="str">
        <f>HYPERLINK("https://www.boe.es/gazeta/dias/1802/02/19/pdfs/GMD-1802-15.pdf#page=2","Abrir facsímil")</f>
        <v>Abrir facsímil</v>
      </c>
      <c r="K349" s="15" t="s">
        <v>23</v>
      </c>
    </row>
    <row r="350" spans="1:11" ht="42" customHeight="1">
      <c r="A350" s="4" t="s">
        <v>980</v>
      </c>
      <c r="B350" s="5" t="s">
        <v>981</v>
      </c>
      <c r="C350" s="5" t="s">
        <v>29</v>
      </c>
      <c r="D350" s="5" t="s">
        <v>30</v>
      </c>
      <c r="E350" s="5" t="s">
        <v>71</v>
      </c>
      <c r="F350" s="9">
        <v>21</v>
      </c>
      <c r="G350" s="9">
        <v>233</v>
      </c>
      <c r="H350" s="5" t="s">
        <v>21</v>
      </c>
      <c r="I350" s="5" t="s">
        <v>982</v>
      </c>
      <c r="J350" s="12" t="str">
        <f>HYPERLINK("https://www.boe.es/gazeta/dias/1802/03/12/pdfs/GMD-1802-21.pdf#page=9","Abrir facsímil")</f>
        <v>Abrir facsímil</v>
      </c>
      <c r="K350" s="15" t="s">
        <v>23</v>
      </c>
    </row>
    <row r="351" spans="1:11" ht="42" customHeight="1">
      <c r="A351" s="4" t="s">
        <v>983</v>
      </c>
      <c r="B351" s="5" t="s">
        <v>984</v>
      </c>
      <c r="C351" s="5" t="s">
        <v>35</v>
      </c>
      <c r="D351" s="5" t="s">
        <v>36</v>
      </c>
      <c r="E351" s="5" t="s">
        <v>75</v>
      </c>
      <c r="F351" s="9">
        <v>103</v>
      </c>
      <c r="G351" s="9">
        <v>1259</v>
      </c>
      <c r="H351" s="5" t="s">
        <v>21</v>
      </c>
      <c r="I351" s="5" t="s">
        <v>985</v>
      </c>
      <c r="J351" s="12" t="str">
        <f>HYPERLINK("https://www.boe.es/gazeta/dias/1802/12/21/pdfs/GMD-1802-103.pdf#page=3","Abrir facsímil")</f>
        <v>Abrir facsímil</v>
      </c>
      <c r="K351" s="15" t="s">
        <v>23</v>
      </c>
    </row>
    <row r="352" spans="1:11" ht="42" customHeight="1">
      <c r="A352" s="4" t="s">
        <v>986</v>
      </c>
      <c r="B352" s="5" t="s">
        <v>987</v>
      </c>
      <c r="C352" s="5" t="s">
        <v>18</v>
      </c>
      <c r="D352" s="5" t="s">
        <v>19</v>
      </c>
      <c r="E352" s="5" t="s">
        <v>20</v>
      </c>
      <c r="F352" s="9">
        <v>84</v>
      </c>
      <c r="G352" s="9">
        <v>1046</v>
      </c>
      <c r="H352" s="5" t="s">
        <v>21</v>
      </c>
      <c r="I352" s="5" t="s">
        <v>988</v>
      </c>
      <c r="J352" s="12" t="str">
        <f>HYPERLINK("https://www.boe.es/gazeta/dias/1802/10/15/pdfs/GMD-1802-84.pdf#page=14","Abrir facsímil")</f>
        <v>Abrir facsímil</v>
      </c>
      <c r="K352" s="15" t="s">
        <v>23</v>
      </c>
    </row>
    <row r="353" spans="1:11" ht="42" customHeight="1">
      <c r="A353" s="4" t="s">
        <v>989</v>
      </c>
      <c r="B353" s="5" t="s">
        <v>990</v>
      </c>
      <c r="C353" s="5" t="s">
        <v>55</v>
      </c>
      <c r="D353" s="5" t="s">
        <v>56</v>
      </c>
      <c r="E353" s="5" t="s">
        <v>170</v>
      </c>
      <c r="F353" s="9">
        <v>28</v>
      </c>
      <c r="G353" s="9">
        <v>324</v>
      </c>
      <c r="H353" s="5" t="s">
        <v>21</v>
      </c>
      <c r="I353" s="5" t="s">
        <v>991</v>
      </c>
      <c r="J353" s="12" t="str">
        <f>HYPERLINK("https://www.boe.es/gazeta/dias/1802/04/06/pdfs/GMD-1802-28.pdf#page=4","Abrir facsímil")</f>
        <v>Abrir facsímil</v>
      </c>
      <c r="K353" s="15" t="s">
        <v>23</v>
      </c>
    </row>
    <row r="354" spans="1:11" ht="42" customHeight="1">
      <c r="A354" s="4" t="s">
        <v>992</v>
      </c>
      <c r="B354" s="5" t="s">
        <v>992</v>
      </c>
      <c r="C354" s="5" t="s">
        <v>18</v>
      </c>
      <c r="D354" s="5" t="s">
        <v>19</v>
      </c>
      <c r="E354" s="5" t="s">
        <v>163</v>
      </c>
      <c r="F354" s="9">
        <v>1</v>
      </c>
      <c r="G354" s="9">
        <v>4</v>
      </c>
      <c r="H354" s="5" t="s">
        <v>21</v>
      </c>
      <c r="I354" s="5" t="s">
        <v>993</v>
      </c>
      <c r="J354" s="12" t="str">
        <f>HYPERLINK("https://www.boe.es/gazeta/dias/1802/01/01/pdfs/GMD-1802-1.pdf#page=4","Abrir facsímil")</f>
        <v>Abrir facsímil</v>
      </c>
      <c r="K354" s="15" t="s">
        <v>23</v>
      </c>
    </row>
    <row r="355" spans="1:11" ht="42" customHeight="1">
      <c r="A355" s="4" t="s">
        <v>994</v>
      </c>
      <c r="B355" s="5" t="s">
        <v>995</v>
      </c>
      <c r="C355" s="5" t="s">
        <v>29</v>
      </c>
      <c r="D355" s="5" t="s">
        <v>30</v>
      </c>
      <c r="E355" s="5" t="s">
        <v>146</v>
      </c>
      <c r="F355" s="9">
        <v>42</v>
      </c>
      <c r="G355" s="9">
        <v>504</v>
      </c>
      <c r="H355" s="5" t="s">
        <v>21</v>
      </c>
      <c r="I355" s="5" t="s">
        <v>996</v>
      </c>
      <c r="J355" s="12" t="str">
        <f>HYPERLINK("https://www.boe.es/gazeta/dias/1802/05/25/pdfs/GMD-1802-42.pdf#page=8","Abrir facsímil")</f>
        <v>Abrir facsímil</v>
      </c>
      <c r="K355" s="15" t="s">
        <v>23</v>
      </c>
    </row>
    <row r="356" spans="1:11" ht="42" customHeight="1">
      <c r="A356" s="4" t="s">
        <v>997</v>
      </c>
      <c r="B356" s="5" t="s">
        <v>997</v>
      </c>
      <c r="C356" s="5" t="s">
        <v>18</v>
      </c>
      <c r="D356" s="5" t="s">
        <v>19</v>
      </c>
      <c r="E356" s="5" t="s">
        <v>517</v>
      </c>
      <c r="F356" s="9">
        <v>61</v>
      </c>
      <c r="G356" s="9">
        <v>740</v>
      </c>
      <c r="H356" s="5" t="s">
        <v>21</v>
      </c>
      <c r="I356" s="5" t="s">
        <v>998</v>
      </c>
      <c r="J356" s="12" t="str">
        <f>HYPERLINK("https://www.boe.es/gazeta/dias/1802/07/27/pdfs/GMD-1802-61.pdf#page=8","Abrir facsímil")</f>
        <v>Abrir facsímil</v>
      </c>
      <c r="K356" s="15" t="s">
        <v>23</v>
      </c>
    </row>
    <row r="357" spans="1:11" ht="42" customHeight="1">
      <c r="A357" s="4" t="s">
        <v>999</v>
      </c>
      <c r="B357" s="5" t="s">
        <v>1000</v>
      </c>
      <c r="C357" s="5" t="s">
        <v>42</v>
      </c>
      <c r="D357" s="5" t="s">
        <v>43</v>
      </c>
      <c r="E357" s="5" t="s">
        <v>44</v>
      </c>
      <c r="F357" s="9">
        <v>99</v>
      </c>
      <c r="G357" s="9" t="s">
        <v>272</v>
      </c>
      <c r="H357" s="5" t="s">
        <v>21</v>
      </c>
      <c r="I357" s="5" t="s">
        <v>1001</v>
      </c>
      <c r="J357" s="12" t="str">
        <f>HYPERLINK("https://www.boe.es/gazeta/dias/1802/12/07/pdfs/GMD-D-1802-99.pdf#page=3","Abrir facsímil")</f>
        <v>Abrir facsímil</v>
      </c>
      <c r="K357" s="15" t="s">
        <v>23</v>
      </c>
    </row>
    <row r="358" spans="1:11" ht="42" customHeight="1">
      <c r="A358" s="4" t="s">
        <v>1002</v>
      </c>
      <c r="B358" s="5" t="s">
        <v>1003</v>
      </c>
      <c r="C358" s="5" t="s">
        <v>18</v>
      </c>
      <c r="D358" s="5" t="s">
        <v>19</v>
      </c>
      <c r="E358" s="5" t="s">
        <v>751</v>
      </c>
      <c r="F358" s="9">
        <v>98</v>
      </c>
      <c r="G358" s="9">
        <v>1214</v>
      </c>
      <c r="H358" s="5" t="s">
        <v>21</v>
      </c>
      <c r="I358" s="5" t="s">
        <v>1004</v>
      </c>
      <c r="J358" s="12" t="str">
        <f>HYPERLINK("https://www.boe.es/gazeta/dias/1802/12/03/pdfs/GMD-1802-98.pdf#page=10","Abrir facsímil")</f>
        <v>Abrir facsímil</v>
      </c>
      <c r="K358" s="15" t="s">
        <v>23</v>
      </c>
    </row>
    <row r="359" spans="1:11" ht="42" customHeight="1">
      <c r="A359" s="4" t="s">
        <v>1005</v>
      </c>
      <c r="B359" s="5" t="s">
        <v>1006</v>
      </c>
      <c r="C359" s="5" t="s">
        <v>18</v>
      </c>
      <c r="D359" s="5" t="s">
        <v>19</v>
      </c>
      <c r="E359" s="5" t="s">
        <v>20</v>
      </c>
      <c r="F359" s="9">
        <v>84</v>
      </c>
      <c r="G359" s="9">
        <v>1044</v>
      </c>
      <c r="H359" s="5" t="s">
        <v>21</v>
      </c>
      <c r="I359" s="5" t="s">
        <v>1007</v>
      </c>
      <c r="J359" s="12" t="str">
        <f>HYPERLINK("https://www.boe.es/gazeta/dias/1802/10/15/pdfs/GMD-1802-84.pdf#page=12","Abrir facsímil")</f>
        <v>Abrir facsímil</v>
      </c>
      <c r="K359" s="15" t="s">
        <v>23</v>
      </c>
    </row>
    <row r="360" spans="1:11" ht="42" customHeight="1">
      <c r="A360" s="4" t="s">
        <v>1008</v>
      </c>
      <c r="B360" s="5" t="s">
        <v>1009</v>
      </c>
      <c r="C360" s="5" t="s">
        <v>18</v>
      </c>
      <c r="D360" s="5" t="s">
        <v>19</v>
      </c>
      <c r="E360" s="5" t="s">
        <v>49</v>
      </c>
      <c r="F360" s="9">
        <v>83</v>
      </c>
      <c r="G360" s="9">
        <v>1023</v>
      </c>
      <c r="H360" s="5" t="s">
        <v>21</v>
      </c>
      <c r="I360" s="5" t="s">
        <v>1010</v>
      </c>
      <c r="J360" s="12" t="str">
        <f>HYPERLINK("https://www.boe.es/gazeta/dias/1802/10/12/pdfs/GMD-1802-83.pdf#page=11","Abrir facsímil")</f>
        <v>Abrir facsímil</v>
      </c>
      <c r="K360" s="15" t="s">
        <v>23</v>
      </c>
    </row>
    <row r="361" spans="1:11" ht="42" customHeight="1">
      <c r="A361" s="4" t="s">
        <v>1011</v>
      </c>
      <c r="B361" s="5" t="s">
        <v>1012</v>
      </c>
      <c r="C361" s="5" t="s">
        <v>29</v>
      </c>
      <c r="D361" s="5" t="s">
        <v>30</v>
      </c>
      <c r="E361" s="5" t="s">
        <v>20</v>
      </c>
      <c r="F361" s="9">
        <v>84</v>
      </c>
      <c r="G361" s="9">
        <v>1042</v>
      </c>
      <c r="H361" s="5" t="s">
        <v>21</v>
      </c>
      <c r="I361" s="5" t="s">
        <v>1013</v>
      </c>
      <c r="J361" s="12" t="str">
        <f>HYPERLINK("https://www.boe.es/gazeta/dias/1802/10/15/pdfs/GMD-1802-84.pdf#page=10","Abrir facsímil")</f>
        <v>Abrir facsímil</v>
      </c>
      <c r="K361" s="15" t="s">
        <v>23</v>
      </c>
    </row>
    <row r="362" spans="1:11" ht="42" customHeight="1">
      <c r="A362" s="4" t="s">
        <v>1014</v>
      </c>
      <c r="B362" s="5" t="s">
        <v>1015</v>
      </c>
      <c r="C362" s="5" t="s">
        <v>29</v>
      </c>
      <c r="D362" s="5" t="s">
        <v>30</v>
      </c>
      <c r="E362" s="5" t="s">
        <v>517</v>
      </c>
      <c r="F362" s="9">
        <v>61</v>
      </c>
      <c r="G362" s="9">
        <v>740</v>
      </c>
      <c r="H362" s="5" t="s">
        <v>21</v>
      </c>
      <c r="I362" s="5" t="s">
        <v>1016</v>
      </c>
      <c r="J362" s="12" t="str">
        <f>HYPERLINK("https://www.boe.es/gazeta/dias/1802/07/27/pdfs/GMD-1802-61.pdf#page=8","Abrir facsímil")</f>
        <v>Abrir facsímil</v>
      </c>
      <c r="K362" s="15" t="s">
        <v>23</v>
      </c>
    </row>
    <row r="363" spans="1:11" ht="42" customHeight="1">
      <c r="A363" s="4" t="s">
        <v>1017</v>
      </c>
      <c r="B363" s="5" t="s">
        <v>1018</v>
      </c>
      <c r="C363" s="5" t="s">
        <v>90</v>
      </c>
      <c r="D363" s="5" t="s">
        <v>91</v>
      </c>
      <c r="E363" s="5" t="s">
        <v>714</v>
      </c>
      <c r="F363" s="9">
        <v>89</v>
      </c>
      <c r="G363" s="9">
        <v>1108</v>
      </c>
      <c r="H363" s="5" t="s">
        <v>21</v>
      </c>
      <c r="I363" s="5" t="s">
        <v>1019</v>
      </c>
      <c r="J363" s="12" t="str">
        <f>HYPERLINK("https://www.boe.es/gazeta/dias/1802/11/02/pdfs/GMD-1802-89.pdf#page=12","Abrir facsímil")</f>
        <v>Abrir facsímil</v>
      </c>
      <c r="K363" s="15" t="s">
        <v>23</v>
      </c>
    </row>
    <row r="364" spans="1:11" ht="42" customHeight="1">
      <c r="A364" s="4" t="s">
        <v>1020</v>
      </c>
      <c r="B364" s="5" t="s">
        <v>1020</v>
      </c>
      <c r="C364" s="5" t="s">
        <v>55</v>
      </c>
      <c r="D364" s="5" t="s">
        <v>56</v>
      </c>
      <c r="E364" s="5" t="s">
        <v>678</v>
      </c>
      <c r="F364" s="9">
        <v>15</v>
      </c>
      <c r="G364" s="9">
        <v>160</v>
      </c>
      <c r="H364" s="5" t="s">
        <v>21</v>
      </c>
      <c r="I364" s="5" t="s">
        <v>1021</v>
      </c>
      <c r="J364" s="12" t="str">
        <f>HYPERLINK("https://www.boe.es/gazeta/dias/1802/02/19/pdfs/GMD-1802-15.pdf#page=12","Abrir facsímil")</f>
        <v>Abrir facsímil</v>
      </c>
      <c r="K364" s="15" t="s">
        <v>23</v>
      </c>
    </row>
    <row r="365" spans="1:11" ht="42" customHeight="1">
      <c r="A365" s="4" t="s">
        <v>1022</v>
      </c>
      <c r="B365" s="5" t="s">
        <v>1023</v>
      </c>
      <c r="C365" s="5" t="s">
        <v>42</v>
      </c>
      <c r="D365" s="5" t="s">
        <v>43</v>
      </c>
      <c r="E365" s="5" t="s">
        <v>44</v>
      </c>
      <c r="F365" s="9">
        <v>99</v>
      </c>
      <c r="G365" s="9" t="s">
        <v>45</v>
      </c>
      <c r="H365" s="5" t="s">
        <v>21</v>
      </c>
      <c r="I365" s="5" t="s">
        <v>1024</v>
      </c>
      <c r="J365" s="12" t="str">
        <f>HYPERLINK("https://www.boe.es/gazeta/dias/1802/12/07/pdfs/GMD-D-1802-99.pdf#page=14","Abrir facsímil")</f>
        <v>Abrir facsímil</v>
      </c>
      <c r="K365" s="15" t="s">
        <v>23</v>
      </c>
    </row>
    <row r="366" spans="1:11" ht="42" customHeight="1">
      <c r="A366" s="4" t="s">
        <v>1025</v>
      </c>
      <c r="B366" s="5" t="s">
        <v>1026</v>
      </c>
      <c r="C366" s="5" t="s">
        <v>42</v>
      </c>
      <c r="D366" s="5" t="s">
        <v>43</v>
      </c>
      <c r="E366" s="5" t="s">
        <v>44</v>
      </c>
      <c r="F366" s="9">
        <v>99</v>
      </c>
      <c r="G366" s="9" t="s">
        <v>779</v>
      </c>
      <c r="H366" s="5" t="s">
        <v>21</v>
      </c>
      <c r="I366" s="5" t="s">
        <v>1027</v>
      </c>
      <c r="J366" s="12" t="str">
        <f>HYPERLINK("https://www.boe.es/gazeta/dias/1802/12/07/pdfs/GMD-D-1802-99.pdf#page=13","Abrir facsímil")</f>
        <v>Abrir facsímil</v>
      </c>
      <c r="K366" s="15" t="s">
        <v>23</v>
      </c>
    </row>
    <row r="367" spans="1:11" ht="42" customHeight="1">
      <c r="A367" s="4" t="s">
        <v>1028</v>
      </c>
      <c r="B367" s="5" t="s">
        <v>1029</v>
      </c>
      <c r="C367" s="5" t="s">
        <v>90</v>
      </c>
      <c r="D367" s="5" t="s">
        <v>91</v>
      </c>
      <c r="E367" s="5" t="s">
        <v>206</v>
      </c>
      <c r="F367" s="9">
        <v>22</v>
      </c>
      <c r="G367" s="9">
        <v>241</v>
      </c>
      <c r="H367" s="5" t="s">
        <v>21</v>
      </c>
      <c r="I367" s="5" t="s">
        <v>1030</v>
      </c>
      <c r="J367" s="12" t="str">
        <f>HYPERLINK("https://www.boe.es/gazeta/dias/1802/03/16/pdfs/GMD-1802-22.pdf#page=9","Abrir facsímil")</f>
        <v>Abrir facsímil</v>
      </c>
      <c r="K367" s="15" t="s">
        <v>23</v>
      </c>
    </row>
    <row r="368" spans="1:11" ht="42" customHeight="1">
      <c r="A368" s="4" t="s">
        <v>1031</v>
      </c>
      <c r="B368" s="5" t="s">
        <v>1032</v>
      </c>
      <c r="C368" s="5" t="s">
        <v>29</v>
      </c>
      <c r="D368" s="5" t="s">
        <v>30</v>
      </c>
      <c r="E368" s="5" t="s">
        <v>670</v>
      </c>
      <c r="F368" s="9">
        <v>40</v>
      </c>
      <c r="G368" s="9">
        <v>481</v>
      </c>
      <c r="H368" s="5" t="s">
        <v>21</v>
      </c>
      <c r="I368" s="5" t="s">
        <v>1033</v>
      </c>
      <c r="J368" s="12" t="str">
        <f>HYPERLINK("https://www.boe.es/gazeta/dias/1802/05/18/pdfs/GMD-1802-40.pdf#page=9","Abrir facsímil")</f>
        <v>Abrir facsímil</v>
      </c>
      <c r="K368" s="15" t="s">
        <v>23</v>
      </c>
    </row>
    <row r="369" spans="1:11" ht="42" customHeight="1">
      <c r="A369" s="4" t="s">
        <v>1034</v>
      </c>
      <c r="B369" s="5" t="s">
        <v>1035</v>
      </c>
      <c r="C369" s="5" t="s">
        <v>160</v>
      </c>
      <c r="D369" s="5" t="s">
        <v>91</v>
      </c>
      <c r="E369" s="5" t="s">
        <v>219</v>
      </c>
      <c r="F369" s="9">
        <v>81</v>
      </c>
      <c r="G369" s="9">
        <v>998</v>
      </c>
      <c r="H369" s="5" t="s">
        <v>21</v>
      </c>
      <c r="I369" s="5" t="s">
        <v>1036</v>
      </c>
      <c r="J369" s="12" t="str">
        <f>HYPERLINK("https://www.boe.es/gazeta/dias/1802/10/05/pdfs/GMD-1802-81.pdf#page=10","Abrir facsímil")</f>
        <v>Abrir facsímil</v>
      </c>
      <c r="K369" s="15" t="s">
        <v>23</v>
      </c>
    </row>
    <row r="370" spans="1:11" ht="42" customHeight="1">
      <c r="A370" s="4" t="s">
        <v>1037</v>
      </c>
      <c r="B370" s="5" t="s">
        <v>1038</v>
      </c>
      <c r="C370" s="5" t="s">
        <v>29</v>
      </c>
      <c r="D370" s="5" t="s">
        <v>30</v>
      </c>
      <c r="E370" s="5" t="s">
        <v>389</v>
      </c>
      <c r="F370" s="9">
        <v>96</v>
      </c>
      <c r="G370" s="9">
        <v>1189</v>
      </c>
      <c r="H370" s="5" t="s">
        <v>21</v>
      </c>
      <c r="I370" s="5" t="s">
        <v>1039</v>
      </c>
      <c r="J370" s="12" t="str">
        <f>HYPERLINK("https://www.boe.es/gazeta/dias/1802/11/26/pdfs/GMD-1802-96.pdf#page=9","Abrir facsímil")</f>
        <v>Abrir facsímil</v>
      </c>
      <c r="K370" s="15" t="s">
        <v>23</v>
      </c>
    </row>
    <row r="371" spans="1:11" ht="42" customHeight="1">
      <c r="A371" s="4" t="s">
        <v>1040</v>
      </c>
      <c r="B371" s="5" t="s">
        <v>1041</v>
      </c>
      <c r="C371" s="5" t="s">
        <v>18</v>
      </c>
      <c r="D371" s="5" t="s">
        <v>19</v>
      </c>
      <c r="E371" s="5" t="s">
        <v>49</v>
      </c>
      <c r="F371" s="9">
        <v>83</v>
      </c>
      <c r="G371" s="9">
        <v>1022</v>
      </c>
      <c r="H371" s="5" t="s">
        <v>21</v>
      </c>
      <c r="I371" s="5" t="s">
        <v>1042</v>
      </c>
      <c r="J371" s="12" t="str">
        <f>HYPERLINK("https://www.boe.es/gazeta/dias/1802/10/12/pdfs/GMD-1802-83.pdf#page=10","Abrir facsímil")</f>
        <v>Abrir facsímil</v>
      </c>
      <c r="K371" s="15" t="s">
        <v>23</v>
      </c>
    </row>
    <row r="372" spans="1:11" ht="42" customHeight="1">
      <c r="A372" s="4" t="s">
        <v>1043</v>
      </c>
      <c r="B372" s="5" t="s">
        <v>1044</v>
      </c>
      <c r="C372" s="5" t="s">
        <v>29</v>
      </c>
      <c r="D372" s="5" t="s">
        <v>30</v>
      </c>
      <c r="E372" s="5" t="s">
        <v>192</v>
      </c>
      <c r="F372" s="9">
        <v>53</v>
      </c>
      <c r="G372" s="9">
        <v>642</v>
      </c>
      <c r="H372" s="5" t="s">
        <v>21</v>
      </c>
      <c r="I372" s="5" t="s">
        <v>1045</v>
      </c>
      <c r="J372" s="12" t="str">
        <f>HYPERLINK("https://www.boe.es/gazeta/dias/1802/07/02/pdfs/GMD-1802-53.pdf#page=10","Abrir facsímil")</f>
        <v>Abrir facsímil</v>
      </c>
      <c r="K372" s="15" t="s">
        <v>23</v>
      </c>
    </row>
    <row r="373" spans="1:11" ht="42" customHeight="1">
      <c r="A373" s="4" t="s">
        <v>1046</v>
      </c>
      <c r="B373" s="5" t="s">
        <v>1047</v>
      </c>
      <c r="C373" s="5" t="s">
        <v>29</v>
      </c>
      <c r="D373" s="5" t="s">
        <v>30</v>
      </c>
      <c r="E373" s="5" t="s">
        <v>299</v>
      </c>
      <c r="F373" s="9">
        <v>19</v>
      </c>
      <c r="G373" s="9">
        <v>210</v>
      </c>
      <c r="H373" s="5" t="s">
        <v>21</v>
      </c>
      <c r="I373" s="5" t="s">
        <v>1048</v>
      </c>
      <c r="J373" s="12" t="str">
        <f>HYPERLINK("https://www.boe.es/gazeta/dias/1802/03/05/pdfs/GMD-1802-19.pdf#page=10","Abrir facsímil")</f>
        <v>Abrir facsímil</v>
      </c>
      <c r="K373" s="15" t="s">
        <v>23</v>
      </c>
    </row>
    <row r="374" spans="1:11" ht="42" customHeight="1">
      <c r="A374" s="4" t="s">
        <v>1049</v>
      </c>
      <c r="B374" s="5" t="s">
        <v>1050</v>
      </c>
      <c r="C374" s="5" t="s">
        <v>29</v>
      </c>
      <c r="D374" s="5" t="s">
        <v>30</v>
      </c>
      <c r="E374" s="5" t="s">
        <v>1051</v>
      </c>
      <c r="F374" s="9">
        <v>43</v>
      </c>
      <c r="G374" s="9">
        <v>518</v>
      </c>
      <c r="H374" s="5" t="s">
        <v>21</v>
      </c>
      <c r="I374" s="5" t="s">
        <v>1052</v>
      </c>
      <c r="J374" s="12" t="str">
        <f>HYPERLINK("https://www.boe.es/gazeta/dias/1802/05/28/pdfs/GMD-1802-43.pdf#page=10","Abrir facsímil")</f>
        <v>Abrir facsímil</v>
      </c>
      <c r="K374" s="15" t="s">
        <v>23</v>
      </c>
    </row>
    <row r="375" spans="1:11" ht="42" customHeight="1">
      <c r="A375" s="4" t="s">
        <v>1053</v>
      </c>
      <c r="B375" s="5" t="s">
        <v>1054</v>
      </c>
      <c r="C375" s="5" t="s">
        <v>18</v>
      </c>
      <c r="D375" s="5" t="s">
        <v>19</v>
      </c>
      <c r="E375" s="5" t="s">
        <v>49</v>
      </c>
      <c r="F375" s="9">
        <v>83</v>
      </c>
      <c r="G375" s="9">
        <v>1026</v>
      </c>
      <c r="H375" s="5" t="s">
        <v>21</v>
      </c>
      <c r="I375" s="5" t="s">
        <v>1055</v>
      </c>
      <c r="J375" s="12" t="str">
        <f>HYPERLINK("https://www.boe.es/gazeta/dias/1802/10/12/pdfs/GMD-1802-83.pdf#page=14","Abrir facsímil")</f>
        <v>Abrir facsímil</v>
      </c>
      <c r="K375" s="15" t="s">
        <v>23</v>
      </c>
    </row>
    <row r="376" spans="1:11" ht="42" customHeight="1">
      <c r="A376" s="4" t="s">
        <v>1056</v>
      </c>
      <c r="B376" s="5" t="s">
        <v>1057</v>
      </c>
      <c r="C376" s="5" t="s">
        <v>18</v>
      </c>
      <c r="D376" s="5" t="s">
        <v>19</v>
      </c>
      <c r="E376" s="5" t="s">
        <v>232</v>
      </c>
      <c r="F376" s="9">
        <v>30</v>
      </c>
      <c r="G376" s="9">
        <v>351</v>
      </c>
      <c r="H376" s="5" t="s">
        <v>21</v>
      </c>
      <c r="I376" s="5" t="s">
        <v>1058</v>
      </c>
      <c r="J376" s="12" t="str">
        <f>HYPERLINK("https://www.boe.es/gazeta/dias/1802/04/13/pdfs/GMD-1802-30.pdf#page=7","Abrir facsímil")</f>
        <v>Abrir facsímil</v>
      </c>
      <c r="K376" s="15" t="s">
        <v>23</v>
      </c>
    </row>
    <row r="377" spans="1:11" ht="42" customHeight="1">
      <c r="A377" s="4" t="s">
        <v>1059</v>
      </c>
      <c r="B377" s="5" t="s">
        <v>1060</v>
      </c>
      <c r="C377" s="5" t="s">
        <v>18</v>
      </c>
      <c r="D377" s="5" t="s">
        <v>19</v>
      </c>
      <c r="E377" s="5" t="s">
        <v>20</v>
      </c>
      <c r="F377" s="9">
        <v>84</v>
      </c>
      <c r="G377" s="9">
        <v>1044</v>
      </c>
      <c r="H377" s="5" t="s">
        <v>21</v>
      </c>
      <c r="I377" s="5" t="s">
        <v>1061</v>
      </c>
      <c r="J377" s="12" t="str">
        <f>HYPERLINK("https://www.boe.es/gazeta/dias/1802/10/15/pdfs/GMD-1802-84.pdf#page=12","Abrir facsímil")</f>
        <v>Abrir facsímil</v>
      </c>
      <c r="K377" s="15" t="s">
        <v>23</v>
      </c>
    </row>
    <row r="378" spans="1:11" ht="42" customHeight="1">
      <c r="A378" s="4" t="s">
        <v>1062</v>
      </c>
      <c r="B378" s="5" t="s">
        <v>1063</v>
      </c>
      <c r="C378" s="5" t="s">
        <v>29</v>
      </c>
      <c r="D378" s="5" t="s">
        <v>30</v>
      </c>
      <c r="E378" s="5" t="s">
        <v>655</v>
      </c>
      <c r="F378" s="9">
        <v>46</v>
      </c>
      <c r="G378" s="9">
        <v>558</v>
      </c>
      <c r="H378" s="5" t="s">
        <v>21</v>
      </c>
      <c r="I378" s="5" t="s">
        <v>1064</v>
      </c>
      <c r="J378" s="12" t="str">
        <f>HYPERLINK("https://www.boe.es/gazeta/dias/1802/06/08/pdfs/GMD-1802-46.pdf#page=10","Abrir facsímil")</f>
        <v>Abrir facsímil</v>
      </c>
      <c r="K378" s="15" t="s">
        <v>23</v>
      </c>
    </row>
    <row r="379" spans="1:11" ht="42" customHeight="1">
      <c r="A379" s="4" t="s">
        <v>1065</v>
      </c>
      <c r="B379" s="5" t="s">
        <v>1066</v>
      </c>
      <c r="C379" s="5" t="s">
        <v>18</v>
      </c>
      <c r="D379" s="5" t="s">
        <v>19</v>
      </c>
      <c r="E379" s="5" t="s">
        <v>49</v>
      </c>
      <c r="F379" s="9">
        <v>83</v>
      </c>
      <c r="G379" s="9">
        <v>1024</v>
      </c>
      <c r="H379" s="5" t="s">
        <v>21</v>
      </c>
      <c r="I379" s="5" t="s">
        <v>1067</v>
      </c>
      <c r="J379" s="12" t="str">
        <f>HYPERLINK("https://www.boe.es/gazeta/dias/1802/10/12/pdfs/GMD-1802-83.pdf#page=12","Abrir facsímil")</f>
        <v>Abrir facsímil</v>
      </c>
      <c r="K379" s="15" t="s">
        <v>23</v>
      </c>
    </row>
    <row r="380" spans="1:11" ht="42" customHeight="1">
      <c r="A380" s="4" t="s">
        <v>1068</v>
      </c>
      <c r="B380" s="5" t="s">
        <v>1069</v>
      </c>
      <c r="C380" s="5" t="s">
        <v>29</v>
      </c>
      <c r="D380" s="5" t="s">
        <v>30</v>
      </c>
      <c r="E380" s="5" t="s">
        <v>611</v>
      </c>
      <c r="F380" s="9">
        <v>68</v>
      </c>
      <c r="G380" s="9">
        <v>834</v>
      </c>
      <c r="H380" s="5" t="s">
        <v>21</v>
      </c>
      <c r="I380" s="5" t="s">
        <v>1070</v>
      </c>
      <c r="J380" s="12" t="str">
        <f>HYPERLINK("https://www.boe.es/gazeta/dias/1802/08/20/pdfs/GMD-1802-68.pdf#page=10","Abrir facsímil")</f>
        <v>Abrir facsímil</v>
      </c>
      <c r="K380" s="15" t="s">
        <v>23</v>
      </c>
    </row>
    <row r="381" spans="1:11" ht="42" customHeight="1">
      <c r="A381" s="4" t="s">
        <v>1071</v>
      </c>
      <c r="B381" s="5" t="s">
        <v>1072</v>
      </c>
      <c r="C381" s="5" t="s">
        <v>18</v>
      </c>
      <c r="D381" s="5" t="s">
        <v>19</v>
      </c>
      <c r="E381" s="5" t="s">
        <v>439</v>
      </c>
      <c r="F381" s="9">
        <v>76</v>
      </c>
      <c r="G381" s="9">
        <v>940</v>
      </c>
      <c r="H381" s="5" t="s">
        <v>21</v>
      </c>
      <c r="I381" s="5" t="s">
        <v>1073</v>
      </c>
      <c r="J381" s="12" t="str">
        <f>HYPERLINK("https://www.boe.es/gazeta/dias/1802/09/17/pdfs/GMD-1802-76.pdf#page=12","Abrir facsímil")</f>
        <v>Abrir facsímil</v>
      </c>
      <c r="K381" s="15" t="s">
        <v>23</v>
      </c>
    </row>
    <row r="382" spans="1:11" ht="42" customHeight="1">
      <c r="A382" s="4" t="s">
        <v>1074</v>
      </c>
      <c r="B382" s="5" t="s">
        <v>1075</v>
      </c>
      <c r="C382" s="5" t="s">
        <v>42</v>
      </c>
      <c r="D382" s="5" t="s">
        <v>43</v>
      </c>
      <c r="E382" s="5" t="s">
        <v>44</v>
      </c>
      <c r="F382" s="9">
        <v>99</v>
      </c>
      <c r="G382" s="9" t="s">
        <v>78</v>
      </c>
      <c r="H382" s="5" t="s">
        <v>21</v>
      </c>
      <c r="I382" s="5" t="s">
        <v>1076</v>
      </c>
      <c r="J382" s="12" t="str">
        <f>HYPERLINK("https://www.boe.es/gazeta/dias/1802/12/07/pdfs/GMD-D-1802-99.pdf#page=15","Abrir facsímil")</f>
        <v>Abrir facsímil</v>
      </c>
      <c r="K382" s="15" t="s">
        <v>23</v>
      </c>
    </row>
    <row r="383" spans="1:11" ht="42" customHeight="1">
      <c r="A383" s="4" t="s">
        <v>1077</v>
      </c>
      <c r="B383" s="5" t="s">
        <v>1078</v>
      </c>
      <c r="C383" s="5" t="s">
        <v>18</v>
      </c>
      <c r="D383" s="5" t="s">
        <v>19</v>
      </c>
      <c r="E383" s="5" t="s">
        <v>49</v>
      </c>
      <c r="F383" s="9">
        <v>83</v>
      </c>
      <c r="G383" s="9">
        <v>1022</v>
      </c>
      <c r="H383" s="5" t="s">
        <v>21</v>
      </c>
      <c r="I383" s="5" t="s">
        <v>1079</v>
      </c>
      <c r="J383" s="12" t="str">
        <f>HYPERLINK("https://www.boe.es/gazeta/dias/1802/10/12/pdfs/GMD-1802-83.pdf#page=10","Abrir facsímil")</f>
        <v>Abrir facsímil</v>
      </c>
      <c r="K383" s="15" t="s">
        <v>23</v>
      </c>
    </row>
    <row r="384" spans="1:11" ht="42" customHeight="1">
      <c r="A384" s="4" t="s">
        <v>1080</v>
      </c>
      <c r="B384" s="5" t="s">
        <v>1081</v>
      </c>
      <c r="C384" s="5" t="s">
        <v>42</v>
      </c>
      <c r="D384" s="5" t="s">
        <v>43</v>
      </c>
      <c r="E384" s="5" t="s">
        <v>44</v>
      </c>
      <c r="F384" s="9">
        <v>99</v>
      </c>
      <c r="G384" s="9" t="s">
        <v>45</v>
      </c>
      <c r="H384" s="5" t="s">
        <v>21</v>
      </c>
      <c r="I384" s="5" t="s">
        <v>1082</v>
      </c>
      <c r="J384" s="12" t="str">
        <f>HYPERLINK("https://www.boe.es/gazeta/dias/1802/12/07/pdfs/GMD-D-1802-99.pdf#page=14","Abrir facsímil")</f>
        <v>Abrir facsímil</v>
      </c>
      <c r="K384" s="15" t="s">
        <v>23</v>
      </c>
    </row>
    <row r="385" spans="1:11" ht="42" customHeight="1">
      <c r="A385" s="4" t="s">
        <v>1083</v>
      </c>
      <c r="B385" s="5" t="s">
        <v>1084</v>
      </c>
      <c r="C385" s="5" t="s">
        <v>29</v>
      </c>
      <c r="D385" s="5" t="s">
        <v>30</v>
      </c>
      <c r="E385" s="5" t="s">
        <v>172</v>
      </c>
      <c r="F385" s="9">
        <v>35</v>
      </c>
      <c r="G385" s="9">
        <v>416</v>
      </c>
      <c r="H385" s="5" t="s">
        <v>21</v>
      </c>
      <c r="I385" s="5" t="s">
        <v>1085</v>
      </c>
      <c r="J385" s="12" t="str">
        <f>HYPERLINK("https://www.boe.es/gazeta/dias/1802/04/30/pdfs/GMD-1802-35.pdf#page=16","Abrir facsímil")</f>
        <v>Abrir facsímil</v>
      </c>
      <c r="K385" s="15" t="s">
        <v>23</v>
      </c>
    </row>
    <row r="386" spans="1:11" ht="42" customHeight="1">
      <c r="A386" s="4" t="s">
        <v>1086</v>
      </c>
      <c r="B386" s="5" t="s">
        <v>1087</v>
      </c>
      <c r="C386" s="5" t="s">
        <v>18</v>
      </c>
      <c r="D386" s="5" t="s">
        <v>19</v>
      </c>
      <c r="E386" s="5" t="s">
        <v>49</v>
      </c>
      <c r="F386" s="9">
        <v>83</v>
      </c>
      <c r="G386" s="9">
        <v>1024</v>
      </c>
      <c r="H386" s="5" t="s">
        <v>21</v>
      </c>
      <c r="I386" s="5" t="s">
        <v>1088</v>
      </c>
      <c r="J386" s="12" t="str">
        <f>HYPERLINK("https://www.boe.es/gazeta/dias/1802/10/12/pdfs/GMD-1802-83.pdf#page=12","Abrir facsímil")</f>
        <v>Abrir facsímil</v>
      </c>
      <c r="K386" s="15" t="s">
        <v>23</v>
      </c>
    </row>
    <row r="387" spans="1:11" ht="42" customHeight="1">
      <c r="A387" s="4" t="s">
        <v>1089</v>
      </c>
      <c r="B387" s="5" t="s">
        <v>1090</v>
      </c>
      <c r="C387" s="5" t="s">
        <v>29</v>
      </c>
      <c r="D387" s="5" t="s">
        <v>30</v>
      </c>
      <c r="E387" s="5" t="s">
        <v>188</v>
      </c>
      <c r="F387" s="9">
        <v>49</v>
      </c>
      <c r="G387" s="9">
        <v>599</v>
      </c>
      <c r="H387" s="5" t="s">
        <v>21</v>
      </c>
      <c r="I387" s="5" t="s">
        <v>1091</v>
      </c>
      <c r="J387" s="12" t="str">
        <f>HYPERLINK("https://www.boe.es/gazeta/dias/1802/06/18/pdfs/GMD-1802-49.pdf#page=11","Abrir facsímil")</f>
        <v>Abrir facsímil</v>
      </c>
      <c r="K387" s="15" t="s">
        <v>23</v>
      </c>
    </row>
    <row r="388" spans="1:11" ht="42" customHeight="1">
      <c r="A388" s="4" t="s">
        <v>1092</v>
      </c>
      <c r="B388" s="5" t="s">
        <v>1093</v>
      </c>
      <c r="C388" s="5" t="s">
        <v>18</v>
      </c>
      <c r="D388" s="5" t="s">
        <v>19</v>
      </c>
      <c r="E388" s="5" t="s">
        <v>49</v>
      </c>
      <c r="F388" s="9">
        <v>83</v>
      </c>
      <c r="G388" s="9">
        <v>1022</v>
      </c>
      <c r="H388" s="5" t="s">
        <v>21</v>
      </c>
      <c r="I388" s="5" t="s">
        <v>1094</v>
      </c>
      <c r="J388" s="12" t="str">
        <f>HYPERLINK("https://www.boe.es/gazeta/dias/1802/10/12/pdfs/GMD-1802-83.pdf#page=10","Abrir facsímil")</f>
        <v>Abrir facsímil</v>
      </c>
      <c r="K388" s="15" t="s">
        <v>23</v>
      </c>
    </row>
    <row r="389" spans="1:11" ht="42" customHeight="1">
      <c r="A389" s="4" t="s">
        <v>1095</v>
      </c>
      <c r="B389" s="5" t="s">
        <v>1096</v>
      </c>
      <c r="C389" s="5" t="s">
        <v>29</v>
      </c>
      <c r="D389" s="5" t="s">
        <v>30</v>
      </c>
      <c r="E389" s="5" t="s">
        <v>1097</v>
      </c>
      <c r="F389" s="9">
        <v>20</v>
      </c>
      <c r="G389" s="9">
        <v>222</v>
      </c>
      <c r="H389" s="5" t="s">
        <v>21</v>
      </c>
      <c r="I389" s="5" t="s">
        <v>1098</v>
      </c>
      <c r="J389" s="12" t="str">
        <f>HYPERLINK("https://www.boe.es/gazeta/dias/1802/03/09/pdfs/GMD-1802-20.pdf#page=10","Abrir facsímil")</f>
        <v>Abrir facsímil</v>
      </c>
      <c r="K389" s="15" t="s">
        <v>23</v>
      </c>
    </row>
    <row r="390" spans="1:11" ht="42" customHeight="1">
      <c r="A390" s="4" t="s">
        <v>1099</v>
      </c>
      <c r="B390" s="5" t="s">
        <v>1100</v>
      </c>
      <c r="C390" s="5" t="s">
        <v>35</v>
      </c>
      <c r="D390" s="5" t="s">
        <v>36</v>
      </c>
      <c r="E390" s="5" t="s">
        <v>611</v>
      </c>
      <c r="F390" s="9">
        <v>68</v>
      </c>
      <c r="G390" s="9">
        <v>832</v>
      </c>
      <c r="H390" s="5" t="s">
        <v>21</v>
      </c>
      <c r="I390" s="5" t="s">
        <v>1101</v>
      </c>
      <c r="J390" s="12" t="str">
        <f>HYPERLINK("https://www.boe.es/gazeta/dias/1802/08/20/pdfs/GMD-1802-68.pdf#page=8","Abrir facsímil")</f>
        <v>Abrir facsímil</v>
      </c>
      <c r="K390" s="15" t="s">
        <v>23</v>
      </c>
    </row>
    <row r="391" spans="1:11" ht="42" customHeight="1">
      <c r="A391" s="4" t="s">
        <v>1102</v>
      </c>
      <c r="B391" s="5" t="s">
        <v>1103</v>
      </c>
      <c r="C391" s="5" t="s">
        <v>29</v>
      </c>
      <c r="D391" s="5" t="s">
        <v>30</v>
      </c>
      <c r="E391" s="5" t="s">
        <v>1051</v>
      </c>
      <c r="F391" s="9">
        <v>43</v>
      </c>
      <c r="G391" s="9">
        <v>518</v>
      </c>
      <c r="H391" s="5" t="s">
        <v>21</v>
      </c>
      <c r="I391" s="5" t="s">
        <v>1104</v>
      </c>
      <c r="J391" s="12" t="str">
        <f>HYPERLINK("https://www.boe.es/gazeta/dias/1802/05/28/pdfs/GMD-1802-43.pdf#page=10","Abrir facsímil")</f>
        <v>Abrir facsímil</v>
      </c>
      <c r="K391" s="15" t="s">
        <v>23</v>
      </c>
    </row>
    <row r="392" spans="1:11" ht="42" customHeight="1">
      <c r="A392" s="4" t="s">
        <v>1105</v>
      </c>
      <c r="B392" s="5" t="s">
        <v>1105</v>
      </c>
      <c r="C392" s="5" t="s">
        <v>35</v>
      </c>
      <c r="D392" s="5" t="s">
        <v>36</v>
      </c>
      <c r="E392" s="5" t="s">
        <v>611</v>
      </c>
      <c r="F392" s="9">
        <v>68</v>
      </c>
      <c r="G392" s="9">
        <v>827</v>
      </c>
      <c r="H392" s="5" t="s">
        <v>21</v>
      </c>
      <c r="I392" s="5" t="s">
        <v>1106</v>
      </c>
      <c r="J392" s="12" t="str">
        <f>HYPERLINK("https://www.boe.es/gazeta/dias/1802/08/20/pdfs/GMD-1802-68.pdf#page=3","Abrir facsímil")</f>
        <v>Abrir facsímil</v>
      </c>
      <c r="K392" s="15" t="s">
        <v>23</v>
      </c>
    </row>
    <row r="393" spans="1:11" ht="42" customHeight="1">
      <c r="A393" s="4" t="s">
        <v>1107</v>
      </c>
      <c r="B393" s="5" t="s">
        <v>1107</v>
      </c>
      <c r="C393" s="5" t="s">
        <v>18</v>
      </c>
      <c r="D393" s="5" t="s">
        <v>19</v>
      </c>
      <c r="E393" s="5" t="s">
        <v>49</v>
      </c>
      <c r="F393" s="9">
        <v>83</v>
      </c>
      <c r="G393" s="9">
        <v>1021</v>
      </c>
      <c r="H393" s="5" t="s">
        <v>21</v>
      </c>
      <c r="I393" s="5" t="s">
        <v>1108</v>
      </c>
      <c r="J393" s="12" t="str">
        <f>HYPERLINK("https://www.boe.es/gazeta/dias/1802/10/12/pdfs/GMD-1802-83.pdf#page=9","Abrir facsímil")</f>
        <v>Abrir facsímil</v>
      </c>
      <c r="K393" s="15" t="s">
        <v>23</v>
      </c>
    </row>
    <row r="394" spans="1:11" ht="42" customHeight="1">
      <c r="A394" s="4" t="s">
        <v>1109</v>
      </c>
      <c r="B394" s="5" t="s">
        <v>1109</v>
      </c>
      <c r="C394" s="5" t="s">
        <v>35</v>
      </c>
      <c r="D394" s="5" t="s">
        <v>36</v>
      </c>
      <c r="E394" s="5" t="s">
        <v>670</v>
      </c>
      <c r="F394" s="9">
        <v>40</v>
      </c>
      <c r="G394" s="9">
        <v>474</v>
      </c>
      <c r="H394" s="5" t="s">
        <v>21</v>
      </c>
      <c r="I394" s="5" t="s">
        <v>1110</v>
      </c>
      <c r="J394" s="12" t="str">
        <f>HYPERLINK("https://www.boe.es/gazeta/dias/1802/05/18/pdfs/GMD-1802-40.pdf#page=2","Abrir facsímil")</f>
        <v>Abrir facsímil</v>
      </c>
      <c r="K394" s="15" t="s">
        <v>23</v>
      </c>
    </row>
    <row r="395" spans="1:11" ht="42" customHeight="1">
      <c r="A395" s="4" t="s">
        <v>1111</v>
      </c>
      <c r="B395" s="5" t="s">
        <v>1112</v>
      </c>
      <c r="C395" s="5" t="s">
        <v>18</v>
      </c>
      <c r="D395" s="5" t="s">
        <v>19</v>
      </c>
      <c r="E395" s="5" t="s">
        <v>1113</v>
      </c>
      <c r="F395" s="9">
        <v>6</v>
      </c>
      <c r="G395" s="9">
        <v>57</v>
      </c>
      <c r="H395" s="5" t="s">
        <v>21</v>
      </c>
      <c r="I395" s="5" t="s">
        <v>1114</v>
      </c>
      <c r="J395" s="12" t="str">
        <f>HYPERLINK("https://www.boe.es/gazeta/dias/1802/01/19/pdfs/GMD-1802-6.pdf#page=5","Abrir facsímil")</f>
        <v>Abrir facsímil</v>
      </c>
      <c r="K395" s="15" t="s">
        <v>23</v>
      </c>
    </row>
    <row r="396" spans="1:11" ht="42" customHeight="1">
      <c r="A396" s="4" t="s">
        <v>1115</v>
      </c>
      <c r="B396" s="5" t="s">
        <v>1116</v>
      </c>
      <c r="C396" s="5" t="s">
        <v>55</v>
      </c>
      <c r="D396" s="5" t="s">
        <v>56</v>
      </c>
      <c r="E396" s="5" t="s">
        <v>921</v>
      </c>
      <c r="F396" s="9">
        <v>50</v>
      </c>
      <c r="G396" s="9">
        <v>611</v>
      </c>
      <c r="H396" s="5" t="s">
        <v>21</v>
      </c>
      <c r="I396" s="5" t="s">
        <v>1117</v>
      </c>
      <c r="J396" s="12" t="str">
        <f>HYPERLINK("https://www.boe.es/gazeta/dias/1802/06/22/pdfs/GMD-1802-50.pdf#page=11","Abrir facsímil")</f>
        <v>Abrir facsímil</v>
      </c>
      <c r="K396" s="15" t="s">
        <v>23</v>
      </c>
    </row>
    <row r="397" spans="1:11" ht="42" customHeight="1">
      <c r="A397" s="4" t="s">
        <v>1118</v>
      </c>
      <c r="B397" s="5" t="s">
        <v>1119</v>
      </c>
      <c r="C397" s="5" t="s">
        <v>35</v>
      </c>
      <c r="D397" s="5" t="s">
        <v>36</v>
      </c>
      <c r="E397" s="5" t="s">
        <v>439</v>
      </c>
      <c r="F397" s="9">
        <v>76</v>
      </c>
      <c r="G397" s="9">
        <v>934</v>
      </c>
      <c r="H397" s="5" t="s">
        <v>21</v>
      </c>
      <c r="I397" s="5" t="s">
        <v>1120</v>
      </c>
      <c r="J397" s="12" t="str">
        <f>HYPERLINK("https://www.boe.es/gazeta/dias/1802/09/17/pdfs/GMD-1802-76.pdf#page=6","Abrir facsímil")</f>
        <v>Abrir facsímil</v>
      </c>
      <c r="K397" s="15" t="s">
        <v>23</v>
      </c>
    </row>
    <row r="398" spans="1:11" ht="42" customHeight="1">
      <c r="A398" s="4" t="s">
        <v>1121</v>
      </c>
      <c r="B398" s="5" t="s">
        <v>1122</v>
      </c>
      <c r="C398" s="5" t="s">
        <v>29</v>
      </c>
      <c r="D398" s="5" t="s">
        <v>30</v>
      </c>
      <c r="E398" s="5" t="s">
        <v>165</v>
      </c>
      <c r="F398" s="9">
        <v>3</v>
      </c>
      <c r="G398" s="9">
        <v>25</v>
      </c>
      <c r="H398" s="5" t="s">
        <v>21</v>
      </c>
      <c r="I398" s="5" t="s">
        <v>1123</v>
      </c>
      <c r="J398" s="12" t="str">
        <f>HYPERLINK("https://www.boe.es/gazeta/dias/1802/01/08/pdfs/GMD-1802-3.pdf#page=5","Abrir facsímil")</f>
        <v>Abrir facsímil</v>
      </c>
      <c r="K398" s="15" t="s">
        <v>23</v>
      </c>
    </row>
    <row r="399" spans="1:11" ht="42" customHeight="1">
      <c r="A399" s="4" t="s">
        <v>1124</v>
      </c>
      <c r="B399" s="5" t="s">
        <v>1125</v>
      </c>
      <c r="C399" s="5" t="s">
        <v>35</v>
      </c>
      <c r="D399" s="5" t="s">
        <v>36</v>
      </c>
      <c r="E399" s="5" t="s">
        <v>385</v>
      </c>
      <c r="F399" s="9">
        <v>70</v>
      </c>
      <c r="G399" s="9">
        <v>862</v>
      </c>
      <c r="H399" s="5" t="s">
        <v>21</v>
      </c>
      <c r="I399" s="5" t="s">
        <v>1126</v>
      </c>
      <c r="J399" s="12" t="str">
        <f>HYPERLINK("https://www.boe.es/gazeta/dias/1802/08/27/pdfs/GMD-1802-70.pdf#page=10","Abrir facsímil")</f>
        <v>Abrir facsímil</v>
      </c>
      <c r="K399" s="15" t="s">
        <v>23</v>
      </c>
    </row>
    <row r="400" spans="1:11" ht="42" customHeight="1">
      <c r="A400" s="4" t="s">
        <v>1127</v>
      </c>
      <c r="B400" s="5" t="s">
        <v>1127</v>
      </c>
      <c r="C400" s="5" t="s">
        <v>18</v>
      </c>
      <c r="D400" s="5" t="s">
        <v>19</v>
      </c>
      <c r="E400" s="5" t="s">
        <v>37</v>
      </c>
      <c r="F400" s="9">
        <v>106</v>
      </c>
      <c r="G400" s="9">
        <v>1294</v>
      </c>
      <c r="H400" s="5" t="s">
        <v>21</v>
      </c>
      <c r="I400" s="5" t="s">
        <v>1128</v>
      </c>
      <c r="J400" s="12" t="str">
        <f>HYPERLINK("https://www.boe.es/gazeta/dias/1802/12/31/pdfs/GMD-1802-106.pdf#page=6","Abrir facsímil")</f>
        <v>Abrir facsímil</v>
      </c>
      <c r="K400" s="15" t="s">
        <v>23</v>
      </c>
    </row>
    <row r="401" spans="1:11" ht="42" customHeight="1">
      <c r="A401" s="4" t="s">
        <v>1129</v>
      </c>
      <c r="B401" s="5" t="s">
        <v>1130</v>
      </c>
      <c r="C401" s="5" t="s">
        <v>29</v>
      </c>
      <c r="D401" s="5" t="s">
        <v>30</v>
      </c>
      <c r="E401" s="5" t="s">
        <v>232</v>
      </c>
      <c r="F401" s="9">
        <v>30</v>
      </c>
      <c r="G401" s="9">
        <v>351</v>
      </c>
      <c r="H401" s="5" t="s">
        <v>21</v>
      </c>
      <c r="I401" s="5" t="s">
        <v>1131</v>
      </c>
      <c r="J401" s="12" t="str">
        <f>HYPERLINK("https://www.boe.es/gazeta/dias/1802/04/13/pdfs/GMD-1802-30.pdf#page=7","Abrir facsímil")</f>
        <v>Abrir facsímil</v>
      </c>
      <c r="K401" s="15" t="s">
        <v>23</v>
      </c>
    </row>
    <row r="402" spans="1:11" ht="42" customHeight="1">
      <c r="A402" s="4" t="s">
        <v>1132</v>
      </c>
      <c r="B402" s="5" t="s">
        <v>1133</v>
      </c>
      <c r="C402" s="5" t="s">
        <v>42</v>
      </c>
      <c r="D402" s="5" t="s">
        <v>43</v>
      </c>
      <c r="E402" s="5" t="s">
        <v>44</v>
      </c>
      <c r="F402" s="9">
        <v>99</v>
      </c>
      <c r="G402" s="9" t="s">
        <v>45</v>
      </c>
      <c r="H402" s="5" t="s">
        <v>21</v>
      </c>
      <c r="I402" s="5" t="s">
        <v>1134</v>
      </c>
      <c r="J402" s="12" t="str">
        <f>HYPERLINK("https://www.boe.es/gazeta/dias/1802/12/07/pdfs/GMD-D-1802-99.pdf#page=14","Abrir facsímil")</f>
        <v>Abrir facsímil</v>
      </c>
      <c r="K402" s="15" t="s">
        <v>23</v>
      </c>
    </row>
    <row r="403" spans="1:11" ht="42" customHeight="1">
      <c r="A403" s="4" t="s">
        <v>1135</v>
      </c>
      <c r="B403" s="5" t="s">
        <v>1136</v>
      </c>
      <c r="C403" s="5" t="s">
        <v>18</v>
      </c>
      <c r="D403" s="5" t="s">
        <v>19</v>
      </c>
      <c r="E403" s="5" t="s">
        <v>49</v>
      </c>
      <c r="F403" s="9">
        <v>83</v>
      </c>
      <c r="G403" s="9">
        <v>1025</v>
      </c>
      <c r="H403" s="5" t="s">
        <v>21</v>
      </c>
      <c r="I403" s="5" t="s">
        <v>1137</v>
      </c>
      <c r="J403" s="12" t="str">
        <f>HYPERLINK("https://www.boe.es/gazeta/dias/1802/10/12/pdfs/GMD-1802-83.pdf#page=13","Abrir facsímil")</f>
        <v>Abrir facsímil</v>
      </c>
      <c r="K403" s="15" t="s">
        <v>23</v>
      </c>
    </row>
    <row r="404" spans="1:11" ht="42" customHeight="1">
      <c r="A404" s="4" t="s">
        <v>1138</v>
      </c>
      <c r="B404" s="5" t="s">
        <v>1139</v>
      </c>
      <c r="C404" s="5" t="s">
        <v>29</v>
      </c>
      <c r="D404" s="5" t="s">
        <v>30</v>
      </c>
      <c r="E404" s="5" t="s">
        <v>517</v>
      </c>
      <c r="F404" s="9">
        <v>61</v>
      </c>
      <c r="G404" s="9">
        <v>740</v>
      </c>
      <c r="H404" s="5" t="s">
        <v>21</v>
      </c>
      <c r="I404" s="5" t="s">
        <v>1140</v>
      </c>
      <c r="J404" s="12" t="str">
        <f>HYPERLINK("https://www.boe.es/gazeta/dias/1802/07/27/pdfs/GMD-1802-61.pdf#page=8","Abrir facsímil")</f>
        <v>Abrir facsímil</v>
      </c>
      <c r="K404" s="15" t="s">
        <v>23</v>
      </c>
    </row>
    <row r="405" spans="1:11" ht="42" customHeight="1">
      <c r="A405" s="4" t="s">
        <v>1141</v>
      </c>
      <c r="B405" s="5" t="s">
        <v>1141</v>
      </c>
      <c r="C405" s="5" t="s">
        <v>18</v>
      </c>
      <c r="D405" s="5" t="s">
        <v>19</v>
      </c>
      <c r="E405" s="5" t="s">
        <v>20</v>
      </c>
      <c r="F405" s="9">
        <v>84</v>
      </c>
      <c r="G405" s="9">
        <v>1043</v>
      </c>
      <c r="H405" s="5" t="s">
        <v>21</v>
      </c>
      <c r="I405" s="5" t="s">
        <v>1142</v>
      </c>
      <c r="J405" s="12" t="str">
        <f>HYPERLINK("https://www.boe.es/gazeta/dias/1802/10/15/pdfs/GMD-1802-84.pdf#page=11","Abrir facsímil")</f>
        <v>Abrir facsímil</v>
      </c>
      <c r="K405" s="15" t="s">
        <v>23</v>
      </c>
    </row>
    <row r="406" spans="1:11" ht="42" customHeight="1">
      <c r="A406" s="4" t="s">
        <v>1143</v>
      </c>
      <c r="B406" s="5" t="s">
        <v>1144</v>
      </c>
      <c r="C406" s="5" t="s">
        <v>160</v>
      </c>
      <c r="D406" s="5" t="s">
        <v>91</v>
      </c>
      <c r="E406" s="5" t="s">
        <v>20</v>
      </c>
      <c r="F406" s="9">
        <v>84</v>
      </c>
      <c r="G406" s="9">
        <v>1040</v>
      </c>
      <c r="H406" s="5" t="s">
        <v>21</v>
      </c>
      <c r="I406" s="5" t="s">
        <v>1145</v>
      </c>
      <c r="J406" s="12" t="str">
        <f>HYPERLINK("https://www.boe.es/gazeta/dias/1802/10/15/pdfs/GMD-1802-84.pdf#page=8","Abrir facsímil")</f>
        <v>Abrir facsímil</v>
      </c>
      <c r="K406" s="15" t="s">
        <v>23</v>
      </c>
    </row>
    <row r="407" spans="1:11" ht="42" customHeight="1">
      <c r="A407" s="4" t="s">
        <v>1146</v>
      </c>
      <c r="B407" s="5" t="s">
        <v>1147</v>
      </c>
      <c r="C407" s="5" t="s">
        <v>18</v>
      </c>
      <c r="D407" s="5" t="s">
        <v>19</v>
      </c>
      <c r="E407" s="5" t="s">
        <v>20</v>
      </c>
      <c r="F407" s="9">
        <v>84</v>
      </c>
      <c r="G407" s="9">
        <v>1041</v>
      </c>
      <c r="H407" s="5" t="s">
        <v>21</v>
      </c>
      <c r="I407" s="5" t="s">
        <v>1148</v>
      </c>
      <c r="J407" s="12" t="str">
        <f>HYPERLINK("https://www.boe.es/gazeta/dias/1802/10/15/pdfs/GMD-1802-84.pdf#page=9","Abrir facsímil")</f>
        <v>Abrir facsímil</v>
      </c>
      <c r="K407" s="15" t="s">
        <v>23</v>
      </c>
    </row>
    <row r="408" spans="1:11" ht="42" customHeight="1">
      <c r="A408" s="4" t="s">
        <v>1149</v>
      </c>
      <c r="B408" s="5" t="s">
        <v>1150</v>
      </c>
      <c r="C408" s="5" t="s">
        <v>18</v>
      </c>
      <c r="D408" s="5" t="s">
        <v>19</v>
      </c>
      <c r="E408" s="5" t="s">
        <v>49</v>
      </c>
      <c r="F408" s="9">
        <v>83</v>
      </c>
      <c r="G408" s="9">
        <v>1026</v>
      </c>
      <c r="H408" s="5" t="s">
        <v>21</v>
      </c>
      <c r="I408" s="5" t="s">
        <v>1151</v>
      </c>
      <c r="J408" s="12" t="str">
        <f>HYPERLINK("https://www.boe.es/gazeta/dias/1802/10/12/pdfs/GMD-1802-83.pdf#page=14","Abrir facsímil")</f>
        <v>Abrir facsímil</v>
      </c>
      <c r="K408" s="15" t="s">
        <v>23</v>
      </c>
    </row>
    <row r="409" spans="1:11" ht="42" customHeight="1">
      <c r="A409" s="4" t="s">
        <v>1152</v>
      </c>
      <c r="B409" s="5" t="s">
        <v>1153</v>
      </c>
      <c r="C409" s="5" t="s">
        <v>42</v>
      </c>
      <c r="D409" s="5" t="s">
        <v>43</v>
      </c>
      <c r="E409" s="5" t="s">
        <v>44</v>
      </c>
      <c r="F409" s="9">
        <v>99</v>
      </c>
      <c r="G409" s="9" t="s">
        <v>272</v>
      </c>
      <c r="H409" s="5" t="s">
        <v>21</v>
      </c>
      <c r="I409" s="5" t="s">
        <v>1154</v>
      </c>
      <c r="J409" s="12" t="str">
        <f>HYPERLINK("https://www.boe.es/gazeta/dias/1802/12/07/pdfs/GMD-D-1802-99.pdf#page=3","Abrir facsímil")</f>
        <v>Abrir facsímil</v>
      </c>
      <c r="K409" s="15" t="s">
        <v>23</v>
      </c>
    </row>
    <row r="410" spans="1:11" ht="42" customHeight="1">
      <c r="A410" s="4" t="s">
        <v>1155</v>
      </c>
      <c r="B410" s="5" t="s">
        <v>1155</v>
      </c>
      <c r="C410" s="5" t="s">
        <v>18</v>
      </c>
      <c r="D410" s="5" t="s">
        <v>19</v>
      </c>
      <c r="E410" s="5" t="s">
        <v>121</v>
      </c>
      <c r="F410" s="9">
        <v>87</v>
      </c>
      <c r="G410" s="9">
        <v>1082</v>
      </c>
      <c r="H410" s="5" t="s">
        <v>21</v>
      </c>
      <c r="I410" s="5" t="s">
        <v>1156</v>
      </c>
      <c r="J410" s="12" t="str">
        <f>HYPERLINK("https://www.boe.es/gazeta/dias/1802/10/26/pdfs/GMD-1802-87.pdf#page=10","Abrir facsímil")</f>
        <v>Abrir facsímil</v>
      </c>
      <c r="K410" s="15" t="s">
        <v>23</v>
      </c>
    </row>
    <row r="411" spans="1:11" ht="42" customHeight="1">
      <c r="A411" s="4" t="s">
        <v>1157</v>
      </c>
      <c r="B411" s="5" t="s">
        <v>1158</v>
      </c>
      <c r="C411" s="5" t="s">
        <v>35</v>
      </c>
      <c r="D411" s="5" t="s">
        <v>36</v>
      </c>
      <c r="E411" s="5" t="s">
        <v>749</v>
      </c>
      <c r="F411" s="9">
        <v>97</v>
      </c>
      <c r="G411" s="9">
        <v>1193</v>
      </c>
      <c r="H411" s="5" t="s">
        <v>21</v>
      </c>
      <c r="I411" s="5" t="s">
        <v>1159</v>
      </c>
      <c r="J411" s="12" t="str">
        <f>HYPERLINK("https://www.boe.es/gazeta/dias/1802/11/30/pdfs/GMD-1802-97.pdf#page=1","Abrir facsímil")</f>
        <v>Abrir facsímil</v>
      </c>
      <c r="K411" s="15" t="s">
        <v>23</v>
      </c>
    </row>
    <row r="412" spans="1:11" ht="42" customHeight="1">
      <c r="A412" s="4" t="s">
        <v>1160</v>
      </c>
      <c r="B412" s="5" t="s">
        <v>1161</v>
      </c>
      <c r="C412" s="5" t="s">
        <v>90</v>
      </c>
      <c r="D412" s="5" t="s">
        <v>91</v>
      </c>
      <c r="E412" s="5" t="s">
        <v>206</v>
      </c>
      <c r="F412" s="9">
        <v>22</v>
      </c>
      <c r="G412" s="9">
        <v>243</v>
      </c>
      <c r="H412" s="5" t="s">
        <v>21</v>
      </c>
      <c r="I412" s="5" t="s">
        <v>1162</v>
      </c>
      <c r="J412" s="12" t="str">
        <f>HYPERLINK("https://www.boe.es/gazeta/dias/1802/03/16/pdfs/GMD-1802-22.pdf#page=11","Abrir facsímil")</f>
        <v>Abrir facsímil</v>
      </c>
      <c r="K412" s="15" t="s">
        <v>23</v>
      </c>
    </row>
    <row r="413" spans="1:11" ht="42" customHeight="1">
      <c r="A413" s="4" t="s">
        <v>1163</v>
      </c>
      <c r="B413" s="5" t="s">
        <v>1164</v>
      </c>
      <c r="C413" s="5" t="s">
        <v>90</v>
      </c>
      <c r="D413" s="5" t="s">
        <v>91</v>
      </c>
      <c r="E413" s="5" t="s">
        <v>206</v>
      </c>
      <c r="F413" s="9">
        <v>22</v>
      </c>
      <c r="G413" s="9">
        <v>243</v>
      </c>
      <c r="H413" s="5" t="s">
        <v>21</v>
      </c>
      <c r="I413" s="5" t="s">
        <v>1165</v>
      </c>
      <c r="J413" s="12" t="str">
        <f>HYPERLINK("https://www.boe.es/gazeta/dias/1802/03/16/pdfs/GMD-1802-22.pdf#page=11","Abrir facsímil")</f>
        <v>Abrir facsímil</v>
      </c>
      <c r="K413" s="15" t="s">
        <v>23</v>
      </c>
    </row>
    <row r="414" spans="1:11" ht="42" customHeight="1">
      <c r="A414" s="4" t="s">
        <v>1166</v>
      </c>
      <c r="B414" s="5" t="s">
        <v>1167</v>
      </c>
      <c r="C414" s="5" t="s">
        <v>42</v>
      </c>
      <c r="D414" s="5" t="s">
        <v>43</v>
      </c>
      <c r="E414" s="5" t="s">
        <v>44</v>
      </c>
      <c r="F414" s="9">
        <v>99</v>
      </c>
      <c r="G414" s="9" t="s">
        <v>537</v>
      </c>
      <c r="H414" s="5" t="s">
        <v>21</v>
      </c>
      <c r="I414" s="5" t="s">
        <v>1168</v>
      </c>
      <c r="J414" s="12" t="str">
        <f>HYPERLINK("https://www.boe.es/gazeta/dias/1802/12/07/pdfs/GMD-D-1802-99.pdf#page=9","Abrir facsímil")</f>
        <v>Abrir facsímil</v>
      </c>
      <c r="K414" s="15" t="s">
        <v>23</v>
      </c>
    </row>
    <row r="415" spans="1:11" ht="42" customHeight="1">
      <c r="A415" s="4" t="s">
        <v>1169</v>
      </c>
      <c r="B415" s="5" t="s">
        <v>1169</v>
      </c>
      <c r="C415" s="5" t="s">
        <v>18</v>
      </c>
      <c r="D415" s="5" t="s">
        <v>19</v>
      </c>
      <c r="E415" s="5" t="s">
        <v>439</v>
      </c>
      <c r="F415" s="9">
        <v>76</v>
      </c>
      <c r="G415" s="9">
        <v>939</v>
      </c>
      <c r="H415" s="5" t="s">
        <v>21</v>
      </c>
      <c r="I415" s="5" t="s">
        <v>1170</v>
      </c>
      <c r="J415" s="12" t="str">
        <f>HYPERLINK("https://www.boe.es/gazeta/dias/1802/09/17/pdfs/GMD-1802-76.pdf#page=11","Abrir facsímil")</f>
        <v>Abrir facsímil</v>
      </c>
      <c r="K415" s="15" t="s">
        <v>23</v>
      </c>
    </row>
    <row r="416" spans="1:11" ht="42" customHeight="1">
      <c r="A416" s="4" t="s">
        <v>1171</v>
      </c>
      <c r="B416" s="5" t="s">
        <v>1172</v>
      </c>
      <c r="C416" s="5" t="s">
        <v>29</v>
      </c>
      <c r="D416" s="5" t="s">
        <v>30</v>
      </c>
      <c r="E416" s="5" t="s">
        <v>429</v>
      </c>
      <c r="F416" s="9">
        <v>91</v>
      </c>
      <c r="G416" s="9">
        <v>1122</v>
      </c>
      <c r="H416" s="5" t="s">
        <v>21</v>
      </c>
      <c r="I416" s="5" t="s">
        <v>1173</v>
      </c>
      <c r="J416" s="12" t="str">
        <f>HYPERLINK("https://www.boe.es/gazeta/dias/1802/11/09/pdfs/GMD-1802-91.pdf#page=2","Abrir facsímil")</f>
        <v>Abrir facsímil</v>
      </c>
      <c r="K416" s="15" t="s">
        <v>23</v>
      </c>
    </row>
    <row r="417" spans="1:11" ht="42" customHeight="1">
      <c r="A417" s="4" t="s">
        <v>1174</v>
      </c>
      <c r="B417" s="5" t="s">
        <v>1175</v>
      </c>
      <c r="C417" s="5" t="s">
        <v>35</v>
      </c>
      <c r="D417" s="5" t="s">
        <v>36</v>
      </c>
      <c r="E417" s="5" t="s">
        <v>749</v>
      </c>
      <c r="F417" s="9">
        <v>97</v>
      </c>
      <c r="G417" s="9">
        <v>1196</v>
      </c>
      <c r="H417" s="5" t="s">
        <v>21</v>
      </c>
      <c r="I417" s="5" t="s">
        <v>1176</v>
      </c>
      <c r="J417" s="12" t="str">
        <f>HYPERLINK("https://www.boe.es/gazeta/dias/1802/11/30/pdfs/GMD-1802-97.pdf#page=4","Abrir facsímil")</f>
        <v>Abrir facsímil</v>
      </c>
      <c r="K417" s="15" t="s">
        <v>23</v>
      </c>
    </row>
    <row r="418" spans="1:11" ht="42" customHeight="1">
      <c r="A418" s="4" t="s">
        <v>1177</v>
      </c>
      <c r="B418" s="5" t="s">
        <v>1178</v>
      </c>
      <c r="C418" s="5" t="s">
        <v>35</v>
      </c>
      <c r="D418" s="5" t="s">
        <v>36</v>
      </c>
      <c r="E418" s="5" t="s">
        <v>311</v>
      </c>
      <c r="F418" s="9">
        <v>88</v>
      </c>
      <c r="G418" s="9">
        <v>1090</v>
      </c>
      <c r="H418" s="5" t="s">
        <v>21</v>
      </c>
      <c r="I418" s="5" t="s">
        <v>1179</v>
      </c>
      <c r="J418" s="12" t="str">
        <f>HYPERLINK("https://www.boe.es/gazeta/dias/1802/10/29/pdfs/GMD-1802-88.pdf#page=6","Abrir facsímil")</f>
        <v>Abrir facsímil</v>
      </c>
      <c r="K418" s="15" t="s">
        <v>23</v>
      </c>
    </row>
    <row r="419" spans="1:11" ht="42" customHeight="1">
      <c r="A419" s="4" t="s">
        <v>1180</v>
      </c>
      <c r="B419" s="5" t="s">
        <v>1181</v>
      </c>
      <c r="C419" s="5" t="s">
        <v>35</v>
      </c>
      <c r="D419" s="5" t="s">
        <v>36</v>
      </c>
      <c r="E419" s="5" t="s">
        <v>325</v>
      </c>
      <c r="F419" s="9">
        <v>90</v>
      </c>
      <c r="G419" s="9">
        <v>1114</v>
      </c>
      <c r="H419" s="5" t="s">
        <v>21</v>
      </c>
      <c r="I419" s="5" t="s">
        <v>1182</v>
      </c>
      <c r="J419" s="12" t="str">
        <f>HYPERLINK("https://www.boe.es/gazeta/dias/1802/11/05/pdfs/GMD-1802-90.pdf#page=6","Abrir facsímil")</f>
        <v>Abrir facsímil</v>
      </c>
      <c r="K419" s="15" t="s">
        <v>23</v>
      </c>
    </row>
    <row r="420" spans="1:11" ht="42" customHeight="1">
      <c r="A420" s="4" t="s">
        <v>1180</v>
      </c>
      <c r="B420" s="5" t="s">
        <v>1181</v>
      </c>
      <c r="C420" s="5" t="s">
        <v>35</v>
      </c>
      <c r="D420" s="5" t="s">
        <v>36</v>
      </c>
      <c r="E420" s="5" t="s">
        <v>325</v>
      </c>
      <c r="F420" s="9">
        <v>90</v>
      </c>
      <c r="G420" s="9">
        <v>1115</v>
      </c>
      <c r="H420" s="5" t="s">
        <v>21</v>
      </c>
      <c r="I420" s="5" t="s">
        <v>1183</v>
      </c>
      <c r="J420" s="12" t="str">
        <f>HYPERLINK("https://www.boe.es/gazeta/dias/1802/11/05/pdfs/GMD-1802-90.pdf#page=7","Abrir facsímil")</f>
        <v>Abrir facsímil</v>
      </c>
      <c r="K420" s="15" t="s">
        <v>23</v>
      </c>
    </row>
    <row r="421" spans="1:11" ht="42" customHeight="1">
      <c r="A421" s="4" t="s">
        <v>1180</v>
      </c>
      <c r="B421" s="5" t="s">
        <v>1181</v>
      </c>
      <c r="C421" s="5" t="s">
        <v>29</v>
      </c>
      <c r="D421" s="5" t="s">
        <v>30</v>
      </c>
      <c r="E421" s="5" t="s">
        <v>745</v>
      </c>
      <c r="F421" s="9">
        <v>92</v>
      </c>
      <c r="G421" s="9">
        <v>1137</v>
      </c>
      <c r="H421" s="5" t="s">
        <v>21</v>
      </c>
      <c r="I421" s="5" t="s">
        <v>1184</v>
      </c>
      <c r="J421" s="12" t="str">
        <f>HYPERLINK("https://www.boe.es/gazeta/dias/1802/11/12/pdfs/GMD-1802-92.pdf#page=5","Abrir facsímil")</f>
        <v>Abrir facsímil</v>
      </c>
      <c r="K421" s="15" t="s">
        <v>23</v>
      </c>
    </row>
    <row r="422" spans="1:11" ht="42" customHeight="1">
      <c r="A422" s="4" t="s">
        <v>1180</v>
      </c>
      <c r="B422" s="5" t="s">
        <v>1181</v>
      </c>
      <c r="C422" s="5" t="s">
        <v>35</v>
      </c>
      <c r="D422" s="5" t="s">
        <v>36</v>
      </c>
      <c r="E422" s="5" t="s">
        <v>1185</v>
      </c>
      <c r="F422" s="9">
        <v>93</v>
      </c>
      <c r="G422" s="9">
        <v>1145</v>
      </c>
      <c r="H422" s="5" t="s">
        <v>21</v>
      </c>
      <c r="I422" s="5" t="s">
        <v>1186</v>
      </c>
      <c r="J422" s="12" t="str">
        <f>HYPERLINK("https://www.boe.es/gazeta/dias/1802/11/16/pdfs/GMD-1802-93.pdf#page=5","Abrir facsímil")</f>
        <v>Abrir facsímil</v>
      </c>
      <c r="K422" s="15" t="s">
        <v>23</v>
      </c>
    </row>
    <row r="423" spans="1:11" ht="42" customHeight="1">
      <c r="A423" s="4" t="s">
        <v>1180</v>
      </c>
      <c r="B423" s="5" t="s">
        <v>1181</v>
      </c>
      <c r="C423" s="5" t="s">
        <v>35</v>
      </c>
      <c r="D423" s="5" t="s">
        <v>36</v>
      </c>
      <c r="E423" s="5" t="s">
        <v>389</v>
      </c>
      <c r="F423" s="9">
        <v>96</v>
      </c>
      <c r="G423" s="9">
        <v>1186</v>
      </c>
      <c r="H423" s="5" t="s">
        <v>21</v>
      </c>
      <c r="I423" s="5" t="s">
        <v>1187</v>
      </c>
      <c r="J423" s="12" t="str">
        <f>HYPERLINK("https://www.boe.es/gazeta/dias/1802/11/26/pdfs/GMD-1802-96.pdf#page=6","Abrir facsímil")</f>
        <v>Abrir facsímil</v>
      </c>
      <c r="K423" s="15" t="s">
        <v>23</v>
      </c>
    </row>
    <row r="424" spans="1:11" ht="42" customHeight="1">
      <c r="A424" s="4" t="s">
        <v>1188</v>
      </c>
      <c r="B424" s="5" t="s">
        <v>1188</v>
      </c>
      <c r="C424" s="5" t="s">
        <v>35</v>
      </c>
      <c r="D424" s="5" t="s">
        <v>36</v>
      </c>
      <c r="E424" s="5" t="s">
        <v>219</v>
      </c>
      <c r="F424" s="9">
        <v>81</v>
      </c>
      <c r="G424" s="9">
        <v>994</v>
      </c>
      <c r="H424" s="5" t="s">
        <v>21</v>
      </c>
      <c r="I424" s="5" t="s">
        <v>1189</v>
      </c>
      <c r="J424" s="12" t="str">
        <f>HYPERLINK("https://www.boe.es/gazeta/dias/1802/10/05/pdfs/GMD-1802-81.pdf#page=6","Abrir facsímil")</f>
        <v>Abrir facsímil</v>
      </c>
      <c r="K424" s="15" t="s">
        <v>23</v>
      </c>
    </row>
    <row r="425" spans="1:11" ht="42" customHeight="1">
      <c r="A425" s="4" t="s">
        <v>1190</v>
      </c>
      <c r="B425" s="5" t="s">
        <v>1191</v>
      </c>
      <c r="C425" s="5" t="s">
        <v>42</v>
      </c>
      <c r="D425" s="5" t="s">
        <v>43</v>
      </c>
      <c r="E425" s="5" t="s">
        <v>44</v>
      </c>
      <c r="F425" s="9">
        <v>99</v>
      </c>
      <c r="G425" s="9" t="s">
        <v>554</v>
      </c>
      <c r="H425" s="5" t="s">
        <v>21</v>
      </c>
      <c r="I425" s="5" t="s">
        <v>1192</v>
      </c>
      <c r="J425" s="12" t="str">
        <f>HYPERLINK("https://www.boe.es/gazeta/dias/1802/12/07/pdfs/GMD-D-1802-99.pdf#page=4","Abrir facsímil")</f>
        <v>Abrir facsímil</v>
      </c>
      <c r="K425" s="15" t="s">
        <v>23</v>
      </c>
    </row>
    <row r="426" spans="1:11" ht="42" customHeight="1">
      <c r="A426" s="4" t="s">
        <v>1193</v>
      </c>
      <c r="B426" s="5" t="s">
        <v>1194</v>
      </c>
      <c r="C426" s="5" t="s">
        <v>160</v>
      </c>
      <c r="D426" s="5" t="s">
        <v>91</v>
      </c>
      <c r="E426" s="5" t="s">
        <v>148</v>
      </c>
      <c r="F426" s="9">
        <v>66</v>
      </c>
      <c r="G426" s="9">
        <v>811</v>
      </c>
      <c r="H426" s="5" t="s">
        <v>21</v>
      </c>
      <c r="I426" s="5" t="s">
        <v>1195</v>
      </c>
      <c r="J426" s="12" t="str">
        <f>HYPERLINK("https://www.boe.es/gazeta/dias/1802/08/13/pdfs/GMD-1802-66.pdf#page=15","Abrir facsímil")</f>
        <v>Abrir facsímil</v>
      </c>
      <c r="K426" s="15" t="s">
        <v>23</v>
      </c>
    </row>
    <row r="427" spans="1:11" ht="42" customHeight="1">
      <c r="A427" s="4" t="s">
        <v>1196</v>
      </c>
      <c r="B427" s="5" t="s">
        <v>1197</v>
      </c>
      <c r="C427" s="5" t="s">
        <v>35</v>
      </c>
      <c r="D427" s="5" t="s">
        <v>36</v>
      </c>
      <c r="E427" s="5" t="s">
        <v>170</v>
      </c>
      <c r="F427" s="9">
        <v>28</v>
      </c>
      <c r="G427" s="9">
        <v>324</v>
      </c>
      <c r="H427" s="5" t="s">
        <v>21</v>
      </c>
      <c r="I427" s="5" t="s">
        <v>1198</v>
      </c>
      <c r="J427" s="12" t="str">
        <f>HYPERLINK("https://www.boe.es/gazeta/dias/1802/04/06/pdfs/GMD-1802-28.pdf#page=4","Abrir facsímil")</f>
        <v>Abrir facsímil</v>
      </c>
      <c r="K427" s="15" t="s">
        <v>23</v>
      </c>
    </row>
    <row r="428" spans="1:11" ht="42" customHeight="1">
      <c r="A428" s="4" t="s">
        <v>1199</v>
      </c>
      <c r="B428" s="5" t="s">
        <v>1200</v>
      </c>
      <c r="C428" s="5" t="s">
        <v>55</v>
      </c>
      <c r="D428" s="5" t="s">
        <v>56</v>
      </c>
      <c r="E428" s="5" t="s">
        <v>25</v>
      </c>
      <c r="F428" s="9">
        <v>44</v>
      </c>
      <c r="G428" s="9">
        <v>534</v>
      </c>
      <c r="H428" s="5" t="s">
        <v>21</v>
      </c>
      <c r="I428" s="5" t="s">
        <v>1201</v>
      </c>
      <c r="J428" s="12" t="str">
        <f>HYPERLINK("https://www.boe.es/gazeta/dias/1802/06/01/pdfs/GMD-1802-44.pdf#page=10","Abrir facsímil")</f>
        <v>Abrir facsímil</v>
      </c>
      <c r="K428" s="15" t="s">
        <v>23</v>
      </c>
    </row>
    <row r="429" spans="1:11" ht="42" customHeight="1">
      <c r="A429" s="4" t="s">
        <v>1202</v>
      </c>
      <c r="B429" s="5" t="s">
        <v>1203</v>
      </c>
      <c r="C429" s="5" t="s">
        <v>18</v>
      </c>
      <c r="D429" s="5" t="s">
        <v>19</v>
      </c>
      <c r="E429" s="5" t="s">
        <v>20</v>
      </c>
      <c r="F429" s="9">
        <v>84</v>
      </c>
      <c r="G429" s="9">
        <v>1041</v>
      </c>
      <c r="H429" s="5" t="s">
        <v>21</v>
      </c>
      <c r="I429" s="5" t="s">
        <v>1204</v>
      </c>
      <c r="J429" s="12" t="str">
        <f>HYPERLINK("https://www.boe.es/gazeta/dias/1802/10/15/pdfs/GMD-1802-84.pdf#page=9","Abrir facsímil")</f>
        <v>Abrir facsímil</v>
      </c>
      <c r="K429" s="15" t="s">
        <v>23</v>
      </c>
    </row>
    <row r="430" spans="1:11" ht="42" customHeight="1">
      <c r="A430" s="4" t="s">
        <v>1205</v>
      </c>
      <c r="B430" s="5" t="s">
        <v>1206</v>
      </c>
      <c r="C430" s="5" t="s">
        <v>18</v>
      </c>
      <c r="D430" s="5" t="s">
        <v>19</v>
      </c>
      <c r="E430" s="5" t="s">
        <v>20</v>
      </c>
      <c r="F430" s="9">
        <v>84</v>
      </c>
      <c r="G430" s="9">
        <v>1039</v>
      </c>
      <c r="H430" s="5" t="s">
        <v>21</v>
      </c>
      <c r="I430" s="5" t="s">
        <v>1207</v>
      </c>
      <c r="J430" s="12" t="str">
        <f>HYPERLINK("https://www.boe.es/gazeta/dias/1802/10/15/pdfs/GMD-1802-84.pdf#page=7","Abrir facsímil")</f>
        <v>Abrir facsímil</v>
      </c>
      <c r="K430" s="15" t="s">
        <v>23</v>
      </c>
    </row>
    <row r="431" spans="1:11" ht="42" customHeight="1">
      <c r="A431" s="4" t="s">
        <v>1208</v>
      </c>
      <c r="B431" s="5" t="s">
        <v>1209</v>
      </c>
      <c r="C431" s="5" t="s">
        <v>42</v>
      </c>
      <c r="D431" s="5" t="s">
        <v>43</v>
      </c>
      <c r="E431" s="5" t="s">
        <v>44</v>
      </c>
      <c r="F431" s="9">
        <v>99</v>
      </c>
      <c r="G431" s="9" t="s">
        <v>222</v>
      </c>
      <c r="H431" s="5" t="s">
        <v>21</v>
      </c>
      <c r="I431" s="5" t="s">
        <v>1210</v>
      </c>
      <c r="J431" s="12" t="str">
        <f>HYPERLINK("https://www.boe.es/gazeta/dias/1802/12/07/pdfs/GMD-D-1802-99.pdf#page=5","Abrir facsímil")</f>
        <v>Abrir facsímil</v>
      </c>
      <c r="K431" s="15" t="s">
        <v>23</v>
      </c>
    </row>
    <row r="432" spans="1:11" ht="42" customHeight="1">
      <c r="A432" s="4" t="s">
        <v>1211</v>
      </c>
      <c r="B432" s="5" t="s">
        <v>1212</v>
      </c>
      <c r="C432" s="5" t="s">
        <v>90</v>
      </c>
      <c r="D432" s="5" t="s">
        <v>91</v>
      </c>
      <c r="E432" s="5" t="s">
        <v>31</v>
      </c>
      <c r="F432" s="9">
        <v>27</v>
      </c>
      <c r="G432" s="9">
        <v>317</v>
      </c>
      <c r="H432" s="5" t="s">
        <v>21</v>
      </c>
      <c r="I432" s="5" t="s">
        <v>1213</v>
      </c>
      <c r="J432" s="12" t="str">
        <f>HYPERLINK("https://www.boe.es/gazeta/dias/1802/04/02/pdfs/GMD-1802-27.pdf#page=13","Abrir facsímil")</f>
        <v>Abrir facsímil</v>
      </c>
      <c r="K432" s="15" t="s">
        <v>23</v>
      </c>
    </row>
    <row r="433" spans="1:11" ht="42" customHeight="1">
      <c r="A433" s="4" t="s">
        <v>1214</v>
      </c>
      <c r="B433" s="5" t="s">
        <v>1215</v>
      </c>
      <c r="C433" s="5" t="s">
        <v>29</v>
      </c>
      <c r="D433" s="5" t="s">
        <v>30</v>
      </c>
      <c r="E433" s="5" t="s">
        <v>20</v>
      </c>
      <c r="F433" s="9">
        <v>84</v>
      </c>
      <c r="G433" s="9">
        <v>1040</v>
      </c>
      <c r="H433" s="5" t="s">
        <v>21</v>
      </c>
      <c r="I433" s="5" t="s">
        <v>1216</v>
      </c>
      <c r="J433" s="12" t="str">
        <f>HYPERLINK("https://www.boe.es/gazeta/dias/1802/10/15/pdfs/GMD-1802-84.pdf#page=8","Abrir facsímil")</f>
        <v>Abrir facsímil</v>
      </c>
      <c r="K433" s="15" t="s">
        <v>23</v>
      </c>
    </row>
    <row r="434" spans="1:11" ht="42" customHeight="1">
      <c r="A434" s="4" t="s">
        <v>1217</v>
      </c>
      <c r="B434" s="5" t="s">
        <v>1218</v>
      </c>
      <c r="C434" s="5" t="s">
        <v>29</v>
      </c>
      <c r="D434" s="5" t="s">
        <v>30</v>
      </c>
      <c r="E434" s="5" t="s">
        <v>453</v>
      </c>
      <c r="F434" s="9">
        <v>52</v>
      </c>
      <c r="G434" s="9">
        <v>631</v>
      </c>
      <c r="H434" s="5" t="s">
        <v>21</v>
      </c>
      <c r="I434" s="5" t="s">
        <v>1219</v>
      </c>
      <c r="J434" s="12" t="str">
        <f>HYPERLINK("https://www.boe.es/gazeta/dias/1802/06/29/pdfs/GMD-1802-52.pdf#page=7","Abrir facsímil")</f>
        <v>Abrir facsímil</v>
      </c>
      <c r="K434" s="15" t="s">
        <v>23</v>
      </c>
    </row>
    <row r="435" spans="1:11" ht="42" customHeight="1">
      <c r="A435" s="4" t="s">
        <v>1220</v>
      </c>
      <c r="B435" s="5" t="s">
        <v>1221</v>
      </c>
      <c r="C435" s="5" t="s">
        <v>18</v>
      </c>
      <c r="D435" s="5" t="s">
        <v>19</v>
      </c>
      <c r="E435" s="5" t="s">
        <v>49</v>
      </c>
      <c r="F435" s="9">
        <v>83</v>
      </c>
      <c r="G435" s="9">
        <v>1024</v>
      </c>
      <c r="H435" s="5" t="s">
        <v>21</v>
      </c>
      <c r="I435" s="5" t="s">
        <v>1222</v>
      </c>
      <c r="J435" s="12" t="str">
        <f>HYPERLINK("https://www.boe.es/gazeta/dias/1802/10/12/pdfs/GMD-1802-83.pdf#page=12","Abrir facsímil")</f>
        <v>Abrir facsímil</v>
      </c>
      <c r="K435" s="15" t="s">
        <v>23</v>
      </c>
    </row>
    <row r="436" spans="1:11" ht="42" customHeight="1">
      <c r="A436" s="4" t="s">
        <v>1223</v>
      </c>
      <c r="B436" s="5" t="s">
        <v>1224</v>
      </c>
      <c r="C436" s="5" t="s">
        <v>18</v>
      </c>
      <c r="D436" s="5" t="s">
        <v>19</v>
      </c>
      <c r="E436" s="5" t="s">
        <v>49</v>
      </c>
      <c r="F436" s="9">
        <v>83</v>
      </c>
      <c r="G436" s="9">
        <v>1024</v>
      </c>
      <c r="H436" s="5" t="s">
        <v>21</v>
      </c>
      <c r="I436" s="5" t="s">
        <v>1225</v>
      </c>
      <c r="J436" s="12" t="str">
        <f>HYPERLINK("https://www.boe.es/gazeta/dias/1802/10/12/pdfs/GMD-1802-83.pdf#page=12","Abrir facsímil")</f>
        <v>Abrir facsímil</v>
      </c>
      <c r="K436" s="15" t="s">
        <v>23</v>
      </c>
    </row>
    <row r="437" spans="1:11" ht="42" customHeight="1">
      <c r="A437" s="4" t="s">
        <v>1226</v>
      </c>
      <c r="B437" s="5" t="s">
        <v>1227</v>
      </c>
      <c r="C437" s="5" t="s">
        <v>29</v>
      </c>
      <c r="D437" s="5" t="s">
        <v>30</v>
      </c>
      <c r="E437" s="5" t="s">
        <v>299</v>
      </c>
      <c r="F437" s="9">
        <v>19</v>
      </c>
      <c r="G437" s="9">
        <v>209</v>
      </c>
      <c r="H437" s="5" t="s">
        <v>21</v>
      </c>
      <c r="I437" s="5" t="s">
        <v>1228</v>
      </c>
      <c r="J437" s="12" t="str">
        <f>HYPERLINK("https://www.boe.es/gazeta/dias/1802/03/05/pdfs/GMD-1802-19.pdf#page=9","Abrir facsímil")</f>
        <v>Abrir facsímil</v>
      </c>
      <c r="K437" s="15" t="s">
        <v>23</v>
      </c>
    </row>
    <row r="438" spans="1:11" ht="42" customHeight="1">
      <c r="A438" s="4" t="s">
        <v>1229</v>
      </c>
      <c r="B438" s="5" t="s">
        <v>1230</v>
      </c>
      <c r="C438" s="5" t="s">
        <v>18</v>
      </c>
      <c r="D438" s="5" t="s">
        <v>19</v>
      </c>
      <c r="E438" s="5" t="s">
        <v>206</v>
      </c>
      <c r="F438" s="9">
        <v>22</v>
      </c>
      <c r="G438" s="9">
        <v>243</v>
      </c>
      <c r="H438" s="5" t="s">
        <v>21</v>
      </c>
      <c r="I438" s="5" t="s">
        <v>1231</v>
      </c>
      <c r="J438" s="12" t="str">
        <f>HYPERLINK("https://www.boe.es/gazeta/dias/1802/03/16/pdfs/GMD-1802-22.pdf#page=11","Abrir facsímil")</f>
        <v>Abrir facsímil</v>
      </c>
      <c r="K438" s="15" t="s">
        <v>23</v>
      </c>
    </row>
    <row r="439" spans="1:11" ht="42" customHeight="1">
      <c r="A439" s="4" t="s">
        <v>1232</v>
      </c>
      <c r="B439" s="5" t="s">
        <v>1233</v>
      </c>
      <c r="C439" s="5" t="s">
        <v>18</v>
      </c>
      <c r="D439" s="5" t="s">
        <v>19</v>
      </c>
      <c r="E439" s="5" t="s">
        <v>20</v>
      </c>
      <c r="F439" s="9">
        <v>84</v>
      </c>
      <c r="G439" s="9">
        <v>1039</v>
      </c>
      <c r="H439" s="5" t="s">
        <v>21</v>
      </c>
      <c r="I439" s="5" t="s">
        <v>1234</v>
      </c>
      <c r="J439" s="12" t="str">
        <f>HYPERLINK("https://www.boe.es/gazeta/dias/1802/10/15/pdfs/GMD-1802-84.pdf#page=7","Abrir facsímil")</f>
        <v>Abrir facsímil</v>
      </c>
      <c r="K439" s="15" t="s">
        <v>23</v>
      </c>
    </row>
    <row r="440" spans="1:11" ht="42" customHeight="1">
      <c r="A440" s="4" t="s">
        <v>1235</v>
      </c>
      <c r="B440" s="5" t="s">
        <v>1236</v>
      </c>
      <c r="C440" s="5" t="s">
        <v>29</v>
      </c>
      <c r="D440" s="5" t="s">
        <v>30</v>
      </c>
      <c r="E440" s="5" t="s">
        <v>109</v>
      </c>
      <c r="F440" s="9">
        <v>10</v>
      </c>
      <c r="G440" s="9">
        <v>98</v>
      </c>
      <c r="H440" s="5" t="s">
        <v>21</v>
      </c>
      <c r="I440" s="5" t="s">
        <v>1237</v>
      </c>
      <c r="J440" s="12" t="str">
        <f>HYPERLINK("https://www.boe.es/gazeta/dias/1802/02/02/pdfs/GMD-1802-10.pdf#page=6","Abrir facsímil")</f>
        <v>Abrir facsímil</v>
      </c>
      <c r="K440" s="15" t="s">
        <v>23</v>
      </c>
    </row>
    <row r="441" spans="1:11" ht="42" customHeight="1">
      <c r="A441" s="4" t="s">
        <v>1238</v>
      </c>
      <c r="B441" s="5" t="s">
        <v>1239</v>
      </c>
      <c r="C441" s="5" t="s">
        <v>29</v>
      </c>
      <c r="D441" s="5" t="s">
        <v>30</v>
      </c>
      <c r="E441" s="5" t="s">
        <v>152</v>
      </c>
      <c r="F441" s="9">
        <v>25</v>
      </c>
      <c r="G441" s="9">
        <v>286</v>
      </c>
      <c r="H441" s="5" t="s">
        <v>21</v>
      </c>
      <c r="I441" s="5" t="s">
        <v>1240</v>
      </c>
      <c r="J441" s="12" t="str">
        <f>HYPERLINK("https://www.boe.es/gazeta/dias/1802/03/26/pdfs/GMD-1802-25.pdf#page=10","Abrir facsímil")</f>
        <v>Abrir facsímil</v>
      </c>
      <c r="K441" s="15" t="s">
        <v>23</v>
      </c>
    </row>
    <row r="442" spans="1:11" ht="42" customHeight="1">
      <c r="A442" s="4" t="s">
        <v>1241</v>
      </c>
      <c r="B442" s="5" t="s">
        <v>1242</v>
      </c>
      <c r="C442" s="5" t="s">
        <v>18</v>
      </c>
      <c r="D442" s="5" t="s">
        <v>19</v>
      </c>
      <c r="E442" s="5" t="s">
        <v>31</v>
      </c>
      <c r="F442" s="9">
        <v>27</v>
      </c>
      <c r="G442" s="9">
        <v>318</v>
      </c>
      <c r="H442" s="5" t="s">
        <v>21</v>
      </c>
      <c r="I442" s="5" t="s">
        <v>1243</v>
      </c>
      <c r="J442" s="12" t="str">
        <f>HYPERLINK("https://www.boe.es/gazeta/dias/1802/04/02/pdfs/GMD-1802-27.pdf#page=14","Abrir facsímil")</f>
        <v>Abrir facsímil</v>
      </c>
      <c r="K442" s="15" t="s">
        <v>23</v>
      </c>
    </row>
    <row r="443" spans="1:11" ht="42" customHeight="1">
      <c r="A443" s="4" t="s">
        <v>1244</v>
      </c>
      <c r="B443" s="5" t="s">
        <v>1244</v>
      </c>
      <c r="C443" s="5" t="s">
        <v>29</v>
      </c>
      <c r="D443" s="5" t="s">
        <v>30</v>
      </c>
      <c r="E443" s="5" t="s">
        <v>439</v>
      </c>
      <c r="F443" s="9">
        <v>76</v>
      </c>
      <c r="G443" s="9">
        <v>931</v>
      </c>
      <c r="H443" s="5" t="s">
        <v>21</v>
      </c>
      <c r="I443" s="5" t="s">
        <v>1245</v>
      </c>
      <c r="J443" s="12" t="str">
        <f>HYPERLINK("https://www.boe.es/gazeta/dias/1802/09/17/pdfs/GMD-1802-76.pdf#page=3","Abrir facsímil")</f>
        <v>Abrir facsímil</v>
      </c>
      <c r="K443" s="15" t="s">
        <v>23</v>
      </c>
    </row>
    <row r="444" spans="1:11" ht="42" customHeight="1">
      <c r="A444" s="4" t="s">
        <v>1246</v>
      </c>
      <c r="B444" s="5" t="s">
        <v>1246</v>
      </c>
      <c r="C444" s="5" t="s">
        <v>35</v>
      </c>
      <c r="D444" s="5" t="s">
        <v>36</v>
      </c>
      <c r="E444" s="5" t="s">
        <v>247</v>
      </c>
      <c r="F444" s="9">
        <v>14</v>
      </c>
      <c r="G444" s="9">
        <v>139</v>
      </c>
      <c r="H444" s="5" t="s">
        <v>21</v>
      </c>
      <c r="I444" s="5" t="s">
        <v>1247</v>
      </c>
      <c r="J444" s="12" t="str">
        <f>HYPERLINK("https://www.boe.es/gazeta/dias/1802/02/16/pdfs/GMD-1802-14.pdf#page=3","Abrir facsímil")</f>
        <v>Abrir facsímil</v>
      </c>
      <c r="K444" s="15" t="s">
        <v>23</v>
      </c>
    </row>
    <row r="445" spans="1:11" ht="42" customHeight="1">
      <c r="A445" s="4" t="s">
        <v>1246</v>
      </c>
      <c r="B445" s="5" t="s">
        <v>1246</v>
      </c>
      <c r="C445" s="5" t="s">
        <v>18</v>
      </c>
      <c r="D445" s="5" t="s">
        <v>19</v>
      </c>
      <c r="E445" s="5" t="s">
        <v>25</v>
      </c>
      <c r="F445" s="9">
        <v>44</v>
      </c>
      <c r="G445" s="9">
        <v>527</v>
      </c>
      <c r="H445" s="5" t="s">
        <v>21</v>
      </c>
      <c r="I445" s="5" t="s">
        <v>1248</v>
      </c>
      <c r="J445" s="12" t="str">
        <f>HYPERLINK("https://www.boe.es/gazeta/dias/1802/06/01/pdfs/GMD-1802-44.pdf#page=3","Abrir facsímil")</f>
        <v>Abrir facsímil</v>
      </c>
      <c r="K445" s="15" t="s">
        <v>23</v>
      </c>
    </row>
    <row r="446" spans="1:11" ht="42" customHeight="1">
      <c r="A446" s="4" t="s">
        <v>1246</v>
      </c>
      <c r="B446" s="5" t="s">
        <v>1246</v>
      </c>
      <c r="C446" s="5" t="s">
        <v>35</v>
      </c>
      <c r="D446" s="5" t="s">
        <v>36</v>
      </c>
      <c r="E446" s="5" t="s">
        <v>714</v>
      </c>
      <c r="F446" s="9">
        <v>89</v>
      </c>
      <c r="G446" s="9">
        <v>1099</v>
      </c>
      <c r="H446" s="5" t="s">
        <v>21</v>
      </c>
      <c r="I446" s="5" t="s">
        <v>1249</v>
      </c>
      <c r="J446" s="12" t="str">
        <f>HYPERLINK("https://www.boe.es/gazeta/dias/1802/11/02/pdfs/GMD-1802-89.pdf#page=3","Abrir facsímil")</f>
        <v>Abrir facsímil</v>
      </c>
      <c r="K446" s="15" t="s">
        <v>23</v>
      </c>
    </row>
    <row r="447" spans="1:11" ht="42" customHeight="1">
      <c r="A447" s="4" t="s">
        <v>1250</v>
      </c>
      <c r="B447" s="5" t="s">
        <v>1251</v>
      </c>
      <c r="C447" s="5" t="s">
        <v>29</v>
      </c>
      <c r="D447" s="5" t="s">
        <v>30</v>
      </c>
      <c r="E447" s="5" t="s">
        <v>49</v>
      </c>
      <c r="F447" s="9">
        <v>83</v>
      </c>
      <c r="G447" s="9">
        <v>1020</v>
      </c>
      <c r="H447" s="5" t="s">
        <v>21</v>
      </c>
      <c r="I447" s="5" t="s">
        <v>1252</v>
      </c>
      <c r="J447" s="12" t="str">
        <f>HYPERLINK("https://www.boe.es/gazeta/dias/1802/10/12/pdfs/GMD-1802-83.pdf#page=8","Abrir facsímil")</f>
        <v>Abrir facsímil</v>
      </c>
      <c r="K447" s="15" t="s">
        <v>23</v>
      </c>
    </row>
    <row r="448" spans="1:11" ht="42" customHeight="1">
      <c r="A448" s="4" t="s">
        <v>1253</v>
      </c>
      <c r="B448" s="5" t="s">
        <v>1254</v>
      </c>
      <c r="C448" s="5" t="s">
        <v>35</v>
      </c>
      <c r="D448" s="5" t="s">
        <v>36</v>
      </c>
      <c r="E448" s="5" t="s">
        <v>325</v>
      </c>
      <c r="F448" s="9">
        <v>90</v>
      </c>
      <c r="G448" s="9">
        <v>1114</v>
      </c>
      <c r="H448" s="5" t="s">
        <v>21</v>
      </c>
      <c r="I448" s="5" t="s">
        <v>1255</v>
      </c>
      <c r="J448" s="12" t="str">
        <f>HYPERLINK("https://www.boe.es/gazeta/dias/1802/11/05/pdfs/GMD-1802-90.pdf#page=6","Abrir facsímil")</f>
        <v>Abrir facsímil</v>
      </c>
      <c r="K448" s="15" t="s">
        <v>23</v>
      </c>
    </row>
    <row r="449" spans="1:11" ht="42" customHeight="1">
      <c r="A449" s="4" t="s">
        <v>1253</v>
      </c>
      <c r="B449" s="5" t="s">
        <v>1254</v>
      </c>
      <c r="C449" s="5" t="s">
        <v>35</v>
      </c>
      <c r="D449" s="5" t="s">
        <v>36</v>
      </c>
      <c r="E449" s="5" t="s">
        <v>1185</v>
      </c>
      <c r="F449" s="9">
        <v>93</v>
      </c>
      <c r="G449" s="9">
        <v>1145</v>
      </c>
      <c r="H449" s="5" t="s">
        <v>21</v>
      </c>
      <c r="I449" s="5" t="s">
        <v>1256</v>
      </c>
      <c r="J449" s="12" t="str">
        <f>HYPERLINK("https://www.boe.es/gazeta/dias/1802/11/16/pdfs/GMD-1802-93.pdf#page=5","Abrir facsímil")</f>
        <v>Abrir facsímil</v>
      </c>
      <c r="K449" s="15" t="s">
        <v>23</v>
      </c>
    </row>
    <row r="450" spans="1:11" ht="42" customHeight="1">
      <c r="A450" s="4" t="s">
        <v>1257</v>
      </c>
      <c r="B450" s="5" t="s">
        <v>1258</v>
      </c>
      <c r="C450" s="5" t="s">
        <v>35</v>
      </c>
      <c r="D450" s="5" t="s">
        <v>36</v>
      </c>
      <c r="E450" s="5" t="s">
        <v>823</v>
      </c>
      <c r="F450" s="9">
        <v>94</v>
      </c>
      <c r="G450" s="9">
        <v>1157</v>
      </c>
      <c r="H450" s="5" t="s">
        <v>21</v>
      </c>
      <c r="I450" s="5" t="s">
        <v>1259</v>
      </c>
      <c r="J450" s="12" t="str">
        <f>HYPERLINK("https://www.boe.es/gazeta/dias/1802/11/19/pdfs/GMD-1802-94.pdf#page=5","Abrir facsímil")</f>
        <v>Abrir facsímil</v>
      </c>
      <c r="K450" s="15" t="s">
        <v>23</v>
      </c>
    </row>
    <row r="451" spans="1:11" ht="42" customHeight="1">
      <c r="A451" s="4" t="s">
        <v>1257</v>
      </c>
      <c r="B451" s="5" t="s">
        <v>1258</v>
      </c>
      <c r="C451" s="5" t="s">
        <v>35</v>
      </c>
      <c r="D451" s="5" t="s">
        <v>36</v>
      </c>
      <c r="E451" s="5" t="s">
        <v>389</v>
      </c>
      <c r="F451" s="9">
        <v>96</v>
      </c>
      <c r="G451" s="9">
        <v>1186</v>
      </c>
      <c r="H451" s="5" t="s">
        <v>21</v>
      </c>
      <c r="I451" s="5" t="s">
        <v>1260</v>
      </c>
      <c r="J451" s="12" t="str">
        <f>HYPERLINK("https://www.boe.es/gazeta/dias/1802/11/26/pdfs/GMD-1802-96.pdf#page=6","Abrir facsímil")</f>
        <v>Abrir facsímil</v>
      </c>
      <c r="K451" s="15" t="s">
        <v>23</v>
      </c>
    </row>
    <row r="452" spans="1:11" ht="42" customHeight="1">
      <c r="A452" s="4" t="s">
        <v>1257</v>
      </c>
      <c r="B452" s="5" t="s">
        <v>1258</v>
      </c>
      <c r="C452" s="5" t="s">
        <v>18</v>
      </c>
      <c r="D452" s="5" t="s">
        <v>19</v>
      </c>
      <c r="E452" s="5" t="s">
        <v>44</v>
      </c>
      <c r="F452" s="9">
        <v>99</v>
      </c>
      <c r="G452" s="9">
        <v>1220</v>
      </c>
      <c r="H452" s="5" t="s">
        <v>21</v>
      </c>
      <c r="I452" s="5" t="s">
        <v>1261</v>
      </c>
      <c r="J452" s="12" t="str">
        <f>HYPERLINK("https://www.boe.es/gazeta/dias/1802/12/07/pdfs/GMD-1802-99.pdf#page=4","Abrir facsímil")</f>
        <v>Abrir facsímil</v>
      </c>
      <c r="K452" s="15" t="s">
        <v>23</v>
      </c>
    </row>
    <row r="453" spans="1:11" ht="42" customHeight="1">
      <c r="A453" s="4" t="s">
        <v>1262</v>
      </c>
      <c r="B453" s="5" t="s">
        <v>1263</v>
      </c>
      <c r="C453" s="5" t="s">
        <v>29</v>
      </c>
      <c r="D453" s="5" t="s">
        <v>30</v>
      </c>
      <c r="E453" s="5" t="s">
        <v>1264</v>
      </c>
      <c r="F453" s="9">
        <v>105</v>
      </c>
      <c r="G453" s="9">
        <v>1286</v>
      </c>
      <c r="H453" s="5" t="s">
        <v>21</v>
      </c>
      <c r="I453" s="5" t="s">
        <v>1265</v>
      </c>
      <c r="J453" s="12" t="str">
        <f>HYPERLINK("https://www.boe.es/gazeta/dias/1802/12/28/pdfs/GMD-1802-105.pdf#page=10","Abrir facsímil")</f>
        <v>Abrir facsímil</v>
      </c>
      <c r="K453" s="15" t="s">
        <v>23</v>
      </c>
    </row>
    <row r="454" spans="1:11" ht="42" customHeight="1">
      <c r="A454" s="4" t="s">
        <v>1266</v>
      </c>
      <c r="B454" s="5" t="s">
        <v>1267</v>
      </c>
      <c r="C454" s="5" t="s">
        <v>18</v>
      </c>
      <c r="D454" s="5" t="s">
        <v>19</v>
      </c>
      <c r="E454" s="5" t="s">
        <v>20</v>
      </c>
      <c r="F454" s="9">
        <v>84</v>
      </c>
      <c r="G454" s="9">
        <v>1043</v>
      </c>
      <c r="H454" s="5" t="s">
        <v>21</v>
      </c>
      <c r="I454" s="5" t="s">
        <v>1268</v>
      </c>
      <c r="J454" s="12" t="str">
        <f>HYPERLINK("https://www.boe.es/gazeta/dias/1802/10/15/pdfs/GMD-1802-84.pdf#page=11","Abrir facsímil")</f>
        <v>Abrir facsímil</v>
      </c>
      <c r="K454" s="15" t="s">
        <v>23</v>
      </c>
    </row>
    <row r="455" spans="1:11" ht="42" customHeight="1">
      <c r="A455" s="4" t="s">
        <v>1269</v>
      </c>
      <c r="B455" s="5" t="s">
        <v>1270</v>
      </c>
      <c r="C455" s="5" t="s">
        <v>42</v>
      </c>
      <c r="D455" s="5" t="s">
        <v>43</v>
      </c>
      <c r="E455" s="5" t="s">
        <v>44</v>
      </c>
      <c r="F455" s="9">
        <v>99</v>
      </c>
      <c r="G455" s="9" t="s">
        <v>78</v>
      </c>
      <c r="H455" s="5" t="s">
        <v>21</v>
      </c>
      <c r="I455" s="5" t="s">
        <v>1271</v>
      </c>
      <c r="J455" s="12" t="str">
        <f>HYPERLINK("https://www.boe.es/gazeta/dias/1802/12/07/pdfs/GMD-D-1802-99.pdf#page=15","Abrir facsímil")</f>
        <v>Abrir facsímil</v>
      </c>
      <c r="K455" s="15" t="s">
        <v>23</v>
      </c>
    </row>
    <row r="456" spans="1:11" ht="42" customHeight="1">
      <c r="A456" s="4" t="s">
        <v>1272</v>
      </c>
      <c r="B456" s="5" t="s">
        <v>1272</v>
      </c>
      <c r="C456" s="5" t="s">
        <v>160</v>
      </c>
      <c r="D456" s="5" t="s">
        <v>91</v>
      </c>
      <c r="E456" s="5" t="s">
        <v>247</v>
      </c>
      <c r="F456" s="9">
        <v>14</v>
      </c>
      <c r="G456" s="9">
        <v>141</v>
      </c>
      <c r="H456" s="5" t="s">
        <v>21</v>
      </c>
      <c r="I456" s="5" t="s">
        <v>1273</v>
      </c>
      <c r="J456" s="12" t="str">
        <f>HYPERLINK("https://www.boe.es/gazeta/dias/1802/02/16/pdfs/GMD-1802-14.pdf#page=5","Abrir facsímil")</f>
        <v>Abrir facsímil</v>
      </c>
      <c r="K456" s="15" t="s">
        <v>23</v>
      </c>
    </row>
    <row r="457" spans="1:11" ht="42" customHeight="1">
      <c r="A457" s="4" t="s">
        <v>1274</v>
      </c>
      <c r="B457" s="5" t="s">
        <v>1275</v>
      </c>
      <c r="C457" s="5" t="s">
        <v>90</v>
      </c>
      <c r="D457" s="5" t="s">
        <v>91</v>
      </c>
      <c r="E457" s="5" t="s">
        <v>311</v>
      </c>
      <c r="F457" s="9">
        <v>88</v>
      </c>
      <c r="G457" s="9">
        <v>1093</v>
      </c>
      <c r="H457" s="5" t="s">
        <v>21</v>
      </c>
      <c r="I457" s="5" t="s">
        <v>1276</v>
      </c>
      <c r="J457" s="12" t="str">
        <f>HYPERLINK("https://www.boe.es/gazeta/dias/1802/10/29/pdfs/GMD-1802-88.pdf#page=9","Abrir facsímil")</f>
        <v>Abrir facsímil</v>
      </c>
      <c r="K457" s="15" t="s">
        <v>23</v>
      </c>
    </row>
    <row r="458" spans="1:11" ht="42" customHeight="1">
      <c r="A458" s="4" t="s">
        <v>1277</v>
      </c>
      <c r="B458" s="5" t="s">
        <v>1278</v>
      </c>
      <c r="C458" s="5" t="s">
        <v>29</v>
      </c>
      <c r="D458" s="5" t="s">
        <v>30</v>
      </c>
      <c r="E458" s="5" t="s">
        <v>311</v>
      </c>
      <c r="F458" s="9">
        <v>88</v>
      </c>
      <c r="G458" s="9">
        <v>1093</v>
      </c>
      <c r="H458" s="5" t="s">
        <v>21</v>
      </c>
      <c r="I458" s="5" t="s">
        <v>1279</v>
      </c>
      <c r="J458" s="12" t="str">
        <f>HYPERLINK("https://www.boe.es/gazeta/dias/1802/10/29/pdfs/GMD-1802-88.pdf#page=9","Abrir facsímil")</f>
        <v>Abrir facsímil</v>
      </c>
      <c r="K458" s="15" t="s">
        <v>23</v>
      </c>
    </row>
    <row r="459" spans="1:11" ht="42" customHeight="1">
      <c r="A459" s="4" t="s">
        <v>1280</v>
      </c>
      <c r="B459" s="5" t="s">
        <v>1281</v>
      </c>
      <c r="C459" s="5" t="s">
        <v>35</v>
      </c>
      <c r="D459" s="5" t="s">
        <v>36</v>
      </c>
      <c r="E459" s="5" t="s">
        <v>60</v>
      </c>
      <c r="F459" s="9">
        <v>5</v>
      </c>
      <c r="G459" s="9">
        <v>49</v>
      </c>
      <c r="H459" s="5" t="s">
        <v>21</v>
      </c>
      <c r="I459" s="5" t="s">
        <v>1282</v>
      </c>
      <c r="J459" s="12" t="str">
        <f>HYPERLINK("https://www.boe.es/gazeta/dias/1802/01/15/pdfs/GMD-1802-5.pdf#page=5","Abrir facsímil")</f>
        <v>Abrir facsímil</v>
      </c>
      <c r="K459" s="15" t="s">
        <v>23</v>
      </c>
    </row>
    <row r="460" spans="1:11" ht="42" customHeight="1">
      <c r="A460" s="4" t="s">
        <v>1283</v>
      </c>
      <c r="B460" s="5" t="s">
        <v>1284</v>
      </c>
      <c r="C460" s="5" t="s">
        <v>18</v>
      </c>
      <c r="D460" s="5" t="s">
        <v>19</v>
      </c>
      <c r="E460" s="5" t="s">
        <v>1097</v>
      </c>
      <c r="F460" s="9">
        <v>20</v>
      </c>
      <c r="G460" s="9">
        <v>216</v>
      </c>
      <c r="H460" s="5" t="s">
        <v>21</v>
      </c>
      <c r="I460" s="5" t="s">
        <v>1285</v>
      </c>
      <c r="J460" s="12" t="str">
        <f>HYPERLINK("https://www.boe.es/gazeta/dias/1802/03/09/pdfs/GMD-1802-20.pdf#page=4","Abrir facsímil")</f>
        <v>Abrir facsímil</v>
      </c>
      <c r="K460" s="15" t="s">
        <v>23</v>
      </c>
    </row>
    <row r="461" spans="1:11" ht="42" customHeight="1">
      <c r="A461" s="4" t="s">
        <v>1283</v>
      </c>
      <c r="B461" s="5" t="s">
        <v>1284</v>
      </c>
      <c r="C461" s="5" t="s">
        <v>35</v>
      </c>
      <c r="D461" s="5" t="s">
        <v>36</v>
      </c>
      <c r="E461" s="5" t="s">
        <v>332</v>
      </c>
      <c r="F461" s="9">
        <v>24</v>
      </c>
      <c r="G461" s="9">
        <v>269</v>
      </c>
      <c r="H461" s="5" t="s">
        <v>21</v>
      </c>
      <c r="I461" s="5" t="s">
        <v>1286</v>
      </c>
      <c r="J461" s="12" t="str">
        <f>HYPERLINK("https://www.boe.es/gazeta/dias/1802/03/23/pdfs/GMD-1802-24.pdf#page=5","Abrir facsímil")</f>
        <v>Abrir facsímil</v>
      </c>
      <c r="K461" s="15" t="s">
        <v>23</v>
      </c>
    </row>
    <row r="462" spans="1:11" ht="42" customHeight="1">
      <c r="A462" s="4" t="s">
        <v>1287</v>
      </c>
      <c r="B462" s="5" t="s">
        <v>1288</v>
      </c>
      <c r="C462" s="5" t="s">
        <v>35</v>
      </c>
      <c r="D462" s="5" t="s">
        <v>36</v>
      </c>
      <c r="E462" s="5" t="s">
        <v>1289</v>
      </c>
      <c r="F462" s="9">
        <v>72</v>
      </c>
      <c r="G462" s="9">
        <v>884</v>
      </c>
      <c r="H462" s="5" t="s">
        <v>21</v>
      </c>
      <c r="I462" s="5" t="s">
        <v>1290</v>
      </c>
      <c r="J462" s="12" t="str">
        <f>HYPERLINK("https://www.boe.es/gazeta/dias/1802/09/03/pdfs/GMD-1802-72.pdf#page=4","Abrir facsímil")</f>
        <v>Abrir facsímil</v>
      </c>
      <c r="K462" s="15" t="s">
        <v>23</v>
      </c>
    </row>
    <row r="463" spans="1:11" ht="42" customHeight="1">
      <c r="A463" s="4" t="s">
        <v>1283</v>
      </c>
      <c r="B463" s="5" t="s">
        <v>1284</v>
      </c>
      <c r="C463" s="5" t="s">
        <v>29</v>
      </c>
      <c r="D463" s="5" t="s">
        <v>30</v>
      </c>
      <c r="E463" s="5" t="s">
        <v>44</v>
      </c>
      <c r="F463" s="9">
        <v>99</v>
      </c>
      <c r="G463" s="9">
        <v>1219</v>
      </c>
      <c r="H463" s="5" t="s">
        <v>21</v>
      </c>
      <c r="I463" s="5" t="s">
        <v>1291</v>
      </c>
      <c r="J463" s="12" t="str">
        <f>HYPERLINK("https://www.boe.es/gazeta/dias/1802/12/07/pdfs/GMD-1802-99.pdf#page=3","Abrir facsímil")</f>
        <v>Abrir facsímil</v>
      </c>
      <c r="K463" s="15" t="s">
        <v>23</v>
      </c>
    </row>
    <row r="464" spans="1:11" ht="42" customHeight="1">
      <c r="A464" s="4" t="s">
        <v>1283</v>
      </c>
      <c r="B464" s="5" t="s">
        <v>1284</v>
      </c>
      <c r="C464" s="5" t="s">
        <v>35</v>
      </c>
      <c r="D464" s="5" t="s">
        <v>36</v>
      </c>
      <c r="E464" s="5" t="s">
        <v>757</v>
      </c>
      <c r="F464" s="9">
        <v>104</v>
      </c>
      <c r="G464" s="9">
        <v>1267</v>
      </c>
      <c r="H464" s="5" t="s">
        <v>21</v>
      </c>
      <c r="I464" s="5" t="s">
        <v>1292</v>
      </c>
      <c r="J464" s="12" t="str">
        <f>HYPERLINK("https://www.boe.es/gazeta/dias/1802/12/24/pdfs/GMD-1802-104.pdf#page=3","Abrir facsímil")</f>
        <v>Abrir facsímil</v>
      </c>
      <c r="K464" s="15" t="s">
        <v>23</v>
      </c>
    </row>
    <row r="465" spans="1:11" ht="42" customHeight="1">
      <c r="A465" s="4" t="s">
        <v>1293</v>
      </c>
      <c r="B465" s="5" t="s">
        <v>1294</v>
      </c>
      <c r="C465" s="5" t="s">
        <v>29</v>
      </c>
      <c r="D465" s="5" t="s">
        <v>30</v>
      </c>
      <c r="E465" s="5" t="s">
        <v>109</v>
      </c>
      <c r="F465" s="9">
        <v>10</v>
      </c>
      <c r="G465" s="9">
        <v>99</v>
      </c>
      <c r="H465" s="5" t="s">
        <v>21</v>
      </c>
      <c r="I465" s="5" t="s">
        <v>1295</v>
      </c>
      <c r="J465" s="12" t="str">
        <f>HYPERLINK("https://www.boe.es/gazeta/dias/1802/02/02/pdfs/GMD-1802-10.pdf#page=7","Abrir facsímil")</f>
        <v>Abrir facsímil</v>
      </c>
      <c r="K465" s="15" t="s">
        <v>23</v>
      </c>
    </row>
    <row r="466" spans="1:11" ht="42" customHeight="1">
      <c r="A466" s="4" t="s">
        <v>1296</v>
      </c>
      <c r="B466" s="5" t="s">
        <v>1297</v>
      </c>
      <c r="C466" s="5" t="s">
        <v>55</v>
      </c>
      <c r="D466" s="5" t="s">
        <v>56</v>
      </c>
      <c r="E466" s="5" t="s">
        <v>167</v>
      </c>
      <c r="F466" s="9">
        <v>23</v>
      </c>
      <c r="G466" s="9">
        <v>263</v>
      </c>
      <c r="H466" s="5" t="s">
        <v>21</v>
      </c>
      <c r="I466" s="5" t="s">
        <v>1298</v>
      </c>
      <c r="J466" s="12" t="str">
        <f>HYPERLINK("https://www.boe.es/gazeta/dias/1802/03/19/pdfs/GMD-1802-23.pdf#page=11","Abrir facsímil")</f>
        <v>Abrir facsímil</v>
      </c>
      <c r="K466" s="15" t="s">
        <v>23</v>
      </c>
    </row>
    <row r="467" spans="1:11" ht="42" customHeight="1">
      <c r="A467" s="4" t="s">
        <v>1299</v>
      </c>
      <c r="B467" s="5" t="s">
        <v>1300</v>
      </c>
      <c r="C467" s="5" t="s">
        <v>29</v>
      </c>
      <c r="D467" s="5" t="s">
        <v>30</v>
      </c>
      <c r="E467" s="5" t="s">
        <v>258</v>
      </c>
      <c r="F467" s="9">
        <v>63</v>
      </c>
      <c r="G467" s="9">
        <v>765</v>
      </c>
      <c r="H467" s="5" t="s">
        <v>21</v>
      </c>
      <c r="I467" s="5" t="s">
        <v>1301</v>
      </c>
      <c r="J467" s="12" t="str">
        <f>HYPERLINK("https://www.boe.es/gazeta/dias/1802/08/03/pdfs/GMD-1802-63.pdf#page=5","Abrir facsímil")</f>
        <v>Abrir facsímil</v>
      </c>
      <c r="K467" s="15" t="s">
        <v>23</v>
      </c>
    </row>
    <row r="468" spans="1:11" ht="42" customHeight="1">
      <c r="A468" s="4" t="s">
        <v>1302</v>
      </c>
      <c r="B468" s="5" t="s">
        <v>1303</v>
      </c>
      <c r="C468" s="5" t="s">
        <v>90</v>
      </c>
      <c r="D468" s="5" t="s">
        <v>91</v>
      </c>
      <c r="E468" s="5" t="s">
        <v>128</v>
      </c>
      <c r="F468" s="9">
        <v>9</v>
      </c>
      <c r="G468" s="9">
        <v>89</v>
      </c>
      <c r="H468" s="5" t="s">
        <v>21</v>
      </c>
      <c r="I468" s="5" t="s">
        <v>1304</v>
      </c>
      <c r="J468" s="12" t="str">
        <f>HYPERLINK("https://www.boe.es/gazeta/dias/1802/01/29/pdfs/GMD-1802-9.pdf#page=9","Abrir facsímil")</f>
        <v>Abrir facsímil</v>
      </c>
      <c r="K468" s="15" t="s">
        <v>23</v>
      </c>
    </row>
    <row r="469" spans="1:11" ht="42" customHeight="1">
      <c r="A469" s="4" t="s">
        <v>1305</v>
      </c>
      <c r="B469" s="5" t="s">
        <v>1306</v>
      </c>
      <c r="C469" s="5" t="s">
        <v>42</v>
      </c>
      <c r="D469" s="5" t="s">
        <v>43</v>
      </c>
      <c r="E469" s="5" t="s">
        <v>44</v>
      </c>
      <c r="F469" s="9">
        <v>99</v>
      </c>
      <c r="G469" s="9" t="s">
        <v>262</v>
      </c>
      <c r="H469" s="5" t="s">
        <v>21</v>
      </c>
      <c r="I469" s="5" t="s">
        <v>1307</v>
      </c>
      <c r="J469" s="12" t="str">
        <f>HYPERLINK("https://www.boe.es/gazeta/dias/1802/12/07/pdfs/GMD-D-1802-99.pdf#page=8","Abrir facsímil")</f>
        <v>Abrir facsímil</v>
      </c>
      <c r="K469" s="15" t="s">
        <v>23</v>
      </c>
    </row>
    <row r="470" spans="1:11" ht="42" customHeight="1">
      <c r="A470" s="4" t="s">
        <v>1308</v>
      </c>
      <c r="B470" s="5" t="s">
        <v>1308</v>
      </c>
      <c r="C470" s="5" t="s">
        <v>18</v>
      </c>
      <c r="D470" s="5" t="s">
        <v>19</v>
      </c>
      <c r="E470" s="5" t="s">
        <v>443</v>
      </c>
      <c r="F470" s="9">
        <v>78</v>
      </c>
      <c r="G470" s="9">
        <v>962</v>
      </c>
      <c r="H470" s="5" t="s">
        <v>21</v>
      </c>
      <c r="I470" s="5" t="s">
        <v>1309</v>
      </c>
      <c r="J470" s="12" t="str">
        <f>HYPERLINK("https://www.boe.es/gazeta/dias/1802/09/24/pdfs/GMD-1802-78.pdf#page=10","Abrir facsímil")</f>
        <v>Abrir facsímil</v>
      </c>
      <c r="K470" s="15" t="s">
        <v>23</v>
      </c>
    </row>
    <row r="471" spans="1:11" ht="42" customHeight="1">
      <c r="A471" s="4" t="s">
        <v>1310</v>
      </c>
      <c r="B471" s="5" t="s">
        <v>1311</v>
      </c>
      <c r="C471" s="5" t="s">
        <v>160</v>
      </c>
      <c r="D471" s="5" t="s">
        <v>91</v>
      </c>
      <c r="E471" s="5" t="s">
        <v>192</v>
      </c>
      <c r="F471" s="9">
        <v>53</v>
      </c>
      <c r="G471" s="9">
        <v>641</v>
      </c>
      <c r="H471" s="5" t="s">
        <v>21</v>
      </c>
      <c r="I471" s="5" t="s">
        <v>1312</v>
      </c>
      <c r="J471" s="12" t="str">
        <f>HYPERLINK("https://www.boe.es/gazeta/dias/1802/07/02/pdfs/GMD-1802-53.pdf#page=9","Abrir facsímil")</f>
        <v>Abrir facsímil</v>
      </c>
      <c r="K471" s="15" t="s">
        <v>23</v>
      </c>
    </row>
    <row r="472" spans="1:11" ht="42" customHeight="1">
      <c r="A472" s="4" t="s">
        <v>1313</v>
      </c>
      <c r="B472" s="5" t="s">
        <v>1314</v>
      </c>
      <c r="C472" s="5" t="s">
        <v>18</v>
      </c>
      <c r="D472" s="5" t="s">
        <v>19</v>
      </c>
      <c r="E472" s="5" t="s">
        <v>20</v>
      </c>
      <c r="F472" s="9">
        <v>84</v>
      </c>
      <c r="G472" s="9">
        <v>1046</v>
      </c>
      <c r="H472" s="5" t="s">
        <v>21</v>
      </c>
      <c r="I472" s="5" t="s">
        <v>1315</v>
      </c>
      <c r="J472" s="12" t="str">
        <f>HYPERLINK("https://www.boe.es/gazeta/dias/1802/10/15/pdfs/GMD-1802-84.pdf#page=14","Abrir facsímil")</f>
        <v>Abrir facsímil</v>
      </c>
      <c r="K472" s="15" t="s">
        <v>23</v>
      </c>
    </row>
    <row r="473" spans="1:11" ht="42" customHeight="1">
      <c r="A473" s="4" t="s">
        <v>1316</v>
      </c>
      <c r="B473" s="5" t="s">
        <v>1317</v>
      </c>
      <c r="C473" s="5" t="s">
        <v>18</v>
      </c>
      <c r="D473" s="5" t="s">
        <v>19</v>
      </c>
      <c r="E473" s="5" t="s">
        <v>20</v>
      </c>
      <c r="F473" s="9">
        <v>84</v>
      </c>
      <c r="G473" s="9">
        <v>1041</v>
      </c>
      <c r="H473" s="5" t="s">
        <v>21</v>
      </c>
      <c r="I473" s="5" t="s">
        <v>1318</v>
      </c>
      <c r="J473" s="12" t="str">
        <f>HYPERLINK("https://www.boe.es/gazeta/dias/1802/10/15/pdfs/GMD-1802-84.pdf#page=9","Abrir facsímil")</f>
        <v>Abrir facsímil</v>
      </c>
      <c r="K473" s="15" t="s">
        <v>23</v>
      </c>
    </row>
    <row r="474" spans="1:11" ht="42" customHeight="1">
      <c r="A474" s="4" t="s">
        <v>1319</v>
      </c>
      <c r="B474" s="5" t="s">
        <v>1320</v>
      </c>
      <c r="C474" s="5" t="s">
        <v>29</v>
      </c>
      <c r="D474" s="5" t="s">
        <v>30</v>
      </c>
      <c r="E474" s="5" t="s">
        <v>921</v>
      </c>
      <c r="F474" s="9">
        <v>50</v>
      </c>
      <c r="G474" s="9">
        <v>610</v>
      </c>
      <c r="H474" s="5" t="s">
        <v>21</v>
      </c>
      <c r="I474" s="5" t="s">
        <v>1321</v>
      </c>
      <c r="J474" s="12" t="str">
        <f>HYPERLINK("https://www.boe.es/gazeta/dias/1802/06/22/pdfs/GMD-1802-50.pdf#page=10","Abrir facsímil")</f>
        <v>Abrir facsímil</v>
      </c>
      <c r="K474" s="15" t="s">
        <v>23</v>
      </c>
    </row>
    <row r="475" spans="1:11" ht="42" customHeight="1">
      <c r="A475" s="4" t="s">
        <v>1322</v>
      </c>
      <c r="B475" s="5" t="s">
        <v>1322</v>
      </c>
      <c r="C475" s="5" t="s">
        <v>18</v>
      </c>
      <c r="D475" s="5" t="s">
        <v>19</v>
      </c>
      <c r="E475" s="5" t="s">
        <v>114</v>
      </c>
      <c r="F475" s="9">
        <v>82</v>
      </c>
      <c r="G475" s="9">
        <v>1009</v>
      </c>
      <c r="H475" s="5" t="s">
        <v>21</v>
      </c>
      <c r="I475" s="5" t="s">
        <v>1323</v>
      </c>
      <c r="J475" s="12" t="str">
        <f>HYPERLINK("https://www.boe.es/gazeta/dias/1802/10/08/pdfs/GMD-1802-82.pdf#page=9","Abrir facsímil")</f>
        <v>Abrir facsímil</v>
      </c>
      <c r="K475" s="15" t="s">
        <v>23</v>
      </c>
    </row>
    <row r="476" spans="1:11" ht="42" customHeight="1">
      <c r="A476" s="4" t="s">
        <v>1324</v>
      </c>
      <c r="B476" s="5" t="s">
        <v>1325</v>
      </c>
      <c r="C476" s="5" t="s">
        <v>29</v>
      </c>
      <c r="D476" s="5" t="s">
        <v>30</v>
      </c>
      <c r="E476" s="5" t="s">
        <v>92</v>
      </c>
      <c r="F476" s="9">
        <v>29</v>
      </c>
      <c r="G476" s="9">
        <v>342</v>
      </c>
      <c r="H476" s="5" t="s">
        <v>21</v>
      </c>
      <c r="I476" s="5" t="s">
        <v>1326</v>
      </c>
      <c r="J476" s="12" t="str">
        <f>HYPERLINK("https://www.boe.es/gazeta/dias/1802/04/09/pdfs/GMD-1802-29.pdf#page=10","Abrir facsímil")</f>
        <v>Abrir facsímil</v>
      </c>
      <c r="K476" s="15" t="s">
        <v>23</v>
      </c>
    </row>
    <row r="477" spans="1:11" ht="42" customHeight="1">
      <c r="A477" s="4" t="s">
        <v>1327</v>
      </c>
      <c r="B477" s="5" t="s">
        <v>1327</v>
      </c>
      <c r="C477" s="5" t="s">
        <v>160</v>
      </c>
      <c r="D477" s="5" t="s">
        <v>91</v>
      </c>
      <c r="E477" s="5" t="s">
        <v>604</v>
      </c>
      <c r="F477" s="9">
        <v>100</v>
      </c>
      <c r="G477" s="9">
        <v>1235</v>
      </c>
      <c r="H477" s="5" t="s">
        <v>21</v>
      </c>
      <c r="I477" s="5" t="s">
        <v>1328</v>
      </c>
      <c r="J477" s="12" t="str">
        <f>HYPERLINK("https://www.boe.es/gazeta/dias/1802/12/10/pdfs/GMD-1802-100.pdf#page=7","Abrir facsímil")</f>
        <v>Abrir facsímil</v>
      </c>
      <c r="K477" s="15" t="s">
        <v>23</v>
      </c>
    </row>
    <row r="478" spans="1:11" ht="42" customHeight="1">
      <c r="A478" s="4" t="s">
        <v>1329</v>
      </c>
      <c r="B478" s="5" t="s">
        <v>1329</v>
      </c>
      <c r="C478" s="5" t="s">
        <v>18</v>
      </c>
      <c r="D478" s="5" t="s">
        <v>19</v>
      </c>
      <c r="E478" s="5" t="s">
        <v>49</v>
      </c>
      <c r="F478" s="9">
        <v>83</v>
      </c>
      <c r="G478" s="9">
        <v>1024</v>
      </c>
      <c r="H478" s="5" t="s">
        <v>21</v>
      </c>
      <c r="I478" s="5" t="s">
        <v>1330</v>
      </c>
      <c r="J478" s="12" t="str">
        <f>HYPERLINK("https://www.boe.es/gazeta/dias/1802/10/12/pdfs/GMD-1802-83.pdf#page=12","Abrir facsímil")</f>
        <v>Abrir facsímil</v>
      </c>
      <c r="K478" s="15" t="s">
        <v>23</v>
      </c>
    </row>
    <row r="479" spans="1:11" ht="42" customHeight="1">
      <c r="A479" s="4" t="s">
        <v>1331</v>
      </c>
      <c r="B479" s="5" t="s">
        <v>1331</v>
      </c>
      <c r="C479" s="5" t="s">
        <v>29</v>
      </c>
      <c r="D479" s="5" t="s">
        <v>30</v>
      </c>
      <c r="E479" s="5" t="s">
        <v>1332</v>
      </c>
      <c r="F479" s="9">
        <v>4</v>
      </c>
      <c r="G479" s="9">
        <v>37</v>
      </c>
      <c r="H479" s="5" t="s">
        <v>21</v>
      </c>
      <c r="I479" s="5" t="s">
        <v>1333</v>
      </c>
      <c r="J479" s="12" t="str">
        <f>HYPERLINK("https://www.boe.es/gazeta/dias/1802/01/12/pdfs/GMD-1802-4.pdf#page=9","Abrir facsímil")</f>
        <v>Abrir facsímil</v>
      </c>
      <c r="K479" s="15" t="s">
        <v>23</v>
      </c>
    </row>
    <row r="480" spans="1:11" ht="42" customHeight="1">
      <c r="A480" s="4" t="s">
        <v>1334</v>
      </c>
      <c r="B480" s="5" t="s">
        <v>1334</v>
      </c>
      <c r="C480" s="5" t="s">
        <v>29</v>
      </c>
      <c r="D480" s="5" t="s">
        <v>30</v>
      </c>
      <c r="E480" s="5" t="s">
        <v>670</v>
      </c>
      <c r="F480" s="9">
        <v>40</v>
      </c>
      <c r="G480" s="9">
        <v>481</v>
      </c>
      <c r="H480" s="5" t="s">
        <v>21</v>
      </c>
      <c r="I480" s="5" t="s">
        <v>1335</v>
      </c>
      <c r="J480" s="12" t="str">
        <f>HYPERLINK("https://www.boe.es/gazeta/dias/1802/05/18/pdfs/GMD-1802-40.pdf#page=9","Abrir facsímil")</f>
        <v>Abrir facsímil</v>
      </c>
      <c r="K480" s="15" t="s">
        <v>23</v>
      </c>
    </row>
    <row r="481" spans="1:11" ht="42" customHeight="1">
      <c r="A481" s="4" t="s">
        <v>1336</v>
      </c>
      <c r="B481" s="5" t="s">
        <v>1336</v>
      </c>
      <c r="C481" s="5" t="s">
        <v>18</v>
      </c>
      <c r="D481" s="5" t="s">
        <v>19</v>
      </c>
      <c r="E481" s="5" t="s">
        <v>49</v>
      </c>
      <c r="F481" s="9">
        <v>83</v>
      </c>
      <c r="G481" s="9">
        <v>1025</v>
      </c>
      <c r="H481" s="5" t="s">
        <v>21</v>
      </c>
      <c r="I481" s="5" t="s">
        <v>1337</v>
      </c>
      <c r="J481" s="12" t="str">
        <f>HYPERLINK("https://www.boe.es/gazeta/dias/1802/10/12/pdfs/GMD-1802-83.pdf#page=13","Abrir facsímil")</f>
        <v>Abrir facsímil</v>
      </c>
      <c r="K481" s="15" t="s">
        <v>23</v>
      </c>
    </row>
    <row r="482" spans="1:11" ht="42" customHeight="1">
      <c r="A482" s="4" t="s">
        <v>1338</v>
      </c>
      <c r="B482" s="5" t="s">
        <v>1338</v>
      </c>
      <c r="C482" s="5" t="s">
        <v>18</v>
      </c>
      <c r="D482" s="5" t="s">
        <v>19</v>
      </c>
      <c r="E482" s="5" t="s">
        <v>20</v>
      </c>
      <c r="F482" s="9">
        <v>84</v>
      </c>
      <c r="G482" s="9">
        <v>1039</v>
      </c>
      <c r="H482" s="5" t="s">
        <v>21</v>
      </c>
      <c r="I482" s="5" t="s">
        <v>1339</v>
      </c>
      <c r="J482" s="12" t="str">
        <f>HYPERLINK("https://www.boe.es/gazeta/dias/1802/10/15/pdfs/GMD-1802-84.pdf#page=7","Abrir facsímil")</f>
        <v>Abrir facsímil</v>
      </c>
      <c r="K482" s="15" t="s">
        <v>23</v>
      </c>
    </row>
    <row r="483" spans="1:11" ht="42" customHeight="1">
      <c r="A483" s="4" t="s">
        <v>1340</v>
      </c>
      <c r="B483" s="5" t="s">
        <v>1340</v>
      </c>
      <c r="C483" s="5" t="s">
        <v>18</v>
      </c>
      <c r="D483" s="5" t="s">
        <v>19</v>
      </c>
      <c r="E483" s="5" t="s">
        <v>49</v>
      </c>
      <c r="F483" s="9">
        <v>83</v>
      </c>
      <c r="G483" s="9">
        <v>1022</v>
      </c>
      <c r="H483" s="5" t="s">
        <v>21</v>
      </c>
      <c r="I483" s="5" t="s">
        <v>1341</v>
      </c>
      <c r="J483" s="12" t="str">
        <f>HYPERLINK("https://www.boe.es/gazeta/dias/1802/10/12/pdfs/GMD-1802-83.pdf#page=10","Abrir facsímil")</f>
        <v>Abrir facsímil</v>
      </c>
      <c r="K483" s="15" t="s">
        <v>23</v>
      </c>
    </row>
    <row r="484" spans="1:11" ht="42" customHeight="1">
      <c r="A484" s="4" t="s">
        <v>1342</v>
      </c>
      <c r="B484" s="5" t="s">
        <v>1342</v>
      </c>
      <c r="C484" s="5" t="s">
        <v>55</v>
      </c>
      <c r="D484" s="5" t="s">
        <v>56</v>
      </c>
      <c r="E484" s="5" t="s">
        <v>71</v>
      </c>
      <c r="F484" s="9">
        <v>21</v>
      </c>
      <c r="G484" s="9">
        <v>236</v>
      </c>
      <c r="H484" s="5" t="s">
        <v>21</v>
      </c>
      <c r="I484" s="5" t="s">
        <v>1343</v>
      </c>
      <c r="J484" s="12" t="str">
        <f>HYPERLINK("https://www.boe.es/gazeta/dias/1802/03/12/pdfs/GMD-1802-21.pdf#page=12","Abrir facsímil")</f>
        <v>Abrir facsímil</v>
      </c>
      <c r="K484" s="15" t="s">
        <v>23</v>
      </c>
    </row>
    <row r="485" spans="1:11" ht="42" customHeight="1">
      <c r="A485" s="4" t="s">
        <v>1344</v>
      </c>
      <c r="B485" s="5" t="s">
        <v>1344</v>
      </c>
      <c r="C485" s="5" t="s">
        <v>29</v>
      </c>
      <c r="D485" s="5" t="s">
        <v>30</v>
      </c>
      <c r="E485" s="5" t="s">
        <v>678</v>
      </c>
      <c r="F485" s="9">
        <v>15</v>
      </c>
      <c r="G485" s="9">
        <v>157</v>
      </c>
      <c r="H485" s="5" t="s">
        <v>21</v>
      </c>
      <c r="I485" s="5" t="s">
        <v>1345</v>
      </c>
      <c r="J485" s="12" t="str">
        <f>HYPERLINK("https://www.boe.es/gazeta/dias/1802/02/19/pdfs/GMD-1802-15.pdf#page=9","Abrir facsímil")</f>
        <v>Abrir facsímil</v>
      </c>
      <c r="K485" s="15" t="s">
        <v>23</v>
      </c>
    </row>
    <row r="486" spans="1:11" ht="42" customHeight="1">
      <c r="A486" s="4" t="s">
        <v>1346</v>
      </c>
      <c r="B486" s="5" t="s">
        <v>1346</v>
      </c>
      <c r="C486" s="5" t="s">
        <v>42</v>
      </c>
      <c r="D486" s="5" t="s">
        <v>43</v>
      </c>
      <c r="E486" s="5" t="s">
        <v>44</v>
      </c>
      <c r="F486" s="9">
        <v>99</v>
      </c>
      <c r="G486" s="9" t="s">
        <v>262</v>
      </c>
      <c r="H486" s="5" t="s">
        <v>21</v>
      </c>
      <c r="I486" s="5" t="s">
        <v>1347</v>
      </c>
      <c r="J486" s="12" t="str">
        <f>HYPERLINK("https://www.boe.es/gazeta/dias/1802/12/07/pdfs/GMD-D-1802-99.pdf#page=8","Abrir facsímil")</f>
        <v>Abrir facsímil</v>
      </c>
      <c r="K486" s="15" t="s">
        <v>23</v>
      </c>
    </row>
    <row r="487" spans="1:11" ht="42" customHeight="1">
      <c r="A487" s="4" t="s">
        <v>1348</v>
      </c>
      <c r="B487" s="5" t="s">
        <v>1348</v>
      </c>
      <c r="C487" s="5" t="s">
        <v>29</v>
      </c>
      <c r="D487" s="5" t="s">
        <v>30</v>
      </c>
      <c r="E487" s="5" t="s">
        <v>109</v>
      </c>
      <c r="F487" s="9">
        <v>10</v>
      </c>
      <c r="G487" s="9">
        <v>99</v>
      </c>
      <c r="H487" s="5" t="s">
        <v>21</v>
      </c>
      <c r="I487" s="5" t="s">
        <v>1349</v>
      </c>
      <c r="J487" s="12" t="str">
        <f>HYPERLINK("https://www.boe.es/gazeta/dias/1802/02/02/pdfs/GMD-1802-10.pdf#page=7","Abrir facsímil")</f>
        <v>Abrir facsímil</v>
      </c>
      <c r="K487" s="15" t="s">
        <v>23</v>
      </c>
    </row>
    <row r="488" spans="1:11" ht="42" customHeight="1">
      <c r="A488" s="4" t="s">
        <v>1350</v>
      </c>
      <c r="B488" s="5" t="s">
        <v>1350</v>
      </c>
      <c r="C488" s="5" t="s">
        <v>29</v>
      </c>
      <c r="D488" s="5" t="s">
        <v>30</v>
      </c>
      <c r="E488" s="5" t="s">
        <v>635</v>
      </c>
      <c r="F488" s="9">
        <v>47</v>
      </c>
      <c r="G488" s="9">
        <v>573</v>
      </c>
      <c r="H488" s="5" t="s">
        <v>21</v>
      </c>
      <c r="I488" s="5" t="s">
        <v>1351</v>
      </c>
      <c r="J488" s="12" t="str">
        <f>HYPERLINK("https://www.boe.es/gazeta/dias/1802/06/11/pdfs/GMD-1802-47.pdf#page=9","Abrir facsímil")</f>
        <v>Abrir facsímil</v>
      </c>
      <c r="K488" s="15" t="s">
        <v>23</v>
      </c>
    </row>
    <row r="489" spans="1:11" ht="42" customHeight="1">
      <c r="A489" s="4" t="s">
        <v>1352</v>
      </c>
      <c r="B489" s="5" t="s">
        <v>1352</v>
      </c>
      <c r="C489" s="5" t="s">
        <v>18</v>
      </c>
      <c r="D489" s="5" t="s">
        <v>19</v>
      </c>
      <c r="E489" s="5" t="s">
        <v>49</v>
      </c>
      <c r="F489" s="9">
        <v>83</v>
      </c>
      <c r="G489" s="9">
        <v>1024</v>
      </c>
      <c r="H489" s="5" t="s">
        <v>21</v>
      </c>
      <c r="I489" s="5" t="s">
        <v>1353</v>
      </c>
      <c r="J489" s="12" t="str">
        <f>HYPERLINK("https://www.boe.es/gazeta/dias/1802/10/12/pdfs/GMD-1802-83.pdf#page=12","Abrir facsímil")</f>
        <v>Abrir facsímil</v>
      </c>
      <c r="K489" s="15" t="s">
        <v>23</v>
      </c>
    </row>
    <row r="490" spans="1:11" ht="42" customHeight="1">
      <c r="A490" s="4" t="s">
        <v>1354</v>
      </c>
      <c r="B490" s="5" t="s">
        <v>1354</v>
      </c>
      <c r="C490" s="5" t="s">
        <v>42</v>
      </c>
      <c r="D490" s="5" t="s">
        <v>43</v>
      </c>
      <c r="E490" s="5" t="s">
        <v>44</v>
      </c>
      <c r="F490" s="9">
        <v>99</v>
      </c>
      <c r="G490" s="9" t="s">
        <v>222</v>
      </c>
      <c r="H490" s="5" t="s">
        <v>21</v>
      </c>
      <c r="I490" s="5" t="s">
        <v>1355</v>
      </c>
      <c r="J490" s="12" t="str">
        <f>HYPERLINK("https://www.boe.es/gazeta/dias/1802/12/07/pdfs/GMD-D-1802-99.pdf#page=5","Abrir facsímil")</f>
        <v>Abrir facsímil</v>
      </c>
      <c r="K490" s="15" t="s">
        <v>23</v>
      </c>
    </row>
    <row r="491" spans="1:11" ht="42" customHeight="1">
      <c r="A491" s="4" t="s">
        <v>1356</v>
      </c>
      <c r="B491" s="5" t="s">
        <v>1357</v>
      </c>
      <c r="C491" s="5" t="s">
        <v>55</v>
      </c>
      <c r="D491" s="5" t="s">
        <v>56</v>
      </c>
      <c r="E491" s="5" t="s">
        <v>172</v>
      </c>
      <c r="F491" s="9">
        <v>35</v>
      </c>
      <c r="G491" s="9">
        <v>408</v>
      </c>
      <c r="H491" s="5" t="s">
        <v>21</v>
      </c>
      <c r="I491" s="5" t="s">
        <v>1358</v>
      </c>
      <c r="J491" s="12" t="str">
        <f>HYPERLINK("https://www.boe.es/gazeta/dias/1802/04/30/pdfs/GMD-1802-35.pdf#page=8","Abrir facsímil")</f>
        <v>Abrir facsímil</v>
      </c>
      <c r="K491" s="15" t="s">
        <v>23</v>
      </c>
    </row>
    <row r="492" spans="1:11" ht="42" customHeight="1">
      <c r="A492" s="4" t="s">
        <v>1359</v>
      </c>
      <c r="B492" s="5" t="s">
        <v>1359</v>
      </c>
      <c r="C492" s="5" t="s">
        <v>18</v>
      </c>
      <c r="D492" s="5" t="s">
        <v>19</v>
      </c>
      <c r="E492" s="5" t="s">
        <v>128</v>
      </c>
      <c r="F492" s="9">
        <v>9</v>
      </c>
      <c r="G492" s="9">
        <v>87</v>
      </c>
      <c r="H492" s="5" t="s">
        <v>21</v>
      </c>
      <c r="I492" s="5" t="s">
        <v>1360</v>
      </c>
      <c r="J492" s="12" t="str">
        <f>HYPERLINK("https://www.boe.es/gazeta/dias/1802/01/29/pdfs/GMD-1802-9.pdf#page=7","Abrir facsímil")</f>
        <v>Abrir facsímil</v>
      </c>
      <c r="K492" s="15" t="s">
        <v>23</v>
      </c>
    </row>
    <row r="493" spans="1:11" ht="42" customHeight="1">
      <c r="A493" s="4" t="s">
        <v>1359</v>
      </c>
      <c r="B493" s="5" t="s">
        <v>1359</v>
      </c>
      <c r="C493" s="5" t="s">
        <v>35</v>
      </c>
      <c r="D493" s="5" t="s">
        <v>36</v>
      </c>
      <c r="E493" s="5" t="s">
        <v>631</v>
      </c>
      <c r="F493" s="9">
        <v>36</v>
      </c>
      <c r="G493" s="9">
        <v>424</v>
      </c>
      <c r="H493" s="5" t="s">
        <v>21</v>
      </c>
      <c r="I493" s="5" t="s">
        <v>1361</v>
      </c>
      <c r="J493" s="12" t="str">
        <f>HYPERLINK("https://www.boe.es/gazeta/dias/1802/05/04/pdfs/GMD-1802-36.pdf#page=4","Abrir facsímil")</f>
        <v>Abrir facsímil</v>
      </c>
      <c r="K493" s="15" t="s">
        <v>23</v>
      </c>
    </row>
    <row r="494" spans="1:11" ht="42" customHeight="1">
      <c r="A494" s="4" t="s">
        <v>1359</v>
      </c>
      <c r="B494" s="5" t="s">
        <v>1359</v>
      </c>
      <c r="C494" s="5" t="s">
        <v>55</v>
      </c>
      <c r="D494" s="5" t="s">
        <v>56</v>
      </c>
      <c r="E494" s="5" t="s">
        <v>192</v>
      </c>
      <c r="F494" s="9">
        <v>53</v>
      </c>
      <c r="G494" s="9">
        <v>635</v>
      </c>
      <c r="H494" s="5" t="s">
        <v>21</v>
      </c>
      <c r="I494" s="5" t="s">
        <v>1362</v>
      </c>
      <c r="J494" s="12" t="str">
        <f>HYPERLINK("https://www.boe.es/gazeta/dias/1802/07/02/pdfs/GMD-1802-53.pdf#page=3","Abrir facsímil")</f>
        <v>Abrir facsímil</v>
      </c>
      <c r="K494" s="15" t="s">
        <v>23</v>
      </c>
    </row>
    <row r="495" spans="1:11" ht="42" customHeight="1">
      <c r="A495" s="4" t="s">
        <v>1359</v>
      </c>
      <c r="B495" s="5" t="s">
        <v>1359</v>
      </c>
      <c r="C495" s="5" t="s">
        <v>35</v>
      </c>
      <c r="D495" s="5" t="s">
        <v>36</v>
      </c>
      <c r="E495" s="5" t="s">
        <v>181</v>
      </c>
      <c r="F495" s="9">
        <v>55</v>
      </c>
      <c r="G495" s="9">
        <v>660</v>
      </c>
      <c r="H495" s="5" t="s">
        <v>21</v>
      </c>
      <c r="I495" s="5" t="s">
        <v>1363</v>
      </c>
      <c r="J495" s="12" t="str">
        <f>HYPERLINK("https://www.boe.es/gazeta/dias/1802/07/09/pdfs/GMD-1802-55.pdf#page=4","Abrir facsímil")</f>
        <v>Abrir facsímil</v>
      </c>
      <c r="K495" s="15" t="s">
        <v>23</v>
      </c>
    </row>
    <row r="496" spans="1:11" ht="42" customHeight="1">
      <c r="A496" s="4" t="s">
        <v>1364</v>
      </c>
      <c r="B496" s="5" t="s">
        <v>1365</v>
      </c>
      <c r="C496" s="5" t="s">
        <v>18</v>
      </c>
      <c r="D496" s="5" t="s">
        <v>19</v>
      </c>
      <c r="E496" s="5" t="s">
        <v>826</v>
      </c>
      <c r="F496" s="9">
        <v>67</v>
      </c>
      <c r="G496" s="9">
        <v>823</v>
      </c>
      <c r="H496" s="5" t="s">
        <v>21</v>
      </c>
      <c r="I496" s="5" t="s">
        <v>1366</v>
      </c>
      <c r="J496" s="12" t="str">
        <f>HYPERLINK("https://www.boe.es/gazeta/dias/1802/08/17/pdfs/GMD-1802-67.pdf#page=11","Abrir facsímil")</f>
        <v>Abrir facsímil</v>
      </c>
      <c r="K496" s="15" t="s">
        <v>23</v>
      </c>
    </row>
    <row r="497" spans="1:11" ht="42" customHeight="1">
      <c r="A497" s="4" t="s">
        <v>1367</v>
      </c>
      <c r="B497" s="5" t="s">
        <v>1368</v>
      </c>
      <c r="C497" s="5" t="s">
        <v>29</v>
      </c>
      <c r="D497" s="5" t="s">
        <v>30</v>
      </c>
      <c r="E497" s="5" t="s">
        <v>590</v>
      </c>
      <c r="F497" s="9">
        <v>38</v>
      </c>
      <c r="G497" s="9">
        <v>454</v>
      </c>
      <c r="H497" s="5" t="s">
        <v>21</v>
      </c>
      <c r="I497" s="5" t="s">
        <v>1369</v>
      </c>
      <c r="J497" s="12" t="str">
        <f>HYPERLINK("https://www.boe.es/gazeta/dias/1802/05/11/pdfs/GMD-1802-38.pdf#page=10","Abrir facsímil")</f>
        <v>Abrir facsímil</v>
      </c>
      <c r="K497" s="15" t="s">
        <v>23</v>
      </c>
    </row>
    <row r="498" spans="1:11" ht="42" customHeight="1">
      <c r="A498" s="4" t="s">
        <v>1370</v>
      </c>
      <c r="B498" s="5" t="s">
        <v>1371</v>
      </c>
      <c r="C498" s="5" t="s">
        <v>90</v>
      </c>
      <c r="D498" s="5" t="s">
        <v>91</v>
      </c>
      <c r="E498" s="5" t="s">
        <v>714</v>
      </c>
      <c r="F498" s="9">
        <v>89</v>
      </c>
      <c r="G498" s="9">
        <v>1107</v>
      </c>
      <c r="H498" s="5" t="s">
        <v>21</v>
      </c>
      <c r="I498" s="5" t="s">
        <v>1372</v>
      </c>
      <c r="J498" s="12" t="str">
        <f>HYPERLINK("https://www.boe.es/gazeta/dias/1802/11/02/pdfs/GMD-1802-89.pdf#page=11","Abrir facsímil")</f>
        <v>Abrir facsímil</v>
      </c>
      <c r="K498" s="15" t="s">
        <v>23</v>
      </c>
    </row>
    <row r="499" spans="1:11" ht="42" customHeight="1">
      <c r="A499" s="4" t="s">
        <v>1373</v>
      </c>
      <c r="B499" s="5" t="s">
        <v>1373</v>
      </c>
      <c r="C499" s="5" t="s">
        <v>35</v>
      </c>
      <c r="D499" s="5" t="s">
        <v>36</v>
      </c>
      <c r="E499" s="5" t="s">
        <v>1374</v>
      </c>
      <c r="F499" s="9">
        <v>71</v>
      </c>
      <c r="G499" s="9">
        <v>867</v>
      </c>
      <c r="H499" s="5" t="s">
        <v>21</v>
      </c>
      <c r="I499" s="5" t="s">
        <v>1375</v>
      </c>
      <c r="J499" s="12" t="str">
        <f>HYPERLINK("https://www.boe.es/gazeta/dias/1802/08/31/pdfs/GMD-1802-71.pdf#page=3","Abrir facsímil")</f>
        <v>Abrir facsímil</v>
      </c>
      <c r="K499" s="15" t="s">
        <v>23</v>
      </c>
    </row>
    <row r="500" spans="1:11" ht="42" customHeight="1">
      <c r="A500" s="4" t="s">
        <v>1376</v>
      </c>
      <c r="B500" s="5" t="s">
        <v>1377</v>
      </c>
      <c r="C500" s="5" t="s">
        <v>35</v>
      </c>
      <c r="D500" s="5" t="s">
        <v>36</v>
      </c>
      <c r="E500" s="5" t="s">
        <v>443</v>
      </c>
      <c r="F500" s="9">
        <v>78</v>
      </c>
      <c r="G500" s="9">
        <v>955</v>
      </c>
      <c r="H500" s="5" t="s">
        <v>21</v>
      </c>
      <c r="I500" s="5" t="s">
        <v>1378</v>
      </c>
      <c r="J500" s="12" t="str">
        <f>HYPERLINK("https://www.boe.es/gazeta/dias/1802/09/24/pdfs/GMD-1802-78.pdf#page=3","Abrir facsímil")</f>
        <v>Abrir facsímil</v>
      </c>
      <c r="K500" s="15" t="s">
        <v>23</v>
      </c>
    </row>
    <row r="501" spans="1:11" ht="42" customHeight="1">
      <c r="A501" s="4" t="s">
        <v>1379</v>
      </c>
      <c r="B501" s="5" t="s">
        <v>1380</v>
      </c>
      <c r="C501" s="5" t="s">
        <v>18</v>
      </c>
      <c r="D501" s="5" t="s">
        <v>19</v>
      </c>
      <c r="E501" s="5" t="s">
        <v>1381</v>
      </c>
      <c r="F501" s="9">
        <v>17</v>
      </c>
      <c r="G501" s="9">
        <v>181</v>
      </c>
      <c r="H501" s="5" t="s">
        <v>21</v>
      </c>
      <c r="I501" s="5" t="s">
        <v>1382</v>
      </c>
      <c r="J501" s="12" t="str">
        <f>HYPERLINK("https://www.boe.es/gazeta/dias/1802/02/26/pdfs/GMD-1802-17.pdf#page=5","Abrir facsímil")</f>
        <v>Abrir facsímil</v>
      </c>
      <c r="K501" s="15" t="s">
        <v>23</v>
      </c>
    </row>
    <row r="502" spans="1:11" ht="42" customHeight="1">
      <c r="A502" s="4" t="s">
        <v>1383</v>
      </c>
      <c r="B502" s="5" t="s">
        <v>1384</v>
      </c>
      <c r="C502" s="5" t="s">
        <v>18</v>
      </c>
      <c r="D502" s="5" t="s">
        <v>19</v>
      </c>
      <c r="E502" s="5" t="s">
        <v>49</v>
      </c>
      <c r="F502" s="9">
        <v>83</v>
      </c>
      <c r="G502" s="9">
        <v>1025</v>
      </c>
      <c r="H502" s="5" t="s">
        <v>21</v>
      </c>
      <c r="I502" s="5" t="s">
        <v>1385</v>
      </c>
      <c r="J502" s="12" t="str">
        <f>HYPERLINK("https://www.boe.es/gazeta/dias/1802/10/12/pdfs/GMD-1802-83.pdf#page=13","Abrir facsímil")</f>
        <v>Abrir facsímil</v>
      </c>
      <c r="K502" s="15" t="s">
        <v>23</v>
      </c>
    </row>
    <row r="503" spans="1:11" ht="42" customHeight="1">
      <c r="A503" s="4" t="s">
        <v>1386</v>
      </c>
      <c r="B503" s="5" t="s">
        <v>1387</v>
      </c>
      <c r="C503" s="5" t="s">
        <v>29</v>
      </c>
      <c r="D503" s="5" t="s">
        <v>30</v>
      </c>
      <c r="E503" s="5" t="s">
        <v>192</v>
      </c>
      <c r="F503" s="9">
        <v>53</v>
      </c>
      <c r="G503" s="9">
        <v>643</v>
      </c>
      <c r="H503" s="5" t="s">
        <v>21</v>
      </c>
      <c r="I503" s="5" t="s">
        <v>1388</v>
      </c>
      <c r="J503" s="12" t="str">
        <f>HYPERLINK("https://www.boe.es/gazeta/dias/1802/07/02/pdfs/GMD-1802-53.pdf#page=11","Abrir facsímil")</f>
        <v>Abrir facsímil</v>
      </c>
      <c r="K503" s="15" t="s">
        <v>23</v>
      </c>
    </row>
    <row r="504" spans="1:11" ht="42" customHeight="1">
      <c r="A504" s="4" t="s">
        <v>1389</v>
      </c>
      <c r="B504" s="5" t="s">
        <v>1390</v>
      </c>
      <c r="C504" s="5" t="s">
        <v>35</v>
      </c>
      <c r="D504" s="5" t="s">
        <v>36</v>
      </c>
      <c r="E504" s="5" t="s">
        <v>764</v>
      </c>
      <c r="F504" s="9">
        <v>69</v>
      </c>
      <c r="G504" s="9">
        <v>848</v>
      </c>
      <c r="H504" s="5" t="s">
        <v>21</v>
      </c>
      <c r="I504" s="5" t="s">
        <v>1391</v>
      </c>
      <c r="J504" s="12" t="str">
        <f>HYPERLINK("https://www.boe.es/gazeta/dias/1802/08/24/pdfs/GMD-1802-69.pdf#page=8","Abrir facsímil")</f>
        <v>Abrir facsímil</v>
      </c>
      <c r="K504" s="15" t="s">
        <v>23</v>
      </c>
    </row>
    <row r="505" spans="1:11" ht="42" customHeight="1">
      <c r="A505" s="4" t="s">
        <v>1392</v>
      </c>
      <c r="B505" s="5" t="s">
        <v>1393</v>
      </c>
      <c r="C505" s="5" t="s">
        <v>29</v>
      </c>
      <c r="D505" s="5" t="s">
        <v>30</v>
      </c>
      <c r="E505" s="5" t="s">
        <v>670</v>
      </c>
      <c r="F505" s="9">
        <v>40</v>
      </c>
      <c r="G505" s="9">
        <v>482</v>
      </c>
      <c r="H505" s="5" t="s">
        <v>21</v>
      </c>
      <c r="I505" s="5" t="s">
        <v>1394</v>
      </c>
      <c r="J505" s="12" t="str">
        <f>HYPERLINK("https://www.boe.es/gazeta/dias/1802/05/18/pdfs/GMD-1802-40.pdf#page=10","Abrir facsímil")</f>
        <v>Abrir facsímil</v>
      </c>
      <c r="K505" s="15" t="s">
        <v>23</v>
      </c>
    </row>
    <row r="506" spans="1:11" ht="42" customHeight="1">
      <c r="A506" s="4" t="s">
        <v>1395</v>
      </c>
      <c r="B506" s="5" t="s">
        <v>1395</v>
      </c>
      <c r="C506" s="5" t="s">
        <v>160</v>
      </c>
      <c r="D506" s="5" t="s">
        <v>91</v>
      </c>
      <c r="E506" s="5" t="s">
        <v>1264</v>
      </c>
      <c r="F506" s="9">
        <v>105</v>
      </c>
      <c r="G506" s="9">
        <v>1281</v>
      </c>
      <c r="H506" s="5" t="s">
        <v>21</v>
      </c>
      <c r="I506" s="5" t="s">
        <v>1396</v>
      </c>
      <c r="J506" s="12" t="str">
        <f>HYPERLINK("https://www.boe.es/gazeta/dias/1802/12/28/pdfs/GMD-1802-105.pdf#page=5","Abrir facsímil")</f>
        <v>Abrir facsímil</v>
      </c>
      <c r="K506" s="15" t="s">
        <v>23</v>
      </c>
    </row>
    <row r="507" spans="1:11" ht="42" customHeight="1">
      <c r="A507" s="4" t="s">
        <v>1397</v>
      </c>
      <c r="B507" s="5" t="s">
        <v>1398</v>
      </c>
      <c r="C507" s="5" t="s">
        <v>29</v>
      </c>
      <c r="D507" s="5" t="s">
        <v>30</v>
      </c>
      <c r="E507" s="5" t="s">
        <v>642</v>
      </c>
      <c r="F507" s="9">
        <v>51</v>
      </c>
      <c r="G507" s="9">
        <v>622</v>
      </c>
      <c r="H507" s="5" t="s">
        <v>21</v>
      </c>
      <c r="I507" s="5" t="s">
        <v>1399</v>
      </c>
      <c r="J507" s="12" t="str">
        <f>HYPERLINK("https://www.boe.es/gazeta/dias/1802/06/25/pdfs/GMD-1802-51.pdf#page=10","Abrir facsímil")</f>
        <v>Abrir facsímil</v>
      </c>
      <c r="K507" s="15" t="s">
        <v>23</v>
      </c>
    </row>
    <row r="508" spans="1:11" ht="42" customHeight="1">
      <c r="A508" s="4" t="s">
        <v>1400</v>
      </c>
      <c r="B508" s="5" t="s">
        <v>1400</v>
      </c>
      <c r="C508" s="5" t="s">
        <v>35</v>
      </c>
      <c r="D508" s="5" t="s">
        <v>36</v>
      </c>
      <c r="E508" s="5" t="s">
        <v>1289</v>
      </c>
      <c r="F508" s="9">
        <v>72</v>
      </c>
      <c r="G508" s="9">
        <v>885</v>
      </c>
      <c r="H508" s="5" t="s">
        <v>21</v>
      </c>
      <c r="I508" s="5" t="s">
        <v>1401</v>
      </c>
      <c r="J508" s="12" t="str">
        <f>HYPERLINK("https://www.boe.es/gazeta/dias/1802/09/03/pdfs/GMD-1802-72.pdf#page=5","Abrir facsímil")</f>
        <v>Abrir facsímil</v>
      </c>
      <c r="K508" s="15" t="s">
        <v>23</v>
      </c>
    </row>
    <row r="509" spans="1:11" ht="42" customHeight="1">
      <c r="A509" s="4" t="s">
        <v>1402</v>
      </c>
      <c r="B509" s="5" t="s">
        <v>1403</v>
      </c>
      <c r="C509" s="5" t="s">
        <v>35</v>
      </c>
      <c r="D509" s="5" t="s">
        <v>36</v>
      </c>
      <c r="E509" s="5" t="s">
        <v>311</v>
      </c>
      <c r="F509" s="9">
        <v>88</v>
      </c>
      <c r="G509" s="9">
        <v>1095</v>
      </c>
      <c r="H509" s="5" t="s">
        <v>21</v>
      </c>
      <c r="I509" s="5" t="s">
        <v>1404</v>
      </c>
      <c r="J509" s="12" t="str">
        <f>HYPERLINK("https://www.boe.es/gazeta/dias/1802/10/29/pdfs/GMD-1802-88.pdf#page=11","Abrir facsímil")</f>
        <v>Abrir facsímil</v>
      </c>
      <c r="K509" s="15" t="s">
        <v>23</v>
      </c>
    </row>
    <row r="510" spans="1:11" ht="42" customHeight="1">
      <c r="A510" s="4" t="s">
        <v>1405</v>
      </c>
      <c r="B510" s="5" t="s">
        <v>1406</v>
      </c>
      <c r="C510" s="5" t="s">
        <v>29</v>
      </c>
      <c r="D510" s="5" t="s">
        <v>30</v>
      </c>
      <c r="E510" s="5" t="s">
        <v>1407</v>
      </c>
      <c r="F510" s="9">
        <v>8</v>
      </c>
      <c r="G510" s="9">
        <v>73</v>
      </c>
      <c r="H510" s="5" t="s">
        <v>21</v>
      </c>
      <c r="I510" s="5" t="s">
        <v>1408</v>
      </c>
      <c r="J510" s="12" t="str">
        <f>HYPERLINK("https://www.boe.es/gazeta/dias/1802/01/26/pdfs/GMD-1802-8.pdf#page=1","Abrir facsímil")</f>
        <v>Abrir facsímil</v>
      </c>
      <c r="K510" s="15" t="s">
        <v>23</v>
      </c>
    </row>
    <row r="511" spans="1:11" ht="42" customHeight="1">
      <c r="A511" s="4" t="s">
        <v>1409</v>
      </c>
      <c r="B511" s="5" t="s">
        <v>1410</v>
      </c>
      <c r="C511" s="5" t="s">
        <v>29</v>
      </c>
      <c r="D511" s="5" t="s">
        <v>30</v>
      </c>
      <c r="E511" s="5" t="s">
        <v>31</v>
      </c>
      <c r="F511" s="9">
        <v>27</v>
      </c>
      <c r="G511" s="9">
        <v>305</v>
      </c>
      <c r="H511" s="5" t="s">
        <v>21</v>
      </c>
      <c r="I511" s="5" t="s">
        <v>1411</v>
      </c>
      <c r="J511" s="12" t="str">
        <f>HYPERLINK("https://www.boe.es/gazeta/dias/1802/04/02/pdfs/GMD-1802-27.pdf#page=1","Abrir facsímil")</f>
        <v>Abrir facsímil</v>
      </c>
      <c r="K511" s="15" t="s">
        <v>23</v>
      </c>
    </row>
    <row r="512" spans="1:11" ht="42" customHeight="1">
      <c r="A512" s="4" t="s">
        <v>1412</v>
      </c>
      <c r="B512" s="5" t="s">
        <v>1413</v>
      </c>
      <c r="C512" s="5" t="s">
        <v>18</v>
      </c>
      <c r="D512" s="5" t="s">
        <v>19</v>
      </c>
      <c r="E512" s="5" t="s">
        <v>678</v>
      </c>
      <c r="F512" s="9">
        <v>15</v>
      </c>
      <c r="G512" s="9">
        <v>155</v>
      </c>
      <c r="H512" s="5" t="s">
        <v>21</v>
      </c>
      <c r="I512" s="5" t="s">
        <v>1414</v>
      </c>
      <c r="J512" s="12" t="str">
        <f>HYPERLINK("https://www.boe.es/gazeta/dias/1802/02/19/pdfs/GMD-1802-15.pdf#page=7","Abrir facsímil")</f>
        <v>Abrir facsímil</v>
      </c>
      <c r="K512" s="15" t="s">
        <v>23</v>
      </c>
    </row>
    <row r="513" spans="1:11" ht="42" customHeight="1">
      <c r="A513" s="4" t="s">
        <v>1415</v>
      </c>
      <c r="B513" s="5" t="s">
        <v>1416</v>
      </c>
      <c r="C513" s="5" t="s">
        <v>35</v>
      </c>
      <c r="D513" s="5" t="s">
        <v>36</v>
      </c>
      <c r="E513" s="5" t="s">
        <v>31</v>
      </c>
      <c r="F513" s="9">
        <v>27</v>
      </c>
      <c r="G513" s="9">
        <v>306</v>
      </c>
      <c r="H513" s="5" t="s">
        <v>21</v>
      </c>
      <c r="I513" s="5" t="s">
        <v>1417</v>
      </c>
      <c r="J513" s="12" t="str">
        <f>HYPERLINK("https://www.boe.es/gazeta/dias/1802/04/02/pdfs/GMD-1802-27.pdf#page=2","Abrir facsímil")</f>
        <v>Abrir facsímil</v>
      </c>
      <c r="K513" s="15" t="s">
        <v>23</v>
      </c>
    </row>
    <row r="514" spans="1:11" ht="42" customHeight="1">
      <c r="A514" s="4" t="s">
        <v>1418</v>
      </c>
      <c r="B514" s="5" t="s">
        <v>1419</v>
      </c>
      <c r="C514" s="5" t="s">
        <v>35</v>
      </c>
      <c r="D514" s="5" t="s">
        <v>36</v>
      </c>
      <c r="E514" s="5" t="s">
        <v>167</v>
      </c>
      <c r="F514" s="9">
        <v>23</v>
      </c>
      <c r="G514" s="9">
        <v>253</v>
      </c>
      <c r="H514" s="5" t="s">
        <v>21</v>
      </c>
      <c r="I514" s="5" t="s">
        <v>1420</v>
      </c>
      <c r="J514" s="12" t="str">
        <f>HYPERLINK("https://www.boe.es/gazeta/dias/1802/03/19/pdfs/GMD-1802-23.pdf#page=1","Abrir facsímil")</f>
        <v>Abrir facsímil</v>
      </c>
      <c r="K514" s="15" t="s">
        <v>23</v>
      </c>
    </row>
    <row r="515" spans="1:11" ht="42" customHeight="1">
      <c r="A515" s="4" t="s">
        <v>1421</v>
      </c>
      <c r="B515" s="5" t="s">
        <v>1422</v>
      </c>
      <c r="C515" s="5" t="s">
        <v>29</v>
      </c>
      <c r="D515" s="5" t="s">
        <v>30</v>
      </c>
      <c r="E515" s="5" t="s">
        <v>219</v>
      </c>
      <c r="F515" s="9">
        <v>81</v>
      </c>
      <c r="G515" s="9">
        <v>998</v>
      </c>
      <c r="H515" s="5" t="s">
        <v>21</v>
      </c>
      <c r="I515" s="5" t="s">
        <v>1423</v>
      </c>
      <c r="J515" s="12" t="str">
        <f>HYPERLINK("https://www.boe.es/gazeta/dias/1802/10/05/pdfs/GMD-1802-81.pdf#page=10","Abrir facsímil")</f>
        <v>Abrir facsímil</v>
      </c>
      <c r="K515" s="15" t="s">
        <v>23</v>
      </c>
    </row>
    <row r="516" spans="1:11" ht="42" customHeight="1">
      <c r="A516" s="4" t="s">
        <v>1424</v>
      </c>
      <c r="B516" s="5" t="s">
        <v>1425</v>
      </c>
      <c r="C516" s="5" t="s">
        <v>90</v>
      </c>
      <c r="D516" s="5" t="s">
        <v>91</v>
      </c>
      <c r="E516" s="5" t="s">
        <v>232</v>
      </c>
      <c r="F516" s="9">
        <v>30</v>
      </c>
      <c r="G516" s="9">
        <v>350</v>
      </c>
      <c r="H516" s="5" t="s">
        <v>21</v>
      </c>
      <c r="I516" s="5" t="s">
        <v>1426</v>
      </c>
      <c r="J516" s="12" t="str">
        <f>HYPERLINK("https://www.boe.es/gazeta/dias/1802/04/13/pdfs/GMD-1802-30.pdf#page=6","Abrir facsímil")</f>
        <v>Abrir facsímil</v>
      </c>
      <c r="K516" s="15" t="s">
        <v>23</v>
      </c>
    </row>
    <row r="517" spans="1:11" ht="42" customHeight="1">
      <c r="A517" s="4" t="s">
        <v>1427</v>
      </c>
      <c r="B517" s="5" t="s">
        <v>1428</v>
      </c>
      <c r="C517" s="5" t="s">
        <v>29</v>
      </c>
      <c r="D517" s="5" t="s">
        <v>30</v>
      </c>
      <c r="E517" s="5" t="s">
        <v>1407</v>
      </c>
      <c r="F517" s="9">
        <v>8</v>
      </c>
      <c r="G517" s="9">
        <v>73</v>
      </c>
      <c r="H517" s="5" t="s">
        <v>21</v>
      </c>
      <c r="I517" s="5" t="s">
        <v>1429</v>
      </c>
      <c r="J517" s="12" t="str">
        <f>HYPERLINK("https://www.boe.es/gazeta/dias/1802/01/26/pdfs/GMD-1802-8.pdf#page=1","Abrir facsímil")</f>
        <v>Abrir facsímil</v>
      </c>
      <c r="K517" s="15" t="s">
        <v>23</v>
      </c>
    </row>
    <row r="518" spans="1:11" ht="42" customHeight="1">
      <c r="A518" s="4" t="s">
        <v>1430</v>
      </c>
      <c r="B518" s="5" t="s">
        <v>1431</v>
      </c>
      <c r="C518" s="5" t="s">
        <v>18</v>
      </c>
      <c r="D518" s="5" t="s">
        <v>19</v>
      </c>
      <c r="E518" s="5" t="s">
        <v>49</v>
      </c>
      <c r="F518" s="9">
        <v>83</v>
      </c>
      <c r="G518" s="9">
        <v>1024</v>
      </c>
      <c r="H518" s="5" t="s">
        <v>21</v>
      </c>
      <c r="I518" s="5" t="s">
        <v>1432</v>
      </c>
      <c r="J518" s="12" t="str">
        <f>HYPERLINK("https://www.boe.es/gazeta/dias/1802/10/12/pdfs/GMD-1802-83.pdf#page=12","Abrir facsímil")</f>
        <v>Abrir facsímil</v>
      </c>
      <c r="K518" s="15" t="s">
        <v>23</v>
      </c>
    </row>
    <row r="519" spans="1:11" ht="42" customHeight="1">
      <c r="A519" s="4" t="s">
        <v>1433</v>
      </c>
      <c r="B519" s="5" t="s">
        <v>1434</v>
      </c>
      <c r="C519" s="5" t="s">
        <v>29</v>
      </c>
      <c r="D519" s="5" t="s">
        <v>30</v>
      </c>
      <c r="E519" s="5" t="s">
        <v>389</v>
      </c>
      <c r="F519" s="9">
        <v>96</v>
      </c>
      <c r="G519" s="9">
        <v>1182</v>
      </c>
      <c r="H519" s="5" t="s">
        <v>21</v>
      </c>
      <c r="I519" s="5" t="s">
        <v>1435</v>
      </c>
      <c r="J519" s="12" t="str">
        <f>HYPERLINK("https://www.boe.es/gazeta/dias/1802/11/26/pdfs/GMD-1802-96.pdf#page=2","Abrir facsímil")</f>
        <v>Abrir facsímil</v>
      </c>
      <c r="K519" s="15" t="s">
        <v>23</v>
      </c>
    </row>
    <row r="520" spans="1:11" ht="42" customHeight="1">
      <c r="A520" s="4" t="s">
        <v>1436</v>
      </c>
      <c r="B520" s="5" t="s">
        <v>1437</v>
      </c>
      <c r="C520" s="5" t="s">
        <v>35</v>
      </c>
      <c r="D520" s="5" t="s">
        <v>36</v>
      </c>
      <c r="E520" s="5" t="s">
        <v>172</v>
      </c>
      <c r="F520" s="9">
        <v>35</v>
      </c>
      <c r="G520" s="9">
        <v>403</v>
      </c>
      <c r="H520" s="5" t="s">
        <v>21</v>
      </c>
      <c r="I520" s="5" t="s">
        <v>1438</v>
      </c>
      <c r="J520" s="12" t="str">
        <f>HYPERLINK("https://www.boe.es/gazeta/dias/1802/04/30/pdfs/GMD-1802-35.pdf#page=3","Abrir facsímil")</f>
        <v>Abrir facsímil</v>
      </c>
      <c r="K520" s="15" t="s">
        <v>23</v>
      </c>
    </row>
    <row r="521" spans="1:11" ht="42" customHeight="1">
      <c r="A521" s="4" t="s">
        <v>1439</v>
      </c>
      <c r="B521" s="5" t="s">
        <v>1440</v>
      </c>
      <c r="C521" s="5" t="s">
        <v>29</v>
      </c>
      <c r="D521" s="5" t="s">
        <v>30</v>
      </c>
      <c r="E521" s="5" t="s">
        <v>670</v>
      </c>
      <c r="F521" s="9">
        <v>40</v>
      </c>
      <c r="G521" s="9">
        <v>481</v>
      </c>
      <c r="H521" s="5" t="s">
        <v>21</v>
      </c>
      <c r="I521" s="5" t="s">
        <v>1441</v>
      </c>
      <c r="J521" s="12" t="str">
        <f>HYPERLINK("https://www.boe.es/gazeta/dias/1802/05/18/pdfs/GMD-1802-40.pdf#page=9","Abrir facsímil")</f>
        <v>Abrir facsímil</v>
      </c>
      <c r="K521" s="15" t="s">
        <v>23</v>
      </c>
    </row>
    <row r="522" spans="1:11" ht="42" customHeight="1">
      <c r="A522" s="4" t="s">
        <v>1442</v>
      </c>
      <c r="B522" s="5" t="s">
        <v>1443</v>
      </c>
      <c r="C522" s="5" t="s">
        <v>18</v>
      </c>
      <c r="D522" s="5" t="s">
        <v>19</v>
      </c>
      <c r="E522" s="5" t="s">
        <v>49</v>
      </c>
      <c r="F522" s="9">
        <v>83</v>
      </c>
      <c r="G522" s="9">
        <v>1022</v>
      </c>
      <c r="H522" s="5" t="s">
        <v>21</v>
      </c>
      <c r="I522" s="5" t="s">
        <v>1444</v>
      </c>
      <c r="J522" s="12" t="str">
        <f>HYPERLINK("https://www.boe.es/gazeta/dias/1802/10/12/pdfs/GMD-1802-83.pdf#page=10","Abrir facsímil")</f>
        <v>Abrir facsímil</v>
      </c>
      <c r="K522" s="15" t="s">
        <v>23</v>
      </c>
    </row>
    <row r="523" spans="1:11" ht="42" customHeight="1">
      <c r="A523" s="4" t="s">
        <v>1445</v>
      </c>
      <c r="B523" s="5" t="s">
        <v>1446</v>
      </c>
      <c r="C523" s="5" t="s">
        <v>42</v>
      </c>
      <c r="D523" s="5" t="s">
        <v>43</v>
      </c>
      <c r="E523" s="5" t="s">
        <v>44</v>
      </c>
      <c r="F523" s="9">
        <v>99</v>
      </c>
      <c r="G523" s="9" t="s">
        <v>544</v>
      </c>
      <c r="H523" s="5" t="s">
        <v>21</v>
      </c>
      <c r="I523" s="5" t="s">
        <v>1447</v>
      </c>
      <c r="J523" s="12" t="str">
        <f>HYPERLINK("https://www.boe.es/gazeta/dias/1802/12/07/pdfs/GMD-D-1802-99.pdf#page=11","Abrir facsímil")</f>
        <v>Abrir facsímil</v>
      </c>
      <c r="K523" s="15" t="s">
        <v>23</v>
      </c>
    </row>
    <row r="524" spans="1:11" ht="42" customHeight="1">
      <c r="A524" s="4" t="s">
        <v>1448</v>
      </c>
      <c r="B524" s="5" t="s">
        <v>1449</v>
      </c>
      <c r="C524" s="5" t="s">
        <v>18</v>
      </c>
      <c r="D524" s="5" t="s">
        <v>19</v>
      </c>
      <c r="E524" s="5" t="s">
        <v>152</v>
      </c>
      <c r="F524" s="9">
        <v>25</v>
      </c>
      <c r="G524" s="9">
        <v>284</v>
      </c>
      <c r="H524" s="5" t="s">
        <v>21</v>
      </c>
      <c r="I524" s="5" t="s">
        <v>1450</v>
      </c>
      <c r="J524" s="12" t="str">
        <f>HYPERLINK("https://www.boe.es/gazeta/dias/1802/03/26/pdfs/GMD-1802-25.pdf#page=8","Abrir facsímil")</f>
        <v>Abrir facsímil</v>
      </c>
      <c r="K524" s="15" t="s">
        <v>23</v>
      </c>
    </row>
    <row r="525" spans="1:11" ht="42" customHeight="1">
      <c r="A525" s="4" t="s">
        <v>1451</v>
      </c>
      <c r="B525" s="5" t="s">
        <v>1452</v>
      </c>
      <c r="C525" s="5" t="s">
        <v>35</v>
      </c>
      <c r="D525" s="5" t="s">
        <v>36</v>
      </c>
      <c r="E525" s="5" t="s">
        <v>148</v>
      </c>
      <c r="F525" s="9">
        <v>66</v>
      </c>
      <c r="G525" s="9">
        <v>808</v>
      </c>
      <c r="H525" s="5" t="s">
        <v>21</v>
      </c>
      <c r="I525" s="5" t="s">
        <v>1453</v>
      </c>
      <c r="J525" s="12" t="str">
        <f>HYPERLINK("https://www.boe.es/gazeta/dias/1802/08/13/pdfs/GMD-1802-66.pdf#page=12","Abrir facsímil")</f>
        <v>Abrir facsímil</v>
      </c>
      <c r="K525" s="15" t="s">
        <v>23</v>
      </c>
    </row>
    <row r="526" spans="1:11" ht="42" customHeight="1">
      <c r="A526" s="4" t="s">
        <v>1454</v>
      </c>
      <c r="B526" s="5" t="s">
        <v>1455</v>
      </c>
      <c r="C526" s="5" t="s">
        <v>29</v>
      </c>
      <c r="D526" s="5" t="s">
        <v>30</v>
      </c>
      <c r="E526" s="5" t="s">
        <v>188</v>
      </c>
      <c r="F526" s="9">
        <v>49</v>
      </c>
      <c r="G526" s="9">
        <v>599</v>
      </c>
      <c r="H526" s="5" t="s">
        <v>21</v>
      </c>
      <c r="I526" s="5" t="s">
        <v>1456</v>
      </c>
      <c r="J526" s="12" t="str">
        <f>HYPERLINK("https://www.boe.es/gazeta/dias/1802/06/18/pdfs/GMD-1802-49.pdf#page=11","Abrir facsímil")</f>
        <v>Abrir facsímil</v>
      </c>
      <c r="K526" s="15" t="s">
        <v>23</v>
      </c>
    </row>
    <row r="527" spans="1:11" ht="42" customHeight="1">
      <c r="A527" s="4" t="s">
        <v>1457</v>
      </c>
      <c r="B527" s="5" t="s">
        <v>1458</v>
      </c>
      <c r="C527" s="5" t="s">
        <v>29</v>
      </c>
      <c r="D527" s="5" t="s">
        <v>30</v>
      </c>
      <c r="E527" s="5" t="s">
        <v>517</v>
      </c>
      <c r="F527" s="9">
        <v>61</v>
      </c>
      <c r="G527" s="9">
        <v>740</v>
      </c>
      <c r="H527" s="5" t="s">
        <v>21</v>
      </c>
      <c r="I527" s="5" t="s">
        <v>1459</v>
      </c>
      <c r="J527" s="12" t="str">
        <f>HYPERLINK("https://www.boe.es/gazeta/dias/1802/07/27/pdfs/GMD-1802-61.pdf#page=8","Abrir facsímil")</f>
        <v>Abrir facsímil</v>
      </c>
      <c r="K527" s="15" t="s">
        <v>23</v>
      </c>
    </row>
    <row r="528" spans="1:11" ht="42" customHeight="1">
      <c r="A528" s="4" t="s">
        <v>1460</v>
      </c>
      <c r="B528" s="5" t="s">
        <v>1461</v>
      </c>
      <c r="C528" s="5" t="s">
        <v>29</v>
      </c>
      <c r="D528" s="5" t="s">
        <v>30</v>
      </c>
      <c r="E528" s="5" t="s">
        <v>20</v>
      </c>
      <c r="F528" s="9">
        <v>84</v>
      </c>
      <c r="G528" s="9">
        <v>1041</v>
      </c>
      <c r="H528" s="5" t="s">
        <v>21</v>
      </c>
      <c r="I528" s="5" t="s">
        <v>1462</v>
      </c>
      <c r="J528" s="12" t="str">
        <f>HYPERLINK("https://www.boe.es/gazeta/dias/1802/10/15/pdfs/GMD-1802-84.pdf#page=9","Abrir facsímil")</f>
        <v>Abrir facsímil</v>
      </c>
      <c r="K528" s="15" t="s">
        <v>23</v>
      </c>
    </row>
    <row r="529" spans="1:11" ht="42" customHeight="1">
      <c r="A529" s="4" t="s">
        <v>1463</v>
      </c>
      <c r="B529" s="5" t="s">
        <v>1464</v>
      </c>
      <c r="C529" s="5" t="s">
        <v>35</v>
      </c>
      <c r="D529" s="5" t="s">
        <v>36</v>
      </c>
      <c r="E529" s="5" t="s">
        <v>114</v>
      </c>
      <c r="F529" s="9">
        <v>82</v>
      </c>
      <c r="G529" s="9">
        <v>1004</v>
      </c>
      <c r="H529" s="5" t="s">
        <v>21</v>
      </c>
      <c r="I529" s="5" t="s">
        <v>1465</v>
      </c>
      <c r="J529" s="12" t="str">
        <f>HYPERLINK("https://www.boe.es/gazeta/dias/1802/10/08/pdfs/GMD-1802-82.pdf#page=4","Abrir facsímil")</f>
        <v>Abrir facsímil</v>
      </c>
      <c r="K529" s="15" t="s">
        <v>23</v>
      </c>
    </row>
    <row r="530" spans="1:11" ht="42" customHeight="1">
      <c r="A530" s="4" t="s">
        <v>1466</v>
      </c>
      <c r="B530" s="5" t="s">
        <v>1467</v>
      </c>
      <c r="C530" s="5" t="s">
        <v>18</v>
      </c>
      <c r="D530" s="5" t="s">
        <v>19</v>
      </c>
      <c r="E530" s="5" t="s">
        <v>20</v>
      </c>
      <c r="F530" s="9">
        <v>84</v>
      </c>
      <c r="G530" s="9">
        <v>1047</v>
      </c>
      <c r="H530" s="5" t="s">
        <v>21</v>
      </c>
      <c r="I530" s="5" t="s">
        <v>1468</v>
      </c>
      <c r="J530" s="12" t="str">
        <f>HYPERLINK("https://www.boe.es/gazeta/dias/1802/10/15/pdfs/GMD-1802-84.pdf#page=15","Abrir facsímil")</f>
        <v>Abrir facsímil</v>
      </c>
      <c r="K530" s="15" t="s">
        <v>23</v>
      </c>
    </row>
    <row r="531" spans="1:11" ht="42" customHeight="1">
      <c r="A531" s="4" t="s">
        <v>1469</v>
      </c>
      <c r="B531" s="5" t="s">
        <v>1470</v>
      </c>
      <c r="C531" s="5" t="s">
        <v>18</v>
      </c>
      <c r="D531" s="5" t="s">
        <v>19</v>
      </c>
      <c r="E531" s="5" t="s">
        <v>152</v>
      </c>
      <c r="F531" s="9">
        <v>25</v>
      </c>
      <c r="G531" s="9">
        <v>284</v>
      </c>
      <c r="H531" s="5" t="s">
        <v>21</v>
      </c>
      <c r="I531" s="5" t="s">
        <v>1471</v>
      </c>
      <c r="J531" s="12" t="str">
        <f>HYPERLINK("https://www.boe.es/gazeta/dias/1802/03/26/pdfs/GMD-1802-25.pdf#page=8","Abrir facsímil")</f>
        <v>Abrir facsímil</v>
      </c>
      <c r="K531" s="15" t="s">
        <v>23</v>
      </c>
    </row>
    <row r="532" spans="1:11" ht="42" customHeight="1">
      <c r="A532" s="4" t="s">
        <v>1472</v>
      </c>
      <c r="B532" s="5" t="s">
        <v>1473</v>
      </c>
      <c r="C532" s="5" t="s">
        <v>42</v>
      </c>
      <c r="D532" s="5" t="s">
        <v>43</v>
      </c>
      <c r="E532" s="5" t="s">
        <v>44</v>
      </c>
      <c r="F532" s="9">
        <v>99</v>
      </c>
      <c r="G532" s="9" t="s">
        <v>554</v>
      </c>
      <c r="H532" s="5" t="s">
        <v>21</v>
      </c>
      <c r="I532" s="5" t="s">
        <v>1474</v>
      </c>
      <c r="J532" s="12" t="str">
        <f>HYPERLINK("https://www.boe.es/gazeta/dias/1802/12/07/pdfs/GMD-D-1802-99.pdf#page=4","Abrir facsímil")</f>
        <v>Abrir facsímil</v>
      </c>
      <c r="K532" s="15" t="s">
        <v>23</v>
      </c>
    </row>
    <row r="533" spans="1:11" ht="42" customHeight="1">
      <c r="A533" s="4" t="s">
        <v>1475</v>
      </c>
      <c r="B533" s="5" t="s">
        <v>1476</v>
      </c>
      <c r="C533" s="5" t="s">
        <v>42</v>
      </c>
      <c r="D533" s="5" t="s">
        <v>43</v>
      </c>
      <c r="E533" s="5" t="s">
        <v>44</v>
      </c>
      <c r="F533" s="9">
        <v>99</v>
      </c>
      <c r="G533" s="9" t="s">
        <v>45</v>
      </c>
      <c r="H533" s="5" t="s">
        <v>21</v>
      </c>
      <c r="I533" s="5" t="s">
        <v>1477</v>
      </c>
      <c r="J533" s="12" t="str">
        <f>HYPERLINK("https://www.boe.es/gazeta/dias/1802/12/07/pdfs/GMD-D-1802-99.pdf#page=14","Abrir facsímil")</f>
        <v>Abrir facsímil</v>
      </c>
      <c r="K533" s="15" t="s">
        <v>23</v>
      </c>
    </row>
    <row r="534" spans="1:11" ht="42" customHeight="1">
      <c r="A534" s="4" t="s">
        <v>1478</v>
      </c>
      <c r="B534" s="5" t="s">
        <v>1479</v>
      </c>
      <c r="C534" s="5" t="s">
        <v>42</v>
      </c>
      <c r="D534" s="5" t="s">
        <v>43</v>
      </c>
      <c r="E534" s="5" t="s">
        <v>44</v>
      </c>
      <c r="F534" s="9">
        <v>99</v>
      </c>
      <c r="G534" s="9" t="s">
        <v>537</v>
      </c>
      <c r="H534" s="5" t="s">
        <v>21</v>
      </c>
      <c r="I534" s="5" t="s">
        <v>1480</v>
      </c>
      <c r="J534" s="12" t="str">
        <f>HYPERLINK("https://www.boe.es/gazeta/dias/1802/12/07/pdfs/GMD-D-1802-99.pdf#page=9","Abrir facsímil")</f>
        <v>Abrir facsímil</v>
      </c>
      <c r="K534" s="15" t="s">
        <v>23</v>
      </c>
    </row>
    <row r="535" spans="1:11" ht="42" customHeight="1">
      <c r="A535" s="4" t="s">
        <v>1481</v>
      </c>
      <c r="B535" s="5" t="s">
        <v>1482</v>
      </c>
      <c r="C535" s="5" t="s">
        <v>42</v>
      </c>
      <c r="D535" s="5" t="s">
        <v>43</v>
      </c>
      <c r="E535" s="5" t="s">
        <v>44</v>
      </c>
      <c r="F535" s="9">
        <v>99</v>
      </c>
      <c r="G535" s="9" t="s">
        <v>272</v>
      </c>
      <c r="H535" s="5" t="s">
        <v>21</v>
      </c>
      <c r="I535" s="5" t="s">
        <v>1483</v>
      </c>
      <c r="J535" s="12" t="str">
        <f>HYPERLINK("https://www.boe.es/gazeta/dias/1802/12/07/pdfs/GMD-D-1802-99.pdf#page=3","Abrir facsímil")</f>
        <v>Abrir facsímil</v>
      </c>
      <c r="K535" s="15" t="s">
        <v>23</v>
      </c>
    </row>
    <row r="536" spans="1:11" ht="42" customHeight="1">
      <c r="A536" s="4" t="s">
        <v>1484</v>
      </c>
      <c r="B536" s="5" t="s">
        <v>1485</v>
      </c>
      <c r="C536" s="5" t="s">
        <v>29</v>
      </c>
      <c r="D536" s="5" t="s">
        <v>30</v>
      </c>
      <c r="E536" s="5" t="s">
        <v>206</v>
      </c>
      <c r="F536" s="9">
        <v>22</v>
      </c>
      <c r="G536" s="9">
        <v>242</v>
      </c>
      <c r="H536" s="5" t="s">
        <v>21</v>
      </c>
      <c r="I536" s="5" t="s">
        <v>1486</v>
      </c>
      <c r="J536" s="12" t="str">
        <f>HYPERLINK("https://www.boe.es/gazeta/dias/1802/03/16/pdfs/GMD-1802-22.pdf#page=10","Abrir facsímil")</f>
        <v>Abrir facsímil</v>
      </c>
      <c r="K536" s="15" t="s">
        <v>23</v>
      </c>
    </row>
    <row r="537" spans="1:11" ht="42" customHeight="1">
      <c r="A537" s="4" t="s">
        <v>1487</v>
      </c>
      <c r="B537" s="5" t="s">
        <v>1488</v>
      </c>
      <c r="C537" s="5" t="s">
        <v>42</v>
      </c>
      <c r="D537" s="5" t="s">
        <v>43</v>
      </c>
      <c r="E537" s="5" t="s">
        <v>44</v>
      </c>
      <c r="F537" s="9">
        <v>99</v>
      </c>
      <c r="G537" s="9" t="s">
        <v>554</v>
      </c>
      <c r="H537" s="5" t="s">
        <v>21</v>
      </c>
      <c r="I537" s="5" t="s">
        <v>1489</v>
      </c>
      <c r="J537" s="12" t="str">
        <f>HYPERLINK("https://www.boe.es/gazeta/dias/1802/12/07/pdfs/GMD-D-1802-99.pdf#page=4","Abrir facsímil")</f>
        <v>Abrir facsímil</v>
      </c>
      <c r="K537" s="15" t="s">
        <v>23</v>
      </c>
    </row>
    <row r="538" spans="1:11" ht="42" customHeight="1">
      <c r="A538" s="4" t="s">
        <v>1490</v>
      </c>
      <c r="B538" s="5" t="s">
        <v>1491</v>
      </c>
      <c r="C538" s="5" t="s">
        <v>42</v>
      </c>
      <c r="D538" s="5" t="s">
        <v>43</v>
      </c>
      <c r="E538" s="5" t="s">
        <v>44</v>
      </c>
      <c r="F538" s="9">
        <v>99</v>
      </c>
      <c r="G538" s="9" t="s">
        <v>295</v>
      </c>
      <c r="H538" s="5" t="s">
        <v>21</v>
      </c>
      <c r="I538" s="5" t="s">
        <v>1492</v>
      </c>
      <c r="J538" s="12" t="str">
        <f>HYPERLINK("https://www.boe.es/gazeta/dias/1802/12/07/pdfs/GMD-D-1802-99.pdf#page=7","Abrir facsímil")</f>
        <v>Abrir facsímil</v>
      </c>
      <c r="K538" s="15" t="s">
        <v>23</v>
      </c>
    </row>
    <row r="539" spans="1:11" ht="42" customHeight="1">
      <c r="A539" s="4" t="s">
        <v>1493</v>
      </c>
      <c r="B539" s="5" t="s">
        <v>1494</v>
      </c>
      <c r="C539" s="5" t="s">
        <v>160</v>
      </c>
      <c r="D539" s="5" t="s">
        <v>91</v>
      </c>
      <c r="E539" s="5" t="s">
        <v>328</v>
      </c>
      <c r="F539" s="9">
        <v>45</v>
      </c>
      <c r="G539" s="9">
        <v>546</v>
      </c>
      <c r="H539" s="5" t="s">
        <v>21</v>
      </c>
      <c r="I539" s="5" t="s">
        <v>1495</v>
      </c>
      <c r="J539" s="12" t="str">
        <f>HYPERLINK("https://www.boe.es/gazeta/dias/1802/06/04/pdfs/GMD-1802-45.pdf#page=10","Abrir facsímil")</f>
        <v>Abrir facsímil</v>
      </c>
      <c r="K539" s="15" t="s">
        <v>23</v>
      </c>
    </row>
    <row r="540" spans="1:11" ht="42" customHeight="1">
      <c r="A540" s="4" t="s">
        <v>1496</v>
      </c>
      <c r="B540" s="5" t="s">
        <v>1497</v>
      </c>
      <c r="C540" s="5" t="s">
        <v>42</v>
      </c>
      <c r="D540" s="5" t="s">
        <v>43</v>
      </c>
      <c r="E540" s="5" t="s">
        <v>44</v>
      </c>
      <c r="F540" s="9">
        <v>99</v>
      </c>
      <c r="G540" s="9" t="s">
        <v>295</v>
      </c>
      <c r="H540" s="5" t="s">
        <v>21</v>
      </c>
      <c r="I540" s="5" t="s">
        <v>1498</v>
      </c>
      <c r="J540" s="12" t="str">
        <f>HYPERLINK("https://www.boe.es/gazeta/dias/1802/12/07/pdfs/GMD-D-1802-99.pdf#page=7","Abrir facsímil")</f>
        <v>Abrir facsímil</v>
      </c>
      <c r="K540" s="15" t="s">
        <v>23</v>
      </c>
    </row>
    <row r="541" spans="1:11" ht="42" customHeight="1">
      <c r="A541" s="4" t="s">
        <v>1499</v>
      </c>
      <c r="B541" s="5" t="s">
        <v>1500</v>
      </c>
      <c r="C541" s="5" t="s">
        <v>90</v>
      </c>
      <c r="D541" s="5" t="s">
        <v>91</v>
      </c>
      <c r="E541" s="5" t="s">
        <v>678</v>
      </c>
      <c r="F541" s="9">
        <v>15</v>
      </c>
      <c r="G541" s="9">
        <v>158</v>
      </c>
      <c r="H541" s="5" t="s">
        <v>21</v>
      </c>
      <c r="I541" s="5" t="s">
        <v>1501</v>
      </c>
      <c r="J541" s="12" t="str">
        <f>HYPERLINK("https://www.boe.es/gazeta/dias/1802/02/19/pdfs/GMD-1802-15.pdf#page=10","Abrir facsímil")</f>
        <v>Abrir facsímil</v>
      </c>
      <c r="K541" s="15" t="s">
        <v>23</v>
      </c>
    </row>
    <row r="542" spans="1:11" ht="42" customHeight="1">
      <c r="A542" s="4" t="s">
        <v>1502</v>
      </c>
      <c r="B542" s="5" t="s">
        <v>1503</v>
      </c>
      <c r="C542" s="5" t="s">
        <v>18</v>
      </c>
      <c r="D542" s="5" t="s">
        <v>19</v>
      </c>
      <c r="E542" s="5" t="s">
        <v>20</v>
      </c>
      <c r="F542" s="9">
        <v>84</v>
      </c>
      <c r="G542" s="9">
        <v>1045</v>
      </c>
      <c r="H542" s="5" t="s">
        <v>21</v>
      </c>
      <c r="I542" s="5" t="s">
        <v>1504</v>
      </c>
      <c r="J542" s="12" t="str">
        <f>HYPERLINK("https://www.boe.es/gazeta/dias/1802/10/15/pdfs/GMD-1802-84.pdf#page=13","Abrir facsímil")</f>
        <v>Abrir facsímil</v>
      </c>
      <c r="K542" s="15" t="s">
        <v>23</v>
      </c>
    </row>
    <row r="543" spans="1:11" ht="42" customHeight="1">
      <c r="A543" s="4" t="s">
        <v>1505</v>
      </c>
      <c r="B543" s="5" t="s">
        <v>1506</v>
      </c>
      <c r="C543" s="5" t="s">
        <v>18</v>
      </c>
      <c r="D543" s="5" t="s">
        <v>19</v>
      </c>
      <c r="E543" s="5" t="s">
        <v>20</v>
      </c>
      <c r="F543" s="9">
        <v>84</v>
      </c>
      <c r="G543" s="9">
        <v>1047</v>
      </c>
      <c r="H543" s="5" t="s">
        <v>21</v>
      </c>
      <c r="I543" s="5" t="s">
        <v>1507</v>
      </c>
      <c r="J543" s="12" t="str">
        <f>HYPERLINK("https://www.boe.es/gazeta/dias/1802/10/15/pdfs/GMD-1802-84.pdf#page=15","Abrir facsímil")</f>
        <v>Abrir facsímil</v>
      </c>
      <c r="K543" s="15" t="s">
        <v>23</v>
      </c>
    </row>
    <row r="544" spans="1:11" ht="42" customHeight="1">
      <c r="A544" s="4" t="s">
        <v>1508</v>
      </c>
      <c r="B544" s="5" t="s">
        <v>1509</v>
      </c>
      <c r="C544" s="5" t="s">
        <v>35</v>
      </c>
      <c r="D544" s="5" t="s">
        <v>36</v>
      </c>
      <c r="E544" s="5" t="s">
        <v>219</v>
      </c>
      <c r="F544" s="9">
        <v>81</v>
      </c>
      <c r="G544" s="9">
        <v>992</v>
      </c>
      <c r="H544" s="5" t="s">
        <v>21</v>
      </c>
      <c r="I544" s="5" t="s">
        <v>1510</v>
      </c>
      <c r="J544" s="12" t="str">
        <f>HYPERLINK("https://www.boe.es/gazeta/dias/1802/10/05/pdfs/GMD-1802-81.pdf#page=4","Abrir facsímil")</f>
        <v>Abrir facsímil</v>
      </c>
      <c r="K544" s="15" t="s">
        <v>23</v>
      </c>
    </row>
    <row r="545" spans="1:11" ht="42" customHeight="1">
      <c r="A545" s="4" t="s">
        <v>1511</v>
      </c>
      <c r="B545" s="5" t="s">
        <v>1512</v>
      </c>
      <c r="C545" s="5" t="s">
        <v>35</v>
      </c>
      <c r="D545" s="5" t="s">
        <v>36</v>
      </c>
      <c r="E545" s="5" t="s">
        <v>491</v>
      </c>
      <c r="F545" s="9">
        <v>57</v>
      </c>
      <c r="G545" s="9">
        <v>688</v>
      </c>
      <c r="H545" s="5" t="s">
        <v>21</v>
      </c>
      <c r="I545" s="5" t="s">
        <v>1513</v>
      </c>
      <c r="J545" s="12" t="str">
        <f>HYPERLINK("https://www.boe.es/gazeta/dias/1802/07/16/pdfs/GMD-1802-57.pdf#page=8","Abrir facsímil")</f>
        <v>Abrir facsímil</v>
      </c>
      <c r="K545" s="15" t="s">
        <v>23</v>
      </c>
    </row>
    <row r="546" spans="1:11" ht="42" customHeight="1">
      <c r="A546" s="4" t="s">
        <v>1514</v>
      </c>
      <c r="B546" s="5" t="s">
        <v>1515</v>
      </c>
      <c r="C546" s="5" t="s">
        <v>90</v>
      </c>
      <c r="D546" s="5" t="s">
        <v>91</v>
      </c>
      <c r="E546" s="5" t="s">
        <v>128</v>
      </c>
      <c r="F546" s="9">
        <v>9</v>
      </c>
      <c r="G546" s="9">
        <v>89</v>
      </c>
      <c r="H546" s="5" t="s">
        <v>21</v>
      </c>
      <c r="I546" s="5" t="s">
        <v>1516</v>
      </c>
      <c r="J546" s="12" t="str">
        <f>HYPERLINK("https://www.boe.es/gazeta/dias/1802/01/29/pdfs/GMD-1802-9.pdf#page=9","Abrir facsímil")</f>
        <v>Abrir facsímil</v>
      </c>
      <c r="K546" s="15" t="s">
        <v>23</v>
      </c>
    </row>
    <row r="547" spans="1:11" ht="42" customHeight="1">
      <c r="A547" s="4" t="s">
        <v>1517</v>
      </c>
      <c r="B547" s="5" t="s">
        <v>1518</v>
      </c>
      <c r="C547" s="5" t="s">
        <v>18</v>
      </c>
      <c r="D547" s="5" t="s">
        <v>19</v>
      </c>
      <c r="E547" s="5" t="s">
        <v>20</v>
      </c>
      <c r="F547" s="9">
        <v>84</v>
      </c>
      <c r="G547" s="9">
        <v>1041</v>
      </c>
      <c r="H547" s="5" t="s">
        <v>21</v>
      </c>
      <c r="I547" s="5" t="s">
        <v>1519</v>
      </c>
      <c r="J547" s="12" t="str">
        <f>HYPERLINK("https://www.boe.es/gazeta/dias/1802/10/15/pdfs/GMD-1802-84.pdf#page=9","Abrir facsímil")</f>
        <v>Abrir facsímil</v>
      </c>
      <c r="K547" s="15" t="s">
        <v>23</v>
      </c>
    </row>
    <row r="548" spans="1:11" ht="42" customHeight="1">
      <c r="A548" s="4" t="s">
        <v>1520</v>
      </c>
      <c r="B548" s="5" t="s">
        <v>1521</v>
      </c>
      <c r="C548" s="5" t="s">
        <v>35</v>
      </c>
      <c r="D548" s="5" t="s">
        <v>36</v>
      </c>
      <c r="E548" s="5" t="s">
        <v>276</v>
      </c>
      <c r="F548" s="9">
        <v>75</v>
      </c>
      <c r="G548" s="9">
        <v>919</v>
      </c>
      <c r="H548" s="5" t="s">
        <v>21</v>
      </c>
      <c r="I548" s="5" t="s">
        <v>1522</v>
      </c>
      <c r="J548" s="12" t="str">
        <f>HYPERLINK("https://www.boe.es/gazeta/dias/1802/09/14/pdfs/GMD-1802-75.pdf#page=3","Abrir facsímil")</f>
        <v>Abrir facsímil</v>
      </c>
      <c r="K548" s="15" t="s">
        <v>23</v>
      </c>
    </row>
    <row r="549" spans="1:11" ht="42" customHeight="1">
      <c r="A549" s="4" t="s">
        <v>1523</v>
      </c>
      <c r="B549" s="5" t="s">
        <v>1524</v>
      </c>
      <c r="C549" s="5" t="s">
        <v>35</v>
      </c>
      <c r="D549" s="5" t="s">
        <v>36</v>
      </c>
      <c r="E549" s="5" t="s">
        <v>276</v>
      </c>
      <c r="F549" s="9">
        <v>75</v>
      </c>
      <c r="G549" s="9">
        <v>918</v>
      </c>
      <c r="H549" s="5" t="s">
        <v>21</v>
      </c>
      <c r="I549" s="5" t="s">
        <v>1525</v>
      </c>
      <c r="J549" s="12" t="str">
        <f>HYPERLINK("https://www.boe.es/gazeta/dias/1802/09/14/pdfs/GMD-1802-75.pdf#page=2","Abrir facsímil")</f>
        <v>Abrir facsímil</v>
      </c>
      <c r="K549" s="15" t="s">
        <v>23</v>
      </c>
    </row>
    <row r="550" spans="1:11" ht="42" customHeight="1">
      <c r="A550" s="4" t="s">
        <v>1526</v>
      </c>
      <c r="B550" s="5" t="s">
        <v>1527</v>
      </c>
      <c r="C550" s="5" t="s">
        <v>35</v>
      </c>
      <c r="D550" s="5" t="s">
        <v>36</v>
      </c>
      <c r="E550" s="5" t="s">
        <v>907</v>
      </c>
      <c r="F550" s="9">
        <v>77</v>
      </c>
      <c r="G550" s="9">
        <v>943</v>
      </c>
      <c r="H550" s="5" t="s">
        <v>21</v>
      </c>
      <c r="I550" s="5" t="s">
        <v>1528</v>
      </c>
      <c r="J550" s="12" t="str">
        <f>HYPERLINK("https://www.boe.es/gazeta/dias/1802/09/21/pdfs/GMD-1802-77.pdf#page=3","Abrir facsímil")</f>
        <v>Abrir facsímil</v>
      </c>
      <c r="K550" s="15" t="s">
        <v>23</v>
      </c>
    </row>
    <row r="551" spans="1:11" ht="42" customHeight="1">
      <c r="A551" s="4" t="s">
        <v>1529</v>
      </c>
      <c r="B551" s="5" t="s">
        <v>1529</v>
      </c>
      <c r="C551" s="5" t="s">
        <v>35</v>
      </c>
      <c r="D551" s="5" t="s">
        <v>36</v>
      </c>
      <c r="E551" s="5" t="s">
        <v>764</v>
      </c>
      <c r="F551" s="9">
        <v>69</v>
      </c>
      <c r="G551" s="9">
        <v>847</v>
      </c>
      <c r="H551" s="5" t="s">
        <v>21</v>
      </c>
      <c r="I551" s="5" t="s">
        <v>1530</v>
      </c>
      <c r="J551" s="12" t="str">
        <f>HYPERLINK("https://www.boe.es/gazeta/dias/1802/08/24/pdfs/GMD-1802-69.pdf#page=7","Abrir facsímil")</f>
        <v>Abrir facsímil</v>
      </c>
      <c r="K551" s="15" t="s">
        <v>23</v>
      </c>
    </row>
    <row r="552" spans="1:11" ht="42" customHeight="1">
      <c r="A552" s="4" t="s">
        <v>1531</v>
      </c>
      <c r="B552" s="5" t="s">
        <v>1531</v>
      </c>
      <c r="C552" s="5" t="s">
        <v>35</v>
      </c>
      <c r="D552" s="5" t="s">
        <v>36</v>
      </c>
      <c r="E552" s="5" t="s">
        <v>814</v>
      </c>
      <c r="F552" s="9">
        <v>41</v>
      </c>
      <c r="G552" s="9">
        <v>485</v>
      </c>
      <c r="H552" s="5" t="s">
        <v>21</v>
      </c>
      <c r="I552" s="5" t="s">
        <v>1532</v>
      </c>
      <c r="J552" s="12" t="str">
        <f>HYPERLINK("https://www.boe.es/gazeta/dias/1802/05/21/pdfs/GMD-1802-41.pdf#page=1","Abrir facsímil")</f>
        <v>Abrir facsímil</v>
      </c>
      <c r="K552" s="15" t="s">
        <v>23</v>
      </c>
    </row>
    <row r="553" spans="1:11" ht="42" customHeight="1">
      <c r="A553" s="4" t="s">
        <v>1533</v>
      </c>
      <c r="B553" s="5" t="s">
        <v>1533</v>
      </c>
      <c r="C553" s="5" t="s">
        <v>42</v>
      </c>
      <c r="D553" s="5" t="s">
        <v>43</v>
      </c>
      <c r="E553" s="5" t="s">
        <v>44</v>
      </c>
      <c r="F553" s="9">
        <v>99</v>
      </c>
      <c r="G553" s="9" t="s">
        <v>272</v>
      </c>
      <c r="H553" s="5" t="s">
        <v>21</v>
      </c>
      <c r="I553" s="5" t="s">
        <v>1534</v>
      </c>
      <c r="J553" s="12" t="str">
        <f>HYPERLINK("https://www.boe.es/gazeta/dias/1802/12/07/pdfs/GMD-D-1802-99.pdf#page=3","Abrir facsímil")</f>
        <v>Abrir facsímil</v>
      </c>
      <c r="K553" s="15" t="s">
        <v>23</v>
      </c>
    </row>
    <row r="554" spans="1:11" ht="42" customHeight="1">
      <c r="A554" s="4" t="s">
        <v>1535</v>
      </c>
      <c r="B554" s="5" t="s">
        <v>1535</v>
      </c>
      <c r="C554" s="5" t="s">
        <v>18</v>
      </c>
      <c r="D554" s="5" t="s">
        <v>19</v>
      </c>
      <c r="E554" s="5" t="s">
        <v>20</v>
      </c>
      <c r="F554" s="9">
        <v>84</v>
      </c>
      <c r="G554" s="9">
        <v>1045</v>
      </c>
      <c r="H554" s="5" t="s">
        <v>21</v>
      </c>
      <c r="I554" s="5" t="s">
        <v>1536</v>
      </c>
      <c r="J554" s="12" t="str">
        <f>HYPERLINK("https://www.boe.es/gazeta/dias/1802/10/15/pdfs/GMD-1802-84.pdf#page=13","Abrir facsímil")</f>
        <v>Abrir facsímil</v>
      </c>
      <c r="K554" s="15" t="s">
        <v>23</v>
      </c>
    </row>
    <row r="555" spans="1:11" ht="42" customHeight="1">
      <c r="A555" s="4" t="s">
        <v>1537</v>
      </c>
      <c r="B555" s="5" t="s">
        <v>1537</v>
      </c>
      <c r="C555" s="5" t="s">
        <v>29</v>
      </c>
      <c r="D555" s="5" t="s">
        <v>30</v>
      </c>
      <c r="E555" s="5" t="s">
        <v>635</v>
      </c>
      <c r="F555" s="9">
        <v>47</v>
      </c>
      <c r="G555" s="9">
        <v>573</v>
      </c>
      <c r="H555" s="5" t="s">
        <v>21</v>
      </c>
      <c r="I555" s="5" t="s">
        <v>1538</v>
      </c>
      <c r="J555" s="12" t="str">
        <f>HYPERLINK("https://www.boe.es/gazeta/dias/1802/06/11/pdfs/GMD-1802-47.pdf#page=9","Abrir facsímil")</f>
        <v>Abrir facsímil</v>
      </c>
      <c r="K555" s="15" t="s">
        <v>23</v>
      </c>
    </row>
    <row r="556" spans="1:11" ht="42" customHeight="1">
      <c r="A556" s="4" t="s">
        <v>1539</v>
      </c>
      <c r="B556" s="5" t="s">
        <v>1540</v>
      </c>
      <c r="C556" s="5" t="s">
        <v>18</v>
      </c>
      <c r="D556" s="5" t="s">
        <v>19</v>
      </c>
      <c r="E556" s="5" t="s">
        <v>20</v>
      </c>
      <c r="F556" s="9">
        <v>84</v>
      </c>
      <c r="G556" s="9">
        <v>1041</v>
      </c>
      <c r="H556" s="5" t="s">
        <v>21</v>
      </c>
      <c r="I556" s="5" t="s">
        <v>1541</v>
      </c>
      <c r="J556" s="12" t="str">
        <f>HYPERLINK("https://www.boe.es/gazeta/dias/1802/10/15/pdfs/GMD-1802-84.pdf#page=9","Abrir facsímil")</f>
        <v>Abrir facsímil</v>
      </c>
      <c r="K556" s="15" t="s">
        <v>23</v>
      </c>
    </row>
    <row r="557" spans="1:11" ht="42" customHeight="1">
      <c r="A557" s="4" t="s">
        <v>1542</v>
      </c>
      <c r="B557" s="5" t="s">
        <v>1543</v>
      </c>
      <c r="C557" s="5" t="s">
        <v>42</v>
      </c>
      <c r="D557" s="5" t="s">
        <v>43</v>
      </c>
      <c r="E557" s="5" t="s">
        <v>44</v>
      </c>
      <c r="F557" s="9">
        <v>99</v>
      </c>
      <c r="G557" s="9" t="s">
        <v>550</v>
      </c>
      <c r="H557" s="5" t="s">
        <v>21</v>
      </c>
      <c r="I557" s="5" t="s">
        <v>1544</v>
      </c>
      <c r="J557" s="12" t="str">
        <f>HYPERLINK("https://www.boe.es/gazeta/dias/1802/12/07/pdfs/GMD-D-1802-99.pdf#page=16","Abrir facsímil")</f>
        <v>Abrir facsímil</v>
      </c>
      <c r="K557" s="15" t="s">
        <v>23</v>
      </c>
    </row>
    <row r="558" spans="1:11" ht="42" customHeight="1">
      <c r="A558" s="4" t="s">
        <v>1545</v>
      </c>
      <c r="B558" s="5" t="s">
        <v>1546</v>
      </c>
      <c r="C558" s="5" t="s">
        <v>18</v>
      </c>
      <c r="D558" s="5" t="s">
        <v>19</v>
      </c>
      <c r="E558" s="5" t="s">
        <v>49</v>
      </c>
      <c r="F558" s="9">
        <v>83</v>
      </c>
      <c r="G558" s="9">
        <v>1025</v>
      </c>
      <c r="H558" s="5" t="s">
        <v>21</v>
      </c>
      <c r="I558" s="5" t="s">
        <v>1547</v>
      </c>
      <c r="J558" s="12" t="str">
        <f>HYPERLINK("https://www.boe.es/gazeta/dias/1802/10/12/pdfs/GMD-1802-83.pdf#page=13","Abrir facsímil")</f>
        <v>Abrir facsímil</v>
      </c>
      <c r="K558" s="15" t="s">
        <v>23</v>
      </c>
    </row>
    <row r="559" spans="1:11" ht="42" customHeight="1">
      <c r="A559" s="4" t="s">
        <v>1548</v>
      </c>
      <c r="B559" s="5" t="s">
        <v>1549</v>
      </c>
      <c r="C559" s="5" t="s">
        <v>42</v>
      </c>
      <c r="D559" s="5" t="s">
        <v>43</v>
      </c>
      <c r="E559" s="5" t="s">
        <v>44</v>
      </c>
      <c r="F559" s="9">
        <v>99</v>
      </c>
      <c r="G559" s="9" t="s">
        <v>295</v>
      </c>
      <c r="H559" s="5" t="s">
        <v>21</v>
      </c>
      <c r="I559" s="5" t="s">
        <v>1550</v>
      </c>
      <c r="J559" s="12" t="str">
        <f>HYPERLINK("https://www.boe.es/gazeta/dias/1802/12/07/pdfs/GMD-D-1802-99.pdf#page=7","Abrir facsímil")</f>
        <v>Abrir facsímil</v>
      </c>
      <c r="K559" s="15" t="s">
        <v>23</v>
      </c>
    </row>
    <row r="560" spans="1:11" ht="42" customHeight="1">
      <c r="A560" s="4" t="s">
        <v>1551</v>
      </c>
      <c r="B560" s="5" t="s">
        <v>1552</v>
      </c>
      <c r="C560" s="5" t="s">
        <v>29</v>
      </c>
      <c r="D560" s="5" t="s">
        <v>30</v>
      </c>
      <c r="E560" s="5" t="s">
        <v>128</v>
      </c>
      <c r="F560" s="9">
        <v>9</v>
      </c>
      <c r="G560" s="9">
        <v>89</v>
      </c>
      <c r="H560" s="5" t="s">
        <v>21</v>
      </c>
      <c r="I560" s="5" t="s">
        <v>1553</v>
      </c>
      <c r="J560" s="12" t="str">
        <f>HYPERLINK("https://www.boe.es/gazeta/dias/1802/01/29/pdfs/GMD-1802-9.pdf#page=9","Abrir facsímil")</f>
        <v>Abrir facsímil</v>
      </c>
      <c r="K560" s="15" t="s">
        <v>23</v>
      </c>
    </row>
    <row r="561" spans="1:11" ht="42" customHeight="1">
      <c r="A561" s="4" t="s">
        <v>1554</v>
      </c>
      <c r="B561" s="5" t="s">
        <v>1554</v>
      </c>
      <c r="C561" s="5" t="s">
        <v>29</v>
      </c>
      <c r="D561" s="5" t="s">
        <v>30</v>
      </c>
      <c r="E561" s="5" t="s">
        <v>181</v>
      </c>
      <c r="F561" s="9">
        <v>55</v>
      </c>
      <c r="G561" s="9">
        <v>663</v>
      </c>
      <c r="H561" s="5" t="s">
        <v>21</v>
      </c>
      <c r="I561" s="5" t="s">
        <v>1555</v>
      </c>
      <c r="J561" s="12" t="str">
        <f>HYPERLINK("https://www.boe.es/gazeta/dias/1802/07/09/pdfs/GMD-1802-55.pdf#page=7","Abrir facsímil")</f>
        <v>Abrir facsímil</v>
      </c>
      <c r="K561" s="15" t="s">
        <v>23</v>
      </c>
    </row>
    <row r="562" spans="1:11" ht="42" customHeight="1">
      <c r="A562" s="4" t="s">
        <v>1556</v>
      </c>
      <c r="B562" s="5" t="s">
        <v>1557</v>
      </c>
      <c r="C562" s="5" t="s">
        <v>90</v>
      </c>
      <c r="D562" s="5" t="s">
        <v>91</v>
      </c>
      <c r="E562" s="5" t="s">
        <v>678</v>
      </c>
      <c r="F562" s="9">
        <v>15</v>
      </c>
      <c r="G562" s="9">
        <v>158</v>
      </c>
      <c r="H562" s="5" t="s">
        <v>21</v>
      </c>
      <c r="I562" s="5" t="s">
        <v>1558</v>
      </c>
      <c r="J562" s="12" t="str">
        <f>HYPERLINK("https://www.boe.es/gazeta/dias/1802/02/19/pdfs/GMD-1802-15.pdf#page=10","Abrir facsímil")</f>
        <v>Abrir facsímil</v>
      </c>
      <c r="K562" s="15" t="s">
        <v>23</v>
      </c>
    </row>
    <row r="563" spans="1:11" ht="42" customHeight="1">
      <c r="A563" s="4" t="s">
        <v>1559</v>
      </c>
      <c r="B563" s="5" t="s">
        <v>1560</v>
      </c>
      <c r="C563" s="5" t="s">
        <v>18</v>
      </c>
      <c r="D563" s="5" t="s">
        <v>19</v>
      </c>
      <c r="E563" s="5" t="s">
        <v>20</v>
      </c>
      <c r="F563" s="9">
        <v>84</v>
      </c>
      <c r="G563" s="9">
        <v>1045</v>
      </c>
      <c r="H563" s="5" t="s">
        <v>21</v>
      </c>
      <c r="I563" s="5" t="s">
        <v>1561</v>
      </c>
      <c r="J563" s="12" t="str">
        <f>HYPERLINK("https://www.boe.es/gazeta/dias/1802/10/15/pdfs/GMD-1802-84.pdf#page=13","Abrir facsímil")</f>
        <v>Abrir facsímil</v>
      </c>
      <c r="K563" s="15" t="s">
        <v>23</v>
      </c>
    </row>
    <row r="564" spans="1:11" ht="42" customHeight="1">
      <c r="A564" s="4" t="s">
        <v>1562</v>
      </c>
      <c r="B564" s="5" t="s">
        <v>1563</v>
      </c>
      <c r="C564" s="5" t="s">
        <v>29</v>
      </c>
      <c r="D564" s="5" t="s">
        <v>30</v>
      </c>
      <c r="E564" s="5" t="s">
        <v>109</v>
      </c>
      <c r="F564" s="9">
        <v>10</v>
      </c>
      <c r="G564" s="9">
        <v>94</v>
      </c>
      <c r="H564" s="5" t="s">
        <v>21</v>
      </c>
      <c r="I564" s="5" t="s">
        <v>1564</v>
      </c>
      <c r="J564" s="12" t="str">
        <f>HYPERLINK("https://www.boe.es/gazeta/dias/1802/02/02/pdfs/GMD-1802-10.pdf#page=2","Abrir facsímil")</f>
        <v>Abrir facsímil</v>
      </c>
      <c r="K564" s="15" t="s">
        <v>23</v>
      </c>
    </row>
    <row r="565" spans="1:11" ht="42" customHeight="1">
      <c r="A565" s="4" t="s">
        <v>1565</v>
      </c>
      <c r="B565" s="5" t="s">
        <v>1566</v>
      </c>
      <c r="C565" s="5" t="s">
        <v>29</v>
      </c>
      <c r="D565" s="5" t="s">
        <v>30</v>
      </c>
      <c r="E565" s="5" t="s">
        <v>86</v>
      </c>
      <c r="F565" s="9">
        <v>26</v>
      </c>
      <c r="G565" s="9">
        <v>290</v>
      </c>
      <c r="H565" s="5" t="s">
        <v>21</v>
      </c>
      <c r="I565" s="5" t="s">
        <v>1567</v>
      </c>
      <c r="J565" s="12" t="str">
        <f>HYPERLINK("https://www.boe.es/gazeta/dias/1802/03/30/pdfs/GMD-1802-26.pdf#page=2","Abrir facsímil")</f>
        <v>Abrir facsímil</v>
      </c>
      <c r="K565" s="15" t="s">
        <v>23</v>
      </c>
    </row>
    <row r="566" spans="1:11" ht="42" customHeight="1">
      <c r="A566" s="4" t="s">
        <v>1568</v>
      </c>
      <c r="B566" s="5" t="s">
        <v>1568</v>
      </c>
      <c r="C566" s="5" t="s">
        <v>55</v>
      </c>
      <c r="D566" s="5" t="s">
        <v>56</v>
      </c>
      <c r="E566" s="5" t="s">
        <v>86</v>
      </c>
      <c r="F566" s="9">
        <v>26</v>
      </c>
      <c r="G566" s="9">
        <v>299</v>
      </c>
      <c r="H566" s="5" t="s">
        <v>21</v>
      </c>
      <c r="I566" s="5" t="s">
        <v>1569</v>
      </c>
      <c r="J566" s="12" t="str">
        <f>HYPERLINK("https://www.boe.es/gazeta/dias/1802/03/30/pdfs/GMD-1802-26.pdf#page=11","Abrir facsímil")</f>
        <v>Abrir facsímil</v>
      </c>
      <c r="K566" s="15" t="s">
        <v>23</v>
      </c>
    </row>
    <row r="567" spans="1:11" ht="42" customHeight="1">
      <c r="A567" s="4" t="s">
        <v>1568</v>
      </c>
      <c r="B567" s="5" t="s">
        <v>1568</v>
      </c>
      <c r="C567" s="5" t="s">
        <v>55</v>
      </c>
      <c r="D567" s="5" t="s">
        <v>56</v>
      </c>
      <c r="E567" s="5" t="s">
        <v>429</v>
      </c>
      <c r="F567" s="9">
        <v>91</v>
      </c>
      <c r="G567" s="9">
        <v>1131</v>
      </c>
      <c r="H567" s="5" t="s">
        <v>21</v>
      </c>
      <c r="I567" s="5" t="s">
        <v>1570</v>
      </c>
      <c r="J567" s="12" t="str">
        <f>HYPERLINK("https://www.boe.es/gazeta/dias/1802/11/09/pdfs/GMD-1802-91.pdf#page=11","Abrir facsímil")</f>
        <v>Abrir facsímil</v>
      </c>
      <c r="K567" s="15" t="s">
        <v>23</v>
      </c>
    </row>
    <row r="568" spans="1:11" ht="42" customHeight="1">
      <c r="A568" s="4" t="s">
        <v>1571</v>
      </c>
      <c r="B568" s="5" t="s">
        <v>1572</v>
      </c>
      <c r="C568" s="5" t="s">
        <v>35</v>
      </c>
      <c r="D568" s="5" t="s">
        <v>36</v>
      </c>
      <c r="E568" s="5" t="s">
        <v>131</v>
      </c>
      <c r="F568" s="9">
        <v>11</v>
      </c>
      <c r="G568" s="9">
        <v>112</v>
      </c>
      <c r="H568" s="5" t="s">
        <v>21</v>
      </c>
      <c r="I568" s="5" t="s">
        <v>1573</v>
      </c>
      <c r="J568" s="12" t="str">
        <f>HYPERLINK("https://www.boe.es/gazeta/dias/1802/02/05/pdfs/GMD-1802-11.pdf#page=8","Abrir facsímil")</f>
        <v>Abrir facsímil</v>
      </c>
      <c r="K568" s="15" t="s">
        <v>23</v>
      </c>
    </row>
    <row r="569" spans="1:11" ht="42" customHeight="1">
      <c r="A569" s="4" t="s">
        <v>1574</v>
      </c>
      <c r="B569" s="5" t="s">
        <v>1574</v>
      </c>
      <c r="C569" s="5" t="s">
        <v>55</v>
      </c>
      <c r="D569" s="5" t="s">
        <v>56</v>
      </c>
      <c r="E569" s="5" t="s">
        <v>109</v>
      </c>
      <c r="F569" s="9">
        <v>10</v>
      </c>
      <c r="G569" s="9">
        <v>100</v>
      </c>
      <c r="H569" s="5" t="s">
        <v>21</v>
      </c>
      <c r="I569" s="5" t="s">
        <v>1575</v>
      </c>
      <c r="J569" s="12" t="str">
        <f>HYPERLINK("https://www.boe.es/gazeta/dias/1802/02/02/pdfs/GMD-1802-10.pdf#page=8","Abrir facsímil")</f>
        <v>Abrir facsímil</v>
      </c>
      <c r="K569" s="15" t="s">
        <v>23</v>
      </c>
    </row>
    <row r="570" spans="1:11" ht="42" customHeight="1">
      <c r="A570" s="4" t="s">
        <v>1576</v>
      </c>
      <c r="B570" s="5" t="s">
        <v>1577</v>
      </c>
      <c r="C570" s="5" t="s">
        <v>18</v>
      </c>
      <c r="D570" s="5" t="s">
        <v>19</v>
      </c>
      <c r="E570" s="5" t="s">
        <v>152</v>
      </c>
      <c r="F570" s="9">
        <v>25</v>
      </c>
      <c r="G570" s="9">
        <v>283</v>
      </c>
      <c r="H570" s="5" t="s">
        <v>21</v>
      </c>
      <c r="I570" s="5" t="s">
        <v>1578</v>
      </c>
      <c r="J570" s="12" t="str">
        <f>HYPERLINK("https://www.boe.es/gazeta/dias/1802/03/26/pdfs/GMD-1802-25.pdf#page=7","Abrir facsímil")</f>
        <v>Abrir facsímil</v>
      </c>
      <c r="K570" s="15" t="s">
        <v>23</v>
      </c>
    </row>
    <row r="571" spans="1:11" ht="42" customHeight="1">
      <c r="A571" s="4" t="s">
        <v>1576</v>
      </c>
      <c r="B571" s="5" t="s">
        <v>1577</v>
      </c>
      <c r="C571" s="5" t="s">
        <v>35</v>
      </c>
      <c r="D571" s="5" t="s">
        <v>36</v>
      </c>
      <c r="E571" s="5" t="s">
        <v>1264</v>
      </c>
      <c r="F571" s="9">
        <v>105</v>
      </c>
      <c r="G571" s="9">
        <v>1285</v>
      </c>
      <c r="H571" s="5" t="s">
        <v>21</v>
      </c>
      <c r="I571" s="5" t="s">
        <v>1579</v>
      </c>
      <c r="J571" s="12" t="str">
        <f>HYPERLINK("https://www.boe.es/gazeta/dias/1802/12/28/pdfs/GMD-1802-105.pdf#page=9","Abrir facsímil")</f>
        <v>Abrir facsímil</v>
      </c>
      <c r="K571" s="15" t="s">
        <v>23</v>
      </c>
    </row>
    <row r="572" spans="1:11" ht="42" customHeight="1">
      <c r="A572" s="4" t="s">
        <v>1580</v>
      </c>
      <c r="B572" s="5" t="s">
        <v>1581</v>
      </c>
      <c r="C572" s="5" t="s">
        <v>18</v>
      </c>
      <c r="D572" s="5" t="s">
        <v>19</v>
      </c>
      <c r="E572" s="5" t="s">
        <v>20</v>
      </c>
      <c r="F572" s="9">
        <v>84</v>
      </c>
      <c r="G572" s="9">
        <v>1042</v>
      </c>
      <c r="H572" s="5" t="s">
        <v>21</v>
      </c>
      <c r="I572" s="5" t="s">
        <v>1582</v>
      </c>
      <c r="J572" s="12" t="str">
        <f>HYPERLINK("https://www.boe.es/gazeta/dias/1802/10/15/pdfs/GMD-1802-84.pdf#page=10","Abrir facsímil")</f>
        <v>Abrir facsímil</v>
      </c>
      <c r="K572" s="15" t="s">
        <v>23</v>
      </c>
    </row>
    <row r="573" spans="1:11" ht="42" customHeight="1">
      <c r="A573" s="4" t="s">
        <v>1583</v>
      </c>
      <c r="B573" s="5" t="s">
        <v>1584</v>
      </c>
      <c r="C573" s="5" t="s">
        <v>35</v>
      </c>
      <c r="D573" s="5" t="s">
        <v>36</v>
      </c>
      <c r="E573" s="5" t="s">
        <v>92</v>
      </c>
      <c r="F573" s="9">
        <v>29</v>
      </c>
      <c r="G573" s="9">
        <v>338</v>
      </c>
      <c r="H573" s="5" t="s">
        <v>21</v>
      </c>
      <c r="I573" s="5" t="s">
        <v>1585</v>
      </c>
      <c r="J573" s="12" t="str">
        <f>HYPERLINK("https://www.boe.es/gazeta/dias/1802/04/09/pdfs/GMD-1802-29.pdf#page=6","Abrir facsímil")</f>
        <v>Abrir facsímil</v>
      </c>
      <c r="K573" s="15" t="s">
        <v>23</v>
      </c>
    </row>
    <row r="574" spans="1:11" ht="42" customHeight="1">
      <c r="A574" s="4" t="s">
        <v>1586</v>
      </c>
      <c r="B574" s="5" t="s">
        <v>1587</v>
      </c>
      <c r="C574" s="5" t="s">
        <v>29</v>
      </c>
      <c r="D574" s="5" t="s">
        <v>30</v>
      </c>
      <c r="E574" s="5" t="s">
        <v>1588</v>
      </c>
      <c r="F574" s="9">
        <v>18</v>
      </c>
      <c r="G574" s="9">
        <v>189</v>
      </c>
      <c r="H574" s="5" t="s">
        <v>21</v>
      </c>
      <c r="I574" s="5" t="s">
        <v>1589</v>
      </c>
      <c r="J574" s="12" t="str">
        <f>HYPERLINK("https://www.boe.es/gazeta/dias/1802/03/02/pdfs/GMD-1802-18.pdf#page=1","Abrir facsímil")</f>
        <v>Abrir facsímil</v>
      </c>
      <c r="K574" s="15" t="s">
        <v>23</v>
      </c>
    </row>
    <row r="575" spans="1:11" ht="42" customHeight="1">
      <c r="A575" s="4" t="s">
        <v>1590</v>
      </c>
      <c r="B575" s="5" t="s">
        <v>1591</v>
      </c>
      <c r="C575" s="5" t="s">
        <v>35</v>
      </c>
      <c r="D575" s="5" t="s">
        <v>36</v>
      </c>
      <c r="E575" s="5" t="s">
        <v>381</v>
      </c>
      <c r="F575" s="9">
        <v>13</v>
      </c>
      <c r="G575" s="9">
        <v>125</v>
      </c>
      <c r="H575" s="5" t="s">
        <v>21</v>
      </c>
      <c r="I575" s="5" t="s">
        <v>1592</v>
      </c>
      <c r="J575" s="12" t="str">
        <f>HYPERLINK("https://www.boe.es/gazeta/dias/1802/02/12/pdfs/GMD-1802-13.pdf#page=1","Abrir facsímil")</f>
        <v>Abrir facsímil</v>
      </c>
      <c r="K575" s="15" t="s">
        <v>23</v>
      </c>
    </row>
    <row r="576" spans="1:11" ht="42" customHeight="1">
      <c r="A576" s="4" t="s">
        <v>1593</v>
      </c>
      <c r="B576" s="5" t="s">
        <v>1594</v>
      </c>
      <c r="C576" s="5" t="s">
        <v>29</v>
      </c>
      <c r="D576" s="5" t="s">
        <v>30</v>
      </c>
      <c r="E576" s="5" t="s">
        <v>1374</v>
      </c>
      <c r="F576" s="9">
        <v>71</v>
      </c>
      <c r="G576" s="9">
        <v>866</v>
      </c>
      <c r="H576" s="5" t="s">
        <v>21</v>
      </c>
      <c r="I576" s="5" t="s">
        <v>1595</v>
      </c>
      <c r="J576" s="12" t="str">
        <f>HYPERLINK("https://www.boe.es/gazeta/dias/1802/08/31/pdfs/GMD-1802-71.pdf#page=2","Abrir facsímil")</f>
        <v>Abrir facsímil</v>
      </c>
      <c r="K576" s="15" t="s">
        <v>23</v>
      </c>
    </row>
    <row r="577" spans="1:11" ht="42" customHeight="1">
      <c r="A577" s="4" t="s">
        <v>1596</v>
      </c>
      <c r="B577" s="5" t="s">
        <v>1597</v>
      </c>
      <c r="C577" s="5" t="s">
        <v>55</v>
      </c>
      <c r="D577" s="5" t="s">
        <v>56</v>
      </c>
      <c r="E577" s="5" t="s">
        <v>71</v>
      </c>
      <c r="F577" s="9">
        <v>21</v>
      </c>
      <c r="G577" s="9">
        <v>236</v>
      </c>
      <c r="H577" s="5" t="s">
        <v>21</v>
      </c>
      <c r="I577" s="5" t="s">
        <v>1598</v>
      </c>
      <c r="J577" s="12" t="str">
        <f>HYPERLINK("https://www.boe.es/gazeta/dias/1802/03/12/pdfs/GMD-1802-21.pdf#page=12","Abrir facsímil")</f>
        <v>Abrir facsímil</v>
      </c>
      <c r="K577" s="15" t="s">
        <v>23</v>
      </c>
    </row>
    <row r="578" spans="1:11" ht="42" customHeight="1">
      <c r="A578" s="4" t="s">
        <v>1599</v>
      </c>
      <c r="B578" s="5" t="s">
        <v>1600</v>
      </c>
      <c r="C578" s="5" t="s">
        <v>18</v>
      </c>
      <c r="D578" s="5" t="s">
        <v>19</v>
      </c>
      <c r="E578" s="5" t="s">
        <v>49</v>
      </c>
      <c r="F578" s="9">
        <v>83</v>
      </c>
      <c r="G578" s="9">
        <v>1023</v>
      </c>
      <c r="H578" s="5" t="s">
        <v>21</v>
      </c>
      <c r="I578" s="5" t="s">
        <v>1601</v>
      </c>
      <c r="J578" s="12" t="str">
        <f>HYPERLINK("https://www.boe.es/gazeta/dias/1802/10/12/pdfs/GMD-1802-83.pdf#page=11","Abrir facsímil")</f>
        <v>Abrir facsímil</v>
      </c>
      <c r="K578" s="15" t="s">
        <v>23</v>
      </c>
    </row>
    <row r="579" spans="1:11" ht="42" customHeight="1">
      <c r="A579" s="4" t="s">
        <v>1602</v>
      </c>
      <c r="B579" s="5" t="s">
        <v>1603</v>
      </c>
      <c r="C579" s="5" t="s">
        <v>42</v>
      </c>
      <c r="D579" s="5" t="s">
        <v>43</v>
      </c>
      <c r="E579" s="5" t="s">
        <v>44</v>
      </c>
      <c r="F579" s="9">
        <v>99</v>
      </c>
      <c r="G579" s="9" t="s">
        <v>779</v>
      </c>
      <c r="H579" s="5" t="s">
        <v>21</v>
      </c>
      <c r="I579" s="5" t="s">
        <v>1604</v>
      </c>
      <c r="J579" s="12" t="str">
        <f>HYPERLINK("https://www.boe.es/gazeta/dias/1802/12/07/pdfs/GMD-D-1802-99.pdf#page=13","Abrir facsímil")</f>
        <v>Abrir facsímil</v>
      </c>
      <c r="K579" s="15" t="s">
        <v>23</v>
      </c>
    </row>
    <row r="580" spans="1:11" ht="42" customHeight="1">
      <c r="A580" s="4" t="s">
        <v>1605</v>
      </c>
      <c r="B580" s="5" t="s">
        <v>1606</v>
      </c>
      <c r="C580" s="5" t="s">
        <v>29</v>
      </c>
      <c r="D580" s="5" t="s">
        <v>30</v>
      </c>
      <c r="E580" s="5" t="s">
        <v>73</v>
      </c>
      <c r="F580" s="9">
        <v>102</v>
      </c>
      <c r="G580" s="9">
        <v>1254</v>
      </c>
      <c r="H580" s="5" t="s">
        <v>21</v>
      </c>
      <c r="I580" s="5" t="s">
        <v>1607</v>
      </c>
      <c r="J580" s="12" t="str">
        <f>HYPERLINK("https://www.boe.es/gazeta/dias/1802/12/17/pdfs/GMD-1802-102.pdf#page=10","Abrir facsímil")</f>
        <v>Abrir facsímil</v>
      </c>
      <c r="K580" s="15" t="s">
        <v>23</v>
      </c>
    </row>
    <row r="581" spans="1:11" ht="42" customHeight="1">
      <c r="A581" s="4" t="s">
        <v>1608</v>
      </c>
      <c r="B581" s="5" t="s">
        <v>1609</v>
      </c>
      <c r="C581" s="5" t="s">
        <v>42</v>
      </c>
      <c r="D581" s="5" t="s">
        <v>43</v>
      </c>
      <c r="E581" s="5" t="s">
        <v>44</v>
      </c>
      <c r="F581" s="9">
        <v>99</v>
      </c>
      <c r="G581" s="9" t="s">
        <v>558</v>
      </c>
      <c r="H581" s="5" t="s">
        <v>21</v>
      </c>
      <c r="I581" s="5" t="s">
        <v>1610</v>
      </c>
      <c r="J581" s="12" t="str">
        <f>HYPERLINK("https://www.boe.es/gazeta/dias/1802/12/07/pdfs/GMD-D-1802-99.pdf#page=1","Abrir facsímil")</f>
        <v>Abrir facsímil</v>
      </c>
      <c r="K581" s="15" t="s">
        <v>23</v>
      </c>
    </row>
    <row r="582" spans="1:11" ht="42" customHeight="1">
      <c r="A582" s="4" t="s">
        <v>1611</v>
      </c>
      <c r="B582" s="5" t="s">
        <v>1612</v>
      </c>
      <c r="C582" s="5" t="s">
        <v>18</v>
      </c>
      <c r="D582" s="5" t="s">
        <v>19</v>
      </c>
      <c r="E582" s="5" t="s">
        <v>20</v>
      </c>
      <c r="F582" s="9">
        <v>84</v>
      </c>
      <c r="G582" s="9">
        <v>1044</v>
      </c>
      <c r="H582" s="5" t="s">
        <v>21</v>
      </c>
      <c r="I582" s="5" t="s">
        <v>1613</v>
      </c>
      <c r="J582" s="12" t="str">
        <f>HYPERLINK("https://www.boe.es/gazeta/dias/1802/10/15/pdfs/GMD-1802-84.pdf#page=12","Abrir facsímil")</f>
        <v>Abrir facsímil</v>
      </c>
      <c r="K582" s="15" t="s">
        <v>23</v>
      </c>
    </row>
    <row r="583" spans="1:11" ht="42" customHeight="1">
      <c r="A583" s="4" t="s">
        <v>1614</v>
      </c>
      <c r="B583" s="5" t="s">
        <v>1615</v>
      </c>
      <c r="C583" s="5" t="s">
        <v>35</v>
      </c>
      <c r="D583" s="5" t="s">
        <v>36</v>
      </c>
      <c r="E583" s="5" t="s">
        <v>292</v>
      </c>
      <c r="F583" s="9">
        <v>62</v>
      </c>
      <c r="G583" s="9">
        <v>748</v>
      </c>
      <c r="H583" s="5" t="s">
        <v>21</v>
      </c>
      <c r="I583" s="5" t="s">
        <v>1616</v>
      </c>
      <c r="J583" s="12" t="str">
        <f>HYPERLINK("https://www.boe.es/gazeta/dias/1802/07/30/pdfs/GMD-1802-62.pdf#page=4","Abrir facsímil")</f>
        <v>Abrir facsímil</v>
      </c>
      <c r="K583" s="15" t="s">
        <v>23</v>
      </c>
    </row>
    <row r="584" spans="1:11" ht="42" customHeight="1">
      <c r="A584" s="4" t="s">
        <v>1617</v>
      </c>
      <c r="B584" s="5" t="s">
        <v>1617</v>
      </c>
      <c r="C584" s="5" t="s">
        <v>35</v>
      </c>
      <c r="D584" s="5" t="s">
        <v>36</v>
      </c>
      <c r="E584" s="5" t="s">
        <v>1618</v>
      </c>
      <c r="F584" s="9">
        <v>31</v>
      </c>
      <c r="G584" s="9">
        <v>361</v>
      </c>
      <c r="H584" s="5" t="s">
        <v>21</v>
      </c>
      <c r="I584" s="5" t="s">
        <v>1619</v>
      </c>
      <c r="J584" s="12" t="str">
        <f>HYPERLINK("https://www.boe.es/gazeta/dias/1802/04/16/pdfs/GMD-1802-31.pdf#page=5","Abrir facsímil")</f>
        <v>Abrir facsímil</v>
      </c>
      <c r="K584" s="15" t="s">
        <v>23</v>
      </c>
    </row>
    <row r="585" spans="1:11" ht="42" customHeight="1">
      <c r="A585" s="4" t="s">
        <v>1620</v>
      </c>
      <c r="B585" s="5" t="s">
        <v>1620</v>
      </c>
      <c r="C585" s="5" t="s">
        <v>35</v>
      </c>
      <c r="D585" s="5" t="s">
        <v>36</v>
      </c>
      <c r="E585" s="5" t="s">
        <v>823</v>
      </c>
      <c r="F585" s="9">
        <v>94</v>
      </c>
      <c r="G585" s="9">
        <v>1160</v>
      </c>
      <c r="H585" s="5" t="s">
        <v>21</v>
      </c>
      <c r="I585" s="5" t="s">
        <v>1621</v>
      </c>
      <c r="J585" s="12" t="str">
        <f>HYPERLINK("https://www.boe.es/gazeta/dias/1802/11/19/pdfs/GMD-1802-94.pdf#page=8","Abrir facsímil")</f>
        <v>Abrir facsímil</v>
      </c>
      <c r="K585" s="15" t="s">
        <v>23</v>
      </c>
    </row>
    <row r="586" spans="1:11" ht="42" customHeight="1">
      <c r="A586" s="4" t="s">
        <v>1620</v>
      </c>
      <c r="B586" s="5" t="s">
        <v>1620</v>
      </c>
      <c r="C586" s="5" t="s">
        <v>55</v>
      </c>
      <c r="D586" s="5" t="s">
        <v>56</v>
      </c>
      <c r="E586" s="5" t="s">
        <v>823</v>
      </c>
      <c r="F586" s="9">
        <v>94</v>
      </c>
      <c r="G586" s="9">
        <v>1161</v>
      </c>
      <c r="H586" s="5" t="s">
        <v>21</v>
      </c>
      <c r="I586" s="5" t="s">
        <v>1622</v>
      </c>
      <c r="J586" s="12" t="str">
        <f>HYPERLINK("https://www.boe.es/gazeta/dias/1802/11/19/pdfs/GMD-1802-94.pdf#page=9","Abrir facsímil")</f>
        <v>Abrir facsímil</v>
      </c>
      <c r="K586" s="15" t="s">
        <v>23</v>
      </c>
    </row>
    <row r="587" spans="1:11" ht="42" customHeight="1">
      <c r="A587" s="4" t="s">
        <v>1623</v>
      </c>
      <c r="B587" s="5" t="s">
        <v>1624</v>
      </c>
      <c r="C587" s="5" t="s">
        <v>29</v>
      </c>
      <c r="D587" s="5" t="s">
        <v>30</v>
      </c>
      <c r="E587" s="5" t="s">
        <v>49</v>
      </c>
      <c r="F587" s="9">
        <v>83</v>
      </c>
      <c r="G587" s="9">
        <v>1021</v>
      </c>
      <c r="H587" s="5" t="s">
        <v>21</v>
      </c>
      <c r="I587" s="5" t="s">
        <v>1625</v>
      </c>
      <c r="J587" s="12" t="str">
        <f>HYPERLINK("https://www.boe.es/gazeta/dias/1802/10/12/pdfs/GMD-1802-83.pdf#page=9","Abrir facsímil")</f>
        <v>Abrir facsímil</v>
      </c>
      <c r="K587" s="15" t="s">
        <v>23</v>
      </c>
    </row>
    <row r="588" spans="1:11" ht="42" customHeight="1">
      <c r="A588" s="4" t="s">
        <v>1626</v>
      </c>
      <c r="B588" s="5" t="s">
        <v>1627</v>
      </c>
      <c r="C588" s="5" t="s">
        <v>29</v>
      </c>
      <c r="D588" s="5" t="s">
        <v>30</v>
      </c>
      <c r="E588" s="5" t="s">
        <v>49</v>
      </c>
      <c r="F588" s="9">
        <v>83</v>
      </c>
      <c r="G588" s="9">
        <v>1026</v>
      </c>
      <c r="H588" s="5" t="s">
        <v>21</v>
      </c>
      <c r="I588" s="5" t="s">
        <v>1628</v>
      </c>
      <c r="J588" s="12" t="str">
        <f>HYPERLINK("https://www.boe.es/gazeta/dias/1802/10/12/pdfs/GMD-1802-83.pdf#page=14","Abrir facsímil")</f>
        <v>Abrir facsímil</v>
      </c>
      <c r="K588" s="15" t="s">
        <v>23</v>
      </c>
    </row>
    <row r="589" spans="1:11" ht="42" customHeight="1">
      <c r="A589" s="4" t="s">
        <v>1629</v>
      </c>
      <c r="B589" s="5" t="s">
        <v>1630</v>
      </c>
      <c r="C589" s="5" t="s">
        <v>90</v>
      </c>
      <c r="D589" s="5" t="s">
        <v>91</v>
      </c>
      <c r="E589" s="5" t="s">
        <v>1264</v>
      </c>
      <c r="F589" s="9">
        <v>105</v>
      </c>
      <c r="G589" s="9">
        <v>1286</v>
      </c>
      <c r="H589" s="5" t="s">
        <v>21</v>
      </c>
      <c r="I589" s="5" t="s">
        <v>1631</v>
      </c>
      <c r="J589" s="12" t="str">
        <f>HYPERLINK("https://www.boe.es/gazeta/dias/1802/12/28/pdfs/GMD-1802-105.pdf#page=10","Abrir facsímil")</f>
        <v>Abrir facsímil</v>
      </c>
      <c r="K589" s="15" t="s">
        <v>23</v>
      </c>
    </row>
    <row r="590" spans="1:11" ht="42" customHeight="1">
      <c r="A590" s="4" t="s">
        <v>1632</v>
      </c>
      <c r="B590" s="5" t="s">
        <v>1633</v>
      </c>
      <c r="C590" s="5" t="s">
        <v>42</v>
      </c>
      <c r="D590" s="5" t="s">
        <v>43</v>
      </c>
      <c r="E590" s="5" t="s">
        <v>44</v>
      </c>
      <c r="F590" s="9">
        <v>99</v>
      </c>
      <c r="G590" s="9" t="s">
        <v>295</v>
      </c>
      <c r="H590" s="5" t="s">
        <v>21</v>
      </c>
      <c r="I590" s="5" t="s">
        <v>1634</v>
      </c>
      <c r="J590" s="12" t="str">
        <f>HYPERLINK("https://www.boe.es/gazeta/dias/1802/12/07/pdfs/GMD-D-1802-99.pdf#page=7","Abrir facsímil")</f>
        <v>Abrir facsímil</v>
      </c>
      <c r="K590" s="15" t="s">
        <v>23</v>
      </c>
    </row>
    <row r="591" spans="1:11" ht="42" customHeight="1">
      <c r="A591" s="4" t="s">
        <v>1635</v>
      </c>
      <c r="B591" s="5" t="s">
        <v>1635</v>
      </c>
      <c r="C591" s="5" t="s">
        <v>35</v>
      </c>
      <c r="D591" s="5" t="s">
        <v>36</v>
      </c>
      <c r="E591" s="5" t="s">
        <v>751</v>
      </c>
      <c r="F591" s="9">
        <v>98</v>
      </c>
      <c r="G591" s="9">
        <v>1211</v>
      </c>
      <c r="H591" s="5" t="s">
        <v>21</v>
      </c>
      <c r="I591" s="5" t="s">
        <v>1636</v>
      </c>
      <c r="J591" s="12" t="str">
        <f>HYPERLINK("https://www.boe.es/gazeta/dias/1802/12/03/pdfs/GMD-1802-98.pdf#page=7","Abrir facsímil")</f>
        <v>Abrir facsímil</v>
      </c>
      <c r="K591" s="15" t="s">
        <v>23</v>
      </c>
    </row>
    <row r="592" spans="1:11" ht="42" customHeight="1">
      <c r="A592" s="4" t="s">
        <v>1637</v>
      </c>
      <c r="B592" s="5" t="s">
        <v>1637</v>
      </c>
      <c r="C592" s="5" t="s">
        <v>29</v>
      </c>
      <c r="D592" s="5" t="s">
        <v>30</v>
      </c>
      <c r="E592" s="5" t="s">
        <v>491</v>
      </c>
      <c r="F592" s="9">
        <v>57</v>
      </c>
      <c r="G592" s="9">
        <v>686</v>
      </c>
      <c r="H592" s="5" t="s">
        <v>21</v>
      </c>
      <c r="I592" s="5" t="s">
        <v>1638</v>
      </c>
      <c r="J592" s="12" t="str">
        <f>HYPERLINK("https://www.boe.es/gazeta/dias/1802/07/16/pdfs/GMD-1802-57.pdf#page=6","Abrir facsímil")</f>
        <v>Abrir facsímil</v>
      </c>
      <c r="K592" s="15" t="s">
        <v>23</v>
      </c>
    </row>
    <row r="593" spans="1:11" ht="42" customHeight="1">
      <c r="A593" s="4" t="s">
        <v>1639</v>
      </c>
      <c r="B593" s="5" t="s">
        <v>1640</v>
      </c>
      <c r="C593" s="5" t="s">
        <v>35</v>
      </c>
      <c r="D593" s="5" t="s">
        <v>36</v>
      </c>
      <c r="E593" s="5" t="s">
        <v>642</v>
      </c>
      <c r="F593" s="9">
        <v>51</v>
      </c>
      <c r="G593" s="9">
        <v>619</v>
      </c>
      <c r="H593" s="5" t="s">
        <v>21</v>
      </c>
      <c r="I593" s="5" t="s">
        <v>1641</v>
      </c>
      <c r="J593" s="12" t="str">
        <f>HYPERLINK("https://www.boe.es/gazeta/dias/1802/06/25/pdfs/GMD-1802-51.pdf#page=7","Abrir facsímil")</f>
        <v>Abrir facsímil</v>
      </c>
      <c r="K593" s="15" t="s">
        <v>23</v>
      </c>
    </row>
    <row r="594" spans="1:11" ht="42" customHeight="1">
      <c r="A594" s="4" t="s">
        <v>1642</v>
      </c>
      <c r="B594" s="5" t="s">
        <v>1643</v>
      </c>
      <c r="C594" s="5" t="s">
        <v>18</v>
      </c>
      <c r="D594" s="5" t="s">
        <v>19</v>
      </c>
      <c r="E594" s="5" t="s">
        <v>152</v>
      </c>
      <c r="F594" s="9">
        <v>25</v>
      </c>
      <c r="G594" s="9">
        <v>279</v>
      </c>
      <c r="H594" s="5" t="s">
        <v>21</v>
      </c>
      <c r="I594" s="5" t="s">
        <v>1644</v>
      </c>
      <c r="J594" s="12" t="str">
        <f>HYPERLINK("https://www.boe.es/gazeta/dias/1802/03/26/pdfs/GMD-1802-25.pdf#page=3","Abrir facsímil")</f>
        <v>Abrir facsímil</v>
      </c>
      <c r="K594" s="15" t="s">
        <v>23</v>
      </c>
    </row>
    <row r="595" spans="1:11" ht="42" customHeight="1">
      <c r="A595" s="4" t="s">
        <v>1645</v>
      </c>
      <c r="B595" s="5" t="s">
        <v>1645</v>
      </c>
      <c r="C595" s="5" t="s">
        <v>29</v>
      </c>
      <c r="D595" s="5" t="s">
        <v>30</v>
      </c>
      <c r="E595" s="5" t="s">
        <v>339</v>
      </c>
      <c r="F595" s="9">
        <v>39</v>
      </c>
      <c r="G595" s="9">
        <v>467</v>
      </c>
      <c r="H595" s="5" t="s">
        <v>21</v>
      </c>
      <c r="I595" s="5" t="s">
        <v>1646</v>
      </c>
      <c r="J595" s="12" t="str">
        <f>HYPERLINK("https://www.boe.es/gazeta/dias/1802/05/14/pdfs/GMD-1802-39.pdf#page=11","Abrir facsímil")</f>
        <v>Abrir facsímil</v>
      </c>
      <c r="K595" s="15" t="s">
        <v>23</v>
      </c>
    </row>
    <row r="596" spans="1:11" ht="42" customHeight="1">
      <c r="A596" s="4" t="s">
        <v>1647</v>
      </c>
      <c r="B596" s="5" t="s">
        <v>1647</v>
      </c>
      <c r="C596" s="5" t="s">
        <v>55</v>
      </c>
      <c r="D596" s="5" t="s">
        <v>56</v>
      </c>
      <c r="E596" s="5" t="s">
        <v>604</v>
      </c>
      <c r="F596" s="9">
        <v>100</v>
      </c>
      <c r="G596" s="9">
        <v>1236</v>
      </c>
      <c r="H596" s="5" t="s">
        <v>21</v>
      </c>
      <c r="I596" s="5" t="s">
        <v>1648</v>
      </c>
      <c r="J596" s="12" t="str">
        <f>HYPERLINK("https://www.boe.es/gazeta/dias/1802/12/10/pdfs/GMD-1802-100.pdf#page=8","Abrir facsímil")</f>
        <v>Abrir facsímil</v>
      </c>
      <c r="K596" s="15" t="s">
        <v>23</v>
      </c>
    </row>
    <row r="597" spans="1:11" ht="42" customHeight="1">
      <c r="A597" s="4" t="s">
        <v>1649</v>
      </c>
      <c r="B597" s="5" t="s">
        <v>1650</v>
      </c>
      <c r="C597" s="5" t="s">
        <v>18</v>
      </c>
      <c r="D597" s="5" t="s">
        <v>19</v>
      </c>
      <c r="E597" s="5" t="s">
        <v>152</v>
      </c>
      <c r="F597" s="9">
        <v>25</v>
      </c>
      <c r="G597" s="9">
        <v>284</v>
      </c>
      <c r="H597" s="5" t="s">
        <v>21</v>
      </c>
      <c r="I597" s="5" t="s">
        <v>1651</v>
      </c>
      <c r="J597" s="12" t="str">
        <f>HYPERLINK("https://www.boe.es/gazeta/dias/1802/03/26/pdfs/GMD-1802-25.pdf#page=8","Abrir facsímil")</f>
        <v>Abrir facsímil</v>
      </c>
      <c r="K597" s="15" t="s">
        <v>23</v>
      </c>
    </row>
    <row r="598" spans="1:11" ht="42" customHeight="1">
      <c r="A598" s="4" t="s">
        <v>1652</v>
      </c>
      <c r="B598" s="5" t="s">
        <v>1653</v>
      </c>
      <c r="C598" s="5" t="s">
        <v>42</v>
      </c>
      <c r="D598" s="5" t="s">
        <v>43</v>
      </c>
      <c r="E598" s="5" t="s">
        <v>44</v>
      </c>
      <c r="F598" s="9">
        <v>99</v>
      </c>
      <c r="G598" s="9" t="s">
        <v>272</v>
      </c>
      <c r="H598" s="5" t="s">
        <v>21</v>
      </c>
      <c r="I598" s="5" t="s">
        <v>1654</v>
      </c>
      <c r="J598" s="12" t="str">
        <f>HYPERLINK("https://www.boe.es/gazeta/dias/1802/12/07/pdfs/GMD-D-1802-99.pdf#page=3","Abrir facsímil")</f>
        <v>Abrir facsímil</v>
      </c>
      <c r="K598" s="15" t="s">
        <v>23</v>
      </c>
    </row>
    <row r="599" spans="1:11" ht="42" customHeight="1">
      <c r="A599" s="4" t="s">
        <v>1655</v>
      </c>
      <c r="B599" s="5" t="s">
        <v>1656</v>
      </c>
      <c r="C599" s="5" t="s">
        <v>18</v>
      </c>
      <c r="D599" s="5" t="s">
        <v>19</v>
      </c>
      <c r="E599" s="5" t="s">
        <v>152</v>
      </c>
      <c r="F599" s="9">
        <v>25</v>
      </c>
      <c r="G599" s="9">
        <v>288</v>
      </c>
      <c r="H599" s="5" t="s">
        <v>21</v>
      </c>
      <c r="I599" s="5" t="s">
        <v>1657</v>
      </c>
      <c r="J599" s="12" t="str">
        <f>HYPERLINK("https://www.boe.es/gazeta/dias/1802/03/26/pdfs/GMD-1802-25.pdf#page=12","Abrir facsímil")</f>
        <v>Abrir facsímil</v>
      </c>
      <c r="K599" s="15" t="s">
        <v>23</v>
      </c>
    </row>
    <row r="600" spans="1:11" ht="42" customHeight="1">
      <c r="A600" s="4" t="s">
        <v>1658</v>
      </c>
      <c r="B600" s="5" t="s">
        <v>1659</v>
      </c>
      <c r="C600" s="5" t="s">
        <v>42</v>
      </c>
      <c r="D600" s="5" t="s">
        <v>43</v>
      </c>
      <c r="E600" s="5" t="s">
        <v>44</v>
      </c>
      <c r="F600" s="9">
        <v>99</v>
      </c>
      <c r="G600" s="9" t="s">
        <v>554</v>
      </c>
      <c r="H600" s="5" t="s">
        <v>21</v>
      </c>
      <c r="I600" s="5" t="s">
        <v>1660</v>
      </c>
      <c r="J600" s="12" t="str">
        <f>HYPERLINK("https://www.boe.es/gazeta/dias/1802/12/07/pdfs/GMD-D-1802-99.pdf#page=4","Abrir facsímil")</f>
        <v>Abrir facsímil</v>
      </c>
      <c r="K600" s="15" t="s">
        <v>23</v>
      </c>
    </row>
    <row r="601" spans="1:11" ht="42" customHeight="1">
      <c r="A601" s="4" t="s">
        <v>1661</v>
      </c>
      <c r="B601" s="5" t="s">
        <v>1662</v>
      </c>
      <c r="C601" s="5" t="s">
        <v>18</v>
      </c>
      <c r="D601" s="5" t="s">
        <v>19</v>
      </c>
      <c r="E601" s="5" t="s">
        <v>1051</v>
      </c>
      <c r="F601" s="9">
        <v>43</v>
      </c>
      <c r="G601" s="9">
        <v>512</v>
      </c>
      <c r="H601" s="5" t="s">
        <v>21</v>
      </c>
      <c r="I601" s="5" t="s">
        <v>1663</v>
      </c>
      <c r="J601" s="12" t="str">
        <f>HYPERLINK("https://www.boe.es/gazeta/dias/1802/05/28/pdfs/GMD-1802-43.pdf#page=4","Abrir facsímil")</f>
        <v>Abrir facsímil</v>
      </c>
      <c r="K601" s="15" t="s">
        <v>23</v>
      </c>
    </row>
    <row r="602" spans="1:11" ht="42" customHeight="1">
      <c r="A602" s="4" t="s">
        <v>1661</v>
      </c>
      <c r="B602" s="5" t="s">
        <v>1662</v>
      </c>
      <c r="C602" s="5" t="s">
        <v>29</v>
      </c>
      <c r="D602" s="5" t="s">
        <v>30</v>
      </c>
      <c r="E602" s="5" t="s">
        <v>328</v>
      </c>
      <c r="F602" s="9">
        <v>45</v>
      </c>
      <c r="G602" s="9">
        <v>540</v>
      </c>
      <c r="H602" s="5" t="s">
        <v>21</v>
      </c>
      <c r="I602" s="5" t="s">
        <v>1664</v>
      </c>
      <c r="J602" s="12" t="str">
        <f>HYPERLINK("https://www.boe.es/gazeta/dias/1802/06/04/pdfs/GMD-1802-45.pdf#page=4","Abrir facsímil")</f>
        <v>Abrir facsímil</v>
      </c>
      <c r="K602" s="15" t="s">
        <v>23</v>
      </c>
    </row>
    <row r="603" spans="1:11" ht="42" customHeight="1">
      <c r="A603" s="4" t="s">
        <v>1665</v>
      </c>
      <c r="B603" s="5" t="s">
        <v>1666</v>
      </c>
      <c r="C603" s="5" t="s">
        <v>35</v>
      </c>
      <c r="D603" s="5" t="s">
        <v>36</v>
      </c>
      <c r="E603" s="5" t="s">
        <v>102</v>
      </c>
      <c r="F603" s="9">
        <v>73</v>
      </c>
      <c r="G603" s="9">
        <v>897</v>
      </c>
      <c r="H603" s="5" t="s">
        <v>21</v>
      </c>
      <c r="I603" s="5" t="s">
        <v>1667</v>
      </c>
      <c r="J603" s="12" t="str">
        <f>HYPERLINK("https://www.boe.es/gazeta/dias/1802/09/07/pdfs/GMD-1802-73.pdf#page=5","Abrir facsímil")</f>
        <v>Abrir facsímil</v>
      </c>
      <c r="K603" s="15" t="s">
        <v>23</v>
      </c>
    </row>
    <row r="604" spans="1:11" ht="42" customHeight="1">
      <c r="A604" s="4" t="s">
        <v>1668</v>
      </c>
      <c r="B604" s="5" t="s">
        <v>1669</v>
      </c>
      <c r="C604" s="5" t="s">
        <v>18</v>
      </c>
      <c r="D604" s="5" t="s">
        <v>19</v>
      </c>
      <c r="E604" s="5" t="s">
        <v>328</v>
      </c>
      <c r="F604" s="9">
        <v>45</v>
      </c>
      <c r="G604" s="9">
        <v>541</v>
      </c>
      <c r="H604" s="5" t="s">
        <v>21</v>
      </c>
      <c r="I604" s="5" t="s">
        <v>1670</v>
      </c>
      <c r="J604" s="12" t="str">
        <f>HYPERLINK("https://www.boe.es/gazeta/dias/1802/06/04/pdfs/GMD-1802-45.pdf#page=5","Abrir facsímil")</f>
        <v>Abrir facsímil</v>
      </c>
      <c r="K604" s="15" t="s">
        <v>23</v>
      </c>
    </row>
    <row r="605" spans="1:11" ht="42" customHeight="1">
      <c r="A605" s="4" t="s">
        <v>1671</v>
      </c>
      <c r="B605" s="5" t="s">
        <v>1672</v>
      </c>
      <c r="C605" s="5" t="s">
        <v>18</v>
      </c>
      <c r="D605" s="5" t="s">
        <v>19</v>
      </c>
      <c r="E605" s="5" t="s">
        <v>196</v>
      </c>
      <c r="F605" s="9">
        <v>2</v>
      </c>
      <c r="G605" s="9">
        <v>10</v>
      </c>
      <c r="H605" s="5" t="s">
        <v>21</v>
      </c>
      <c r="I605" s="5" t="s">
        <v>1673</v>
      </c>
      <c r="J605" s="12" t="str">
        <f>HYPERLINK("https://www.boe.es/gazeta/dias/1802/01/05/pdfs/GMD-1802-2.pdf#page=2","Abrir facsímil")</f>
        <v>Abrir facsímil</v>
      </c>
      <c r="K605" s="15" t="s">
        <v>23</v>
      </c>
    </row>
    <row r="606" spans="1:11" ht="42" customHeight="1">
      <c r="A606" s="4" t="s">
        <v>1671</v>
      </c>
      <c r="B606" s="5" t="s">
        <v>1672</v>
      </c>
      <c r="C606" s="5" t="s">
        <v>55</v>
      </c>
      <c r="D606" s="5" t="s">
        <v>56</v>
      </c>
      <c r="E606" s="5" t="s">
        <v>206</v>
      </c>
      <c r="F606" s="9">
        <v>22</v>
      </c>
      <c r="G606" s="9">
        <v>239</v>
      </c>
      <c r="H606" s="5" t="s">
        <v>21</v>
      </c>
      <c r="I606" s="5" t="s">
        <v>1674</v>
      </c>
      <c r="J606" s="12" t="str">
        <f>HYPERLINK("https://www.boe.es/gazeta/dias/1802/03/16/pdfs/GMD-1802-22.pdf#page=7","Abrir facsímil")</f>
        <v>Abrir facsímil</v>
      </c>
      <c r="K606" s="15" t="s">
        <v>23</v>
      </c>
    </row>
    <row r="607" spans="1:11" ht="42" customHeight="1">
      <c r="A607" s="4" t="s">
        <v>1675</v>
      </c>
      <c r="B607" s="5" t="s">
        <v>1676</v>
      </c>
      <c r="C607" s="5" t="s">
        <v>35</v>
      </c>
      <c r="D607" s="5" t="s">
        <v>36</v>
      </c>
      <c r="E607" s="5" t="s">
        <v>381</v>
      </c>
      <c r="F607" s="9">
        <v>13</v>
      </c>
      <c r="G607" s="9">
        <v>129</v>
      </c>
      <c r="H607" s="5" t="s">
        <v>21</v>
      </c>
      <c r="I607" s="5" t="s">
        <v>1677</v>
      </c>
      <c r="J607" s="12" t="str">
        <f>HYPERLINK("https://www.boe.es/gazeta/dias/1802/02/12/pdfs/GMD-1802-13.pdf#page=5","Abrir facsímil")</f>
        <v>Abrir facsímil</v>
      </c>
      <c r="K607" s="15" t="s">
        <v>23</v>
      </c>
    </row>
    <row r="608" spans="1:11" ht="42" customHeight="1">
      <c r="A608" s="4" t="s">
        <v>1678</v>
      </c>
      <c r="B608" s="5" t="s">
        <v>1679</v>
      </c>
      <c r="C608" s="5" t="s">
        <v>35</v>
      </c>
      <c r="D608" s="5" t="s">
        <v>36</v>
      </c>
      <c r="E608" s="5" t="s">
        <v>247</v>
      </c>
      <c r="F608" s="9">
        <v>14</v>
      </c>
      <c r="G608" s="9">
        <v>142</v>
      </c>
      <c r="H608" s="5" t="s">
        <v>21</v>
      </c>
      <c r="I608" s="5" t="s">
        <v>1680</v>
      </c>
      <c r="J608" s="12" t="str">
        <f>HYPERLINK("https://www.boe.es/gazeta/dias/1802/02/16/pdfs/GMD-1802-14.pdf#page=6","Abrir facsímil")</f>
        <v>Abrir facsímil</v>
      </c>
      <c r="K608" s="15" t="s">
        <v>23</v>
      </c>
    </row>
    <row r="609" spans="1:11" ht="42" customHeight="1">
      <c r="A609" s="4" t="s">
        <v>1675</v>
      </c>
      <c r="B609" s="5" t="s">
        <v>1676</v>
      </c>
      <c r="C609" s="5" t="s">
        <v>35</v>
      </c>
      <c r="D609" s="5" t="s">
        <v>36</v>
      </c>
      <c r="E609" s="5" t="s">
        <v>1588</v>
      </c>
      <c r="F609" s="9">
        <v>18</v>
      </c>
      <c r="G609" s="9">
        <v>193</v>
      </c>
      <c r="H609" s="5" t="s">
        <v>21</v>
      </c>
      <c r="I609" s="5" t="s">
        <v>1681</v>
      </c>
      <c r="J609" s="12" t="str">
        <f>HYPERLINK("https://www.boe.es/gazeta/dias/1802/03/02/pdfs/GMD-1802-18.pdf#page=5","Abrir facsímil")</f>
        <v>Abrir facsímil</v>
      </c>
      <c r="K609" s="15" t="s">
        <v>23</v>
      </c>
    </row>
    <row r="610" spans="1:11" ht="42" customHeight="1">
      <c r="A610" s="4" t="s">
        <v>1675</v>
      </c>
      <c r="B610" s="5" t="s">
        <v>1676</v>
      </c>
      <c r="C610" s="5" t="s">
        <v>35</v>
      </c>
      <c r="D610" s="5" t="s">
        <v>36</v>
      </c>
      <c r="E610" s="5" t="s">
        <v>31</v>
      </c>
      <c r="F610" s="9">
        <v>27</v>
      </c>
      <c r="G610" s="9">
        <v>311</v>
      </c>
      <c r="H610" s="5" t="s">
        <v>21</v>
      </c>
      <c r="I610" s="5" t="s">
        <v>1682</v>
      </c>
      <c r="J610" s="12" t="str">
        <f>HYPERLINK("https://www.boe.es/gazeta/dias/1802/04/02/pdfs/GMD-1802-27.pdf#page=7","Abrir facsímil")</f>
        <v>Abrir facsímil</v>
      </c>
      <c r="K610" s="15" t="s">
        <v>23</v>
      </c>
    </row>
    <row r="611" spans="1:11" ht="42" customHeight="1">
      <c r="A611" s="4" t="s">
        <v>1683</v>
      </c>
      <c r="B611" s="5" t="s">
        <v>1684</v>
      </c>
      <c r="C611" s="5" t="s">
        <v>18</v>
      </c>
      <c r="D611" s="5" t="s">
        <v>19</v>
      </c>
      <c r="E611" s="5" t="s">
        <v>181</v>
      </c>
      <c r="F611" s="9">
        <v>55</v>
      </c>
      <c r="G611" s="9">
        <v>668</v>
      </c>
      <c r="H611" s="5" t="s">
        <v>21</v>
      </c>
      <c r="I611" s="5" t="s">
        <v>1685</v>
      </c>
      <c r="J611" s="12" t="str">
        <f>HYPERLINK("https://www.boe.es/gazeta/dias/1802/07/09/pdfs/GMD-1802-55.pdf#page=12","Abrir facsímil")</f>
        <v>Abrir facsímil</v>
      </c>
      <c r="K611" s="15" t="s">
        <v>23</v>
      </c>
    </row>
    <row r="612" spans="1:11" ht="42" customHeight="1">
      <c r="A612" s="4" t="s">
        <v>1686</v>
      </c>
      <c r="B612" s="5" t="s">
        <v>1687</v>
      </c>
      <c r="C612" s="5" t="s">
        <v>35</v>
      </c>
      <c r="D612" s="5" t="s">
        <v>36</v>
      </c>
      <c r="E612" s="5" t="s">
        <v>146</v>
      </c>
      <c r="F612" s="9">
        <v>42</v>
      </c>
      <c r="G612" s="9">
        <v>500</v>
      </c>
      <c r="H612" s="5" t="s">
        <v>21</v>
      </c>
      <c r="I612" s="5" t="s">
        <v>1688</v>
      </c>
      <c r="J612" s="12" t="str">
        <f>HYPERLINK("https://www.boe.es/gazeta/dias/1802/05/25/pdfs/GMD-1802-42.pdf#page=4","Abrir facsímil")</f>
        <v>Abrir facsímil</v>
      </c>
      <c r="K612" s="15" t="s">
        <v>23</v>
      </c>
    </row>
    <row r="613" spans="1:11" ht="42" customHeight="1">
      <c r="A613" s="4" t="s">
        <v>1689</v>
      </c>
      <c r="B613" s="5" t="s">
        <v>1690</v>
      </c>
      <c r="C613" s="5" t="s">
        <v>90</v>
      </c>
      <c r="D613" s="5" t="s">
        <v>91</v>
      </c>
      <c r="E613" s="5" t="s">
        <v>921</v>
      </c>
      <c r="F613" s="9">
        <v>50</v>
      </c>
      <c r="G613" s="9">
        <v>610</v>
      </c>
      <c r="H613" s="5" t="s">
        <v>21</v>
      </c>
      <c r="I613" s="5" t="s">
        <v>1691</v>
      </c>
      <c r="J613" s="12" t="str">
        <f>HYPERLINK("https://www.boe.es/gazeta/dias/1802/06/22/pdfs/GMD-1802-50.pdf#page=10","Abrir facsímil")</f>
        <v>Abrir facsímil</v>
      </c>
      <c r="K613" s="15" t="s">
        <v>23</v>
      </c>
    </row>
    <row r="614" spans="1:11" ht="42" customHeight="1">
      <c r="A614" s="4" t="s">
        <v>1692</v>
      </c>
      <c r="B614" s="5" t="s">
        <v>1693</v>
      </c>
      <c r="C614" s="5" t="s">
        <v>160</v>
      </c>
      <c r="D614" s="5" t="s">
        <v>91</v>
      </c>
      <c r="E614" s="5" t="s">
        <v>299</v>
      </c>
      <c r="F614" s="9">
        <v>19</v>
      </c>
      <c r="G614" s="9">
        <v>208</v>
      </c>
      <c r="H614" s="5" t="s">
        <v>21</v>
      </c>
      <c r="I614" s="5" t="s">
        <v>1694</v>
      </c>
      <c r="J614" s="12" t="str">
        <f>HYPERLINK("https://www.boe.es/gazeta/dias/1802/03/05/pdfs/GMD-1802-19.pdf#page=8","Abrir facsímil")</f>
        <v>Abrir facsímil</v>
      </c>
      <c r="K614" s="15" t="s">
        <v>23</v>
      </c>
    </row>
    <row r="615" spans="1:11" ht="42" customHeight="1">
      <c r="A615" s="4" t="s">
        <v>1695</v>
      </c>
      <c r="B615" s="5" t="s">
        <v>1695</v>
      </c>
      <c r="C615" s="5" t="s">
        <v>35</v>
      </c>
      <c r="D615" s="5" t="s">
        <v>36</v>
      </c>
      <c r="E615" s="5" t="s">
        <v>142</v>
      </c>
      <c r="F615" s="9">
        <v>64</v>
      </c>
      <c r="G615" s="9">
        <v>780</v>
      </c>
      <c r="H615" s="5" t="s">
        <v>21</v>
      </c>
      <c r="I615" s="5" t="s">
        <v>1696</v>
      </c>
      <c r="J615" s="12" t="str">
        <f>HYPERLINK("https://www.boe.es/gazeta/dias/1802/08/06/pdfs/GMD-1802-64.pdf#page=8","Abrir facsímil")</f>
        <v>Abrir facsímil</v>
      </c>
      <c r="K615" s="15" t="s">
        <v>23</v>
      </c>
    </row>
    <row r="616" spans="1:11" ht="42" customHeight="1">
      <c r="A616" s="4" t="s">
        <v>1697</v>
      </c>
      <c r="B616" s="5" t="s">
        <v>1698</v>
      </c>
      <c r="C616" s="5" t="s">
        <v>18</v>
      </c>
      <c r="D616" s="5" t="s">
        <v>19</v>
      </c>
      <c r="E616" s="5" t="s">
        <v>49</v>
      </c>
      <c r="F616" s="9">
        <v>83</v>
      </c>
      <c r="G616" s="9">
        <v>1025</v>
      </c>
      <c r="H616" s="5" t="s">
        <v>21</v>
      </c>
      <c r="I616" s="5" t="s">
        <v>1699</v>
      </c>
      <c r="J616" s="12" t="str">
        <f>HYPERLINK("https://www.boe.es/gazeta/dias/1802/10/12/pdfs/GMD-1802-83.pdf#page=13","Abrir facsímil")</f>
        <v>Abrir facsímil</v>
      </c>
      <c r="K616" s="15" t="s">
        <v>23</v>
      </c>
    </row>
    <row r="617" spans="1:11" ht="42" customHeight="1">
      <c r="A617" s="4" t="s">
        <v>1700</v>
      </c>
      <c r="B617" s="5" t="s">
        <v>1701</v>
      </c>
      <c r="C617" s="5" t="s">
        <v>29</v>
      </c>
      <c r="D617" s="5" t="s">
        <v>30</v>
      </c>
      <c r="E617" s="5" t="s">
        <v>86</v>
      </c>
      <c r="F617" s="9">
        <v>26</v>
      </c>
      <c r="G617" s="9">
        <v>298</v>
      </c>
      <c r="H617" s="5" t="s">
        <v>21</v>
      </c>
      <c r="I617" s="5" t="s">
        <v>1702</v>
      </c>
      <c r="J617" s="12" t="str">
        <f>HYPERLINK("https://www.boe.es/gazeta/dias/1802/03/30/pdfs/GMD-1802-26.pdf#page=10","Abrir facsímil")</f>
        <v>Abrir facsímil</v>
      </c>
      <c r="K617" s="15" t="s">
        <v>23</v>
      </c>
    </row>
    <row r="618" spans="1:11" ht="42" customHeight="1">
      <c r="A618" s="4" t="s">
        <v>1703</v>
      </c>
      <c r="B618" s="5" t="s">
        <v>1704</v>
      </c>
      <c r="C618" s="5" t="s">
        <v>29</v>
      </c>
      <c r="D618" s="5" t="s">
        <v>30</v>
      </c>
      <c r="E618" s="5" t="s">
        <v>170</v>
      </c>
      <c r="F618" s="9">
        <v>28</v>
      </c>
      <c r="G618" s="9">
        <v>330</v>
      </c>
      <c r="H618" s="5" t="s">
        <v>21</v>
      </c>
      <c r="I618" s="5" t="s">
        <v>1705</v>
      </c>
      <c r="J618" s="12" t="str">
        <f>HYPERLINK("https://www.boe.es/gazeta/dias/1802/04/06/pdfs/GMD-1802-28.pdf#page=10","Abrir facsímil")</f>
        <v>Abrir facsímil</v>
      </c>
      <c r="K618" s="15" t="s">
        <v>23</v>
      </c>
    </row>
    <row r="619" spans="1:11" ht="42" customHeight="1">
      <c r="A619" s="4" t="s">
        <v>1706</v>
      </c>
      <c r="B619" s="5" t="s">
        <v>1706</v>
      </c>
      <c r="C619" s="5" t="s">
        <v>29</v>
      </c>
      <c r="D619" s="5" t="s">
        <v>30</v>
      </c>
      <c r="E619" s="5" t="s">
        <v>114</v>
      </c>
      <c r="F619" s="9">
        <v>82</v>
      </c>
      <c r="G619" s="9">
        <v>1011</v>
      </c>
      <c r="H619" s="5" t="s">
        <v>21</v>
      </c>
      <c r="I619" s="5" t="s">
        <v>1707</v>
      </c>
      <c r="J619" s="12" t="str">
        <f>HYPERLINK("https://www.boe.es/gazeta/dias/1802/10/08/pdfs/GMD-1802-82.pdf#page=11","Abrir facsímil")</f>
        <v>Abrir facsímil</v>
      </c>
      <c r="K619" s="15" t="s">
        <v>23</v>
      </c>
    </row>
    <row r="620" spans="1:11" ht="42" customHeight="1">
      <c r="A620" s="4" t="s">
        <v>1708</v>
      </c>
      <c r="B620" s="5" t="s">
        <v>1709</v>
      </c>
      <c r="C620" s="5" t="s">
        <v>35</v>
      </c>
      <c r="D620" s="5" t="s">
        <v>36</v>
      </c>
      <c r="E620" s="5" t="s">
        <v>172</v>
      </c>
      <c r="F620" s="9">
        <v>35</v>
      </c>
      <c r="G620" s="9">
        <v>408</v>
      </c>
      <c r="H620" s="5" t="s">
        <v>21</v>
      </c>
      <c r="I620" s="5" t="s">
        <v>1710</v>
      </c>
      <c r="J620" s="12" t="str">
        <f>HYPERLINK("https://www.boe.es/gazeta/dias/1802/04/30/pdfs/GMD-1802-35.pdf#page=8","Abrir facsímil")</f>
        <v>Abrir facsímil</v>
      </c>
      <c r="K620" s="15" t="s">
        <v>23</v>
      </c>
    </row>
    <row r="621" spans="1:11" ht="42" customHeight="1">
      <c r="A621" s="4" t="s">
        <v>1711</v>
      </c>
      <c r="B621" s="5" t="s">
        <v>1712</v>
      </c>
      <c r="C621" s="5" t="s">
        <v>29</v>
      </c>
      <c r="D621" s="5" t="s">
        <v>30</v>
      </c>
      <c r="E621" s="5" t="s">
        <v>31</v>
      </c>
      <c r="F621" s="9">
        <v>27</v>
      </c>
      <c r="G621" s="9">
        <v>318</v>
      </c>
      <c r="H621" s="5" t="s">
        <v>21</v>
      </c>
      <c r="I621" s="5" t="s">
        <v>1713</v>
      </c>
      <c r="J621" s="12" t="str">
        <f>HYPERLINK("https://www.boe.es/gazeta/dias/1802/04/02/pdfs/GMD-1802-27.pdf#page=14","Abrir facsímil")</f>
        <v>Abrir facsímil</v>
      </c>
      <c r="K621" s="15" t="s">
        <v>23</v>
      </c>
    </row>
    <row r="622" spans="1:11" ht="42" customHeight="1">
      <c r="A622" s="4" t="s">
        <v>1714</v>
      </c>
      <c r="B622" s="5" t="s">
        <v>1714</v>
      </c>
      <c r="C622" s="5" t="s">
        <v>29</v>
      </c>
      <c r="D622" s="5" t="s">
        <v>30</v>
      </c>
      <c r="E622" s="5" t="s">
        <v>44</v>
      </c>
      <c r="F622" s="9">
        <v>99</v>
      </c>
      <c r="G622" s="9">
        <v>1222</v>
      </c>
      <c r="H622" s="5" t="s">
        <v>21</v>
      </c>
      <c r="I622" s="5" t="s">
        <v>1715</v>
      </c>
      <c r="J622" s="12" t="str">
        <f>HYPERLINK("https://www.boe.es/gazeta/dias/1802/12/07/pdfs/GMD-1802-99.pdf#page=6","Abrir facsímil")</f>
        <v>Abrir facsímil</v>
      </c>
      <c r="K622" s="15" t="s">
        <v>23</v>
      </c>
    </row>
    <row r="623" spans="1:11" ht="42" customHeight="1">
      <c r="A623" s="4" t="s">
        <v>1716</v>
      </c>
      <c r="B623" s="5" t="s">
        <v>1716</v>
      </c>
      <c r="C623" s="5" t="s">
        <v>29</v>
      </c>
      <c r="D623" s="5" t="s">
        <v>30</v>
      </c>
      <c r="E623" s="5" t="s">
        <v>92</v>
      </c>
      <c r="F623" s="9">
        <v>29</v>
      </c>
      <c r="G623" s="9">
        <v>338</v>
      </c>
      <c r="H623" s="5" t="s">
        <v>21</v>
      </c>
      <c r="I623" s="5" t="s">
        <v>1717</v>
      </c>
      <c r="J623" s="12" t="str">
        <f>HYPERLINK("https://www.boe.es/gazeta/dias/1802/04/09/pdfs/GMD-1802-29.pdf#page=6","Abrir facsímil")</f>
        <v>Abrir facsímil</v>
      </c>
      <c r="K623" s="15" t="s">
        <v>23</v>
      </c>
    </row>
    <row r="624" spans="1:11" ht="42" customHeight="1">
      <c r="A624" s="4" t="s">
        <v>1718</v>
      </c>
      <c r="B624" s="5" t="s">
        <v>1719</v>
      </c>
      <c r="C624" s="5" t="s">
        <v>160</v>
      </c>
      <c r="D624" s="5" t="s">
        <v>91</v>
      </c>
      <c r="E624" s="5" t="s">
        <v>429</v>
      </c>
      <c r="F624" s="9">
        <v>91</v>
      </c>
      <c r="G624" s="9">
        <v>1131</v>
      </c>
      <c r="H624" s="5" t="s">
        <v>21</v>
      </c>
      <c r="I624" s="5" t="s">
        <v>1720</v>
      </c>
      <c r="J624" s="12" t="str">
        <f>HYPERLINK("https://www.boe.es/gazeta/dias/1802/11/09/pdfs/GMD-1802-91.pdf#page=11","Abrir facsímil")</f>
        <v>Abrir facsímil</v>
      </c>
      <c r="K624" s="15" t="s">
        <v>23</v>
      </c>
    </row>
    <row r="625" spans="1:11" ht="42" customHeight="1">
      <c r="A625" s="4" t="s">
        <v>1721</v>
      </c>
      <c r="B625" s="5" t="s">
        <v>1722</v>
      </c>
      <c r="C625" s="5" t="s">
        <v>160</v>
      </c>
      <c r="D625" s="5" t="s">
        <v>91</v>
      </c>
      <c r="E625" s="5" t="s">
        <v>148</v>
      </c>
      <c r="F625" s="9">
        <v>66</v>
      </c>
      <c r="G625" s="9">
        <v>808</v>
      </c>
      <c r="H625" s="5" t="s">
        <v>21</v>
      </c>
      <c r="I625" s="5" t="s">
        <v>1723</v>
      </c>
      <c r="J625" s="12" t="str">
        <f>HYPERLINK("https://www.boe.es/gazeta/dias/1802/08/13/pdfs/GMD-1802-66.pdf#page=12","Abrir facsímil")</f>
        <v>Abrir facsímil</v>
      </c>
      <c r="K625" s="15" t="s">
        <v>23</v>
      </c>
    </row>
    <row r="626" spans="1:11" ht="42" customHeight="1">
      <c r="A626" s="4" t="s">
        <v>1724</v>
      </c>
      <c r="B626" s="5" t="s">
        <v>1724</v>
      </c>
      <c r="C626" s="5" t="s">
        <v>35</v>
      </c>
      <c r="D626" s="5" t="s">
        <v>36</v>
      </c>
      <c r="E626" s="5" t="s">
        <v>232</v>
      </c>
      <c r="F626" s="9">
        <v>30</v>
      </c>
      <c r="G626" s="9">
        <v>347</v>
      </c>
      <c r="H626" s="5" t="s">
        <v>21</v>
      </c>
      <c r="I626" s="5" t="s">
        <v>1725</v>
      </c>
      <c r="J626" s="12" t="str">
        <f>HYPERLINK("https://www.boe.es/gazeta/dias/1802/04/13/pdfs/GMD-1802-30.pdf#page=3","Abrir facsímil")</f>
        <v>Abrir facsímil</v>
      </c>
      <c r="K626" s="15" t="s">
        <v>23</v>
      </c>
    </row>
    <row r="627" spans="1:11" ht="42" customHeight="1">
      <c r="A627" s="4" t="s">
        <v>1726</v>
      </c>
      <c r="B627" s="5" t="s">
        <v>1727</v>
      </c>
      <c r="C627" s="5" t="s">
        <v>55</v>
      </c>
      <c r="D627" s="5" t="s">
        <v>56</v>
      </c>
      <c r="E627" s="5" t="s">
        <v>232</v>
      </c>
      <c r="F627" s="9">
        <v>30</v>
      </c>
      <c r="G627" s="9">
        <v>347</v>
      </c>
      <c r="H627" s="5" t="s">
        <v>21</v>
      </c>
      <c r="I627" s="5" t="s">
        <v>1728</v>
      </c>
      <c r="J627" s="12" t="str">
        <f>HYPERLINK("https://www.boe.es/gazeta/dias/1802/04/13/pdfs/GMD-1802-30.pdf#page=3","Abrir facsímil")</f>
        <v>Abrir facsímil</v>
      </c>
      <c r="K627" s="15" t="s">
        <v>23</v>
      </c>
    </row>
    <row r="628" spans="1:11" ht="42" customHeight="1">
      <c r="A628" s="4" t="s">
        <v>1729</v>
      </c>
      <c r="B628" s="5" t="s">
        <v>1730</v>
      </c>
      <c r="C628" s="5" t="s">
        <v>42</v>
      </c>
      <c r="D628" s="5" t="s">
        <v>43</v>
      </c>
      <c r="E628" s="5" t="s">
        <v>44</v>
      </c>
      <c r="F628" s="9">
        <v>99</v>
      </c>
      <c r="G628" s="9" t="s">
        <v>554</v>
      </c>
      <c r="H628" s="5" t="s">
        <v>21</v>
      </c>
      <c r="I628" s="5" t="s">
        <v>1731</v>
      </c>
      <c r="J628" s="12" t="str">
        <f>HYPERLINK("https://www.boe.es/gazeta/dias/1802/12/07/pdfs/GMD-D-1802-99.pdf#page=4","Abrir facsímil")</f>
        <v>Abrir facsímil</v>
      </c>
      <c r="K628" s="15" t="s">
        <v>23</v>
      </c>
    </row>
    <row r="629" spans="1:11" ht="42" customHeight="1">
      <c r="A629" s="4" t="s">
        <v>1732</v>
      </c>
      <c r="B629" s="5" t="s">
        <v>1733</v>
      </c>
      <c r="C629" s="5" t="s">
        <v>29</v>
      </c>
      <c r="D629" s="5" t="s">
        <v>30</v>
      </c>
      <c r="E629" s="5" t="s">
        <v>491</v>
      </c>
      <c r="F629" s="9">
        <v>57</v>
      </c>
      <c r="G629" s="9">
        <v>689</v>
      </c>
      <c r="H629" s="5" t="s">
        <v>21</v>
      </c>
      <c r="I629" s="5" t="s">
        <v>1734</v>
      </c>
      <c r="J629" s="12" t="str">
        <f>HYPERLINK("https://www.boe.es/gazeta/dias/1802/07/16/pdfs/GMD-1802-57.pdf#page=9","Abrir facsímil")</f>
        <v>Abrir facsímil</v>
      </c>
      <c r="K629" s="15" t="s">
        <v>23</v>
      </c>
    </row>
    <row r="630" spans="1:11" ht="42" customHeight="1">
      <c r="A630" s="4" t="s">
        <v>1732</v>
      </c>
      <c r="B630" s="5" t="s">
        <v>1733</v>
      </c>
      <c r="C630" s="5" t="s">
        <v>18</v>
      </c>
      <c r="D630" s="5" t="s">
        <v>19</v>
      </c>
      <c r="E630" s="5" t="s">
        <v>49</v>
      </c>
      <c r="F630" s="9">
        <v>83</v>
      </c>
      <c r="G630" s="9">
        <v>1023</v>
      </c>
      <c r="H630" s="5" t="s">
        <v>21</v>
      </c>
      <c r="I630" s="5" t="s">
        <v>1735</v>
      </c>
      <c r="J630" s="12" t="str">
        <f>HYPERLINK("https://www.boe.es/gazeta/dias/1802/10/12/pdfs/GMD-1802-83.pdf#page=11","Abrir facsímil")</f>
        <v>Abrir facsímil</v>
      </c>
      <c r="K630" s="15" t="s">
        <v>23</v>
      </c>
    </row>
    <row r="631" spans="1:11" ht="42" customHeight="1">
      <c r="A631" s="4" t="s">
        <v>1736</v>
      </c>
      <c r="B631" s="5" t="s">
        <v>1737</v>
      </c>
      <c r="C631" s="5" t="s">
        <v>18</v>
      </c>
      <c r="D631" s="5" t="s">
        <v>19</v>
      </c>
      <c r="E631" s="5" t="s">
        <v>20</v>
      </c>
      <c r="F631" s="9">
        <v>84</v>
      </c>
      <c r="G631" s="9">
        <v>1044</v>
      </c>
      <c r="H631" s="5" t="s">
        <v>21</v>
      </c>
      <c r="I631" s="5" t="s">
        <v>1738</v>
      </c>
      <c r="J631" s="12" t="str">
        <f>HYPERLINK("https://www.boe.es/gazeta/dias/1802/10/15/pdfs/GMD-1802-84.pdf#page=12","Abrir facsímil")</f>
        <v>Abrir facsímil</v>
      </c>
      <c r="K631" s="15" t="s">
        <v>23</v>
      </c>
    </row>
    <row r="632" spans="1:11" ht="42" customHeight="1">
      <c r="A632" s="4" t="s">
        <v>1739</v>
      </c>
      <c r="B632" s="5" t="s">
        <v>1740</v>
      </c>
      <c r="C632" s="5" t="s">
        <v>160</v>
      </c>
      <c r="D632" s="5" t="s">
        <v>91</v>
      </c>
      <c r="E632" s="5" t="s">
        <v>20</v>
      </c>
      <c r="F632" s="9">
        <v>84</v>
      </c>
      <c r="G632" s="9">
        <v>1044</v>
      </c>
      <c r="H632" s="5" t="s">
        <v>21</v>
      </c>
      <c r="I632" s="5" t="s">
        <v>1741</v>
      </c>
      <c r="J632" s="12" t="str">
        <f>HYPERLINK("https://www.boe.es/gazeta/dias/1802/10/15/pdfs/GMD-1802-84.pdf#page=12","Abrir facsímil")</f>
        <v>Abrir facsímil</v>
      </c>
      <c r="K632" s="15" t="s">
        <v>23</v>
      </c>
    </row>
    <row r="633" spans="1:11" ht="42" customHeight="1">
      <c r="A633" s="4" t="s">
        <v>1742</v>
      </c>
      <c r="B633" s="5" t="s">
        <v>1743</v>
      </c>
      <c r="C633" s="5" t="s">
        <v>29</v>
      </c>
      <c r="D633" s="5" t="s">
        <v>30</v>
      </c>
      <c r="E633" s="5" t="s">
        <v>635</v>
      </c>
      <c r="F633" s="9">
        <v>47</v>
      </c>
      <c r="G633" s="9">
        <v>573</v>
      </c>
      <c r="H633" s="5" t="s">
        <v>21</v>
      </c>
      <c r="I633" s="5" t="s">
        <v>1744</v>
      </c>
      <c r="J633" s="12" t="str">
        <f>HYPERLINK("https://www.boe.es/gazeta/dias/1802/06/11/pdfs/GMD-1802-47.pdf#page=9","Abrir facsímil")</f>
        <v>Abrir facsímil</v>
      </c>
      <c r="K633" s="15" t="s">
        <v>23</v>
      </c>
    </row>
    <row r="634" spans="1:11" ht="42" customHeight="1">
      <c r="A634" s="4" t="s">
        <v>1745</v>
      </c>
      <c r="B634" s="5" t="s">
        <v>1746</v>
      </c>
      <c r="C634" s="5" t="s">
        <v>18</v>
      </c>
      <c r="D634" s="5" t="s">
        <v>19</v>
      </c>
      <c r="E634" s="5" t="s">
        <v>49</v>
      </c>
      <c r="F634" s="9">
        <v>83</v>
      </c>
      <c r="G634" s="9">
        <v>1025</v>
      </c>
      <c r="H634" s="5" t="s">
        <v>21</v>
      </c>
      <c r="I634" s="5" t="s">
        <v>1747</v>
      </c>
      <c r="J634" s="12" t="str">
        <f>HYPERLINK("https://www.boe.es/gazeta/dias/1802/10/12/pdfs/GMD-1802-83.pdf#page=13","Abrir facsímil")</f>
        <v>Abrir facsímil</v>
      </c>
      <c r="K634" s="15" t="s">
        <v>23</v>
      </c>
    </row>
    <row r="635" spans="1:11" ht="42" customHeight="1">
      <c r="A635" s="4" t="s">
        <v>1748</v>
      </c>
      <c r="B635" s="5" t="s">
        <v>1748</v>
      </c>
      <c r="C635" s="5" t="s">
        <v>29</v>
      </c>
      <c r="D635" s="5" t="s">
        <v>30</v>
      </c>
      <c r="E635" s="5" t="s">
        <v>1749</v>
      </c>
      <c r="F635" s="9">
        <v>60</v>
      </c>
      <c r="G635" s="9">
        <v>728</v>
      </c>
      <c r="H635" s="5" t="s">
        <v>21</v>
      </c>
      <c r="I635" s="5" t="s">
        <v>1750</v>
      </c>
      <c r="J635" s="12" t="str">
        <f>HYPERLINK("https://www.boe.es/gazeta/dias/1802/07/23/pdfs/GMD-1802-60.pdf#page=12","Abrir facsímil")</f>
        <v>Abrir facsímil</v>
      </c>
      <c r="K635" s="15" t="s">
        <v>23</v>
      </c>
    </row>
    <row r="636" spans="1:11" ht="42" customHeight="1">
      <c r="A636" s="4" t="s">
        <v>1751</v>
      </c>
      <c r="B636" s="5" t="s">
        <v>1751</v>
      </c>
      <c r="C636" s="5" t="s">
        <v>90</v>
      </c>
      <c r="D636" s="5" t="s">
        <v>91</v>
      </c>
      <c r="E636" s="5" t="s">
        <v>389</v>
      </c>
      <c r="F636" s="9">
        <v>96</v>
      </c>
      <c r="G636" s="9">
        <v>1189</v>
      </c>
      <c r="H636" s="5" t="s">
        <v>21</v>
      </c>
      <c r="I636" s="5" t="s">
        <v>1752</v>
      </c>
      <c r="J636" s="12" t="str">
        <f>HYPERLINK("https://www.boe.es/gazeta/dias/1802/11/26/pdfs/GMD-1802-96.pdf#page=9","Abrir facsímil")</f>
        <v>Abrir facsímil</v>
      </c>
      <c r="K636" s="15" t="s">
        <v>23</v>
      </c>
    </row>
    <row r="637" spans="1:11" ht="42" customHeight="1">
      <c r="A637" s="4" t="s">
        <v>1753</v>
      </c>
      <c r="B637" s="5" t="s">
        <v>1753</v>
      </c>
      <c r="C637" s="5" t="s">
        <v>160</v>
      </c>
      <c r="D637" s="5" t="s">
        <v>91</v>
      </c>
      <c r="E637" s="5" t="s">
        <v>71</v>
      </c>
      <c r="F637" s="9">
        <v>21</v>
      </c>
      <c r="G637" s="9">
        <v>234</v>
      </c>
      <c r="H637" s="5" t="s">
        <v>21</v>
      </c>
      <c r="I637" s="5" t="s">
        <v>1754</v>
      </c>
      <c r="J637" s="12" t="str">
        <f>HYPERLINK("https://www.boe.es/gazeta/dias/1802/03/12/pdfs/GMD-1802-21.pdf#page=10","Abrir facsímil")</f>
        <v>Abrir facsímil</v>
      </c>
      <c r="K637" s="15" t="s">
        <v>23</v>
      </c>
    </row>
    <row r="638" spans="1:11" ht="42" customHeight="1">
      <c r="A638" s="4" t="s">
        <v>1755</v>
      </c>
      <c r="B638" s="5" t="s">
        <v>1755</v>
      </c>
      <c r="C638" s="5" t="s">
        <v>90</v>
      </c>
      <c r="D638" s="5" t="s">
        <v>91</v>
      </c>
      <c r="E638" s="5" t="s">
        <v>1618</v>
      </c>
      <c r="F638" s="9">
        <v>31</v>
      </c>
      <c r="G638" s="9">
        <v>366</v>
      </c>
      <c r="H638" s="5" t="s">
        <v>21</v>
      </c>
      <c r="I638" s="5" t="s">
        <v>1756</v>
      </c>
      <c r="J638" s="12" t="str">
        <f>HYPERLINK("https://www.boe.es/gazeta/dias/1802/04/16/pdfs/GMD-1802-31.pdf#page=10","Abrir facsímil")</f>
        <v>Abrir facsímil</v>
      </c>
      <c r="K638" s="15" t="s">
        <v>23</v>
      </c>
    </row>
    <row r="639" spans="1:11" ht="42" customHeight="1">
      <c r="A639" s="4" t="s">
        <v>1757</v>
      </c>
      <c r="B639" s="5" t="s">
        <v>1758</v>
      </c>
      <c r="C639" s="5" t="s">
        <v>29</v>
      </c>
      <c r="D639" s="5" t="s">
        <v>30</v>
      </c>
      <c r="E639" s="5" t="s">
        <v>20</v>
      </c>
      <c r="F639" s="9">
        <v>84</v>
      </c>
      <c r="G639" s="9">
        <v>1041</v>
      </c>
      <c r="H639" s="5" t="s">
        <v>21</v>
      </c>
      <c r="I639" s="5" t="s">
        <v>1759</v>
      </c>
      <c r="J639" s="12" t="str">
        <f>HYPERLINK("https://www.boe.es/gazeta/dias/1802/10/15/pdfs/GMD-1802-84.pdf#page=9","Abrir facsímil")</f>
        <v>Abrir facsímil</v>
      </c>
      <c r="K639" s="15" t="s">
        <v>23</v>
      </c>
    </row>
    <row r="640" spans="1:11" ht="42" customHeight="1">
      <c r="A640" s="4" t="s">
        <v>1760</v>
      </c>
      <c r="B640" s="5" t="s">
        <v>1761</v>
      </c>
      <c r="C640" s="5" t="s">
        <v>18</v>
      </c>
      <c r="D640" s="5" t="s">
        <v>19</v>
      </c>
      <c r="E640" s="5" t="s">
        <v>20</v>
      </c>
      <c r="F640" s="9">
        <v>84</v>
      </c>
      <c r="G640" s="9">
        <v>1042</v>
      </c>
      <c r="H640" s="5" t="s">
        <v>21</v>
      </c>
      <c r="I640" s="5" t="s">
        <v>1762</v>
      </c>
      <c r="J640" s="12" t="str">
        <f>HYPERLINK("https://www.boe.es/gazeta/dias/1802/10/15/pdfs/GMD-1802-84.pdf#page=10","Abrir facsímil")</f>
        <v>Abrir facsímil</v>
      </c>
      <c r="K640" s="15" t="s">
        <v>23</v>
      </c>
    </row>
    <row r="641" spans="1:11" ht="42" customHeight="1">
      <c r="A641" s="4" t="s">
        <v>1763</v>
      </c>
      <c r="B641" s="5" t="s">
        <v>1764</v>
      </c>
      <c r="C641" s="5" t="s">
        <v>29</v>
      </c>
      <c r="D641" s="5" t="s">
        <v>30</v>
      </c>
      <c r="E641" s="5" t="s">
        <v>172</v>
      </c>
      <c r="F641" s="9">
        <v>35</v>
      </c>
      <c r="G641" s="9">
        <v>415</v>
      </c>
      <c r="H641" s="5" t="s">
        <v>21</v>
      </c>
      <c r="I641" s="5" t="s">
        <v>1765</v>
      </c>
      <c r="J641" s="12" t="str">
        <f>HYPERLINK("https://www.boe.es/gazeta/dias/1802/04/30/pdfs/GMD-1802-35.pdf#page=15","Abrir facsímil")</f>
        <v>Abrir facsímil</v>
      </c>
      <c r="K641" s="15" t="s">
        <v>23</v>
      </c>
    </row>
    <row r="642" spans="1:11" ht="42" customHeight="1">
      <c r="A642" s="4" t="s">
        <v>1766</v>
      </c>
      <c r="B642" s="5" t="s">
        <v>1767</v>
      </c>
      <c r="C642" s="5" t="s">
        <v>18</v>
      </c>
      <c r="D642" s="5" t="s">
        <v>19</v>
      </c>
      <c r="E642" s="5" t="s">
        <v>20</v>
      </c>
      <c r="F642" s="9">
        <v>84</v>
      </c>
      <c r="G642" s="9">
        <v>1042</v>
      </c>
      <c r="H642" s="5" t="s">
        <v>21</v>
      </c>
      <c r="I642" s="5" t="s">
        <v>1768</v>
      </c>
      <c r="J642" s="12" t="str">
        <f>HYPERLINK("https://www.boe.es/gazeta/dias/1802/10/15/pdfs/GMD-1802-84.pdf#page=10","Abrir facsímil")</f>
        <v>Abrir facsímil</v>
      </c>
      <c r="K642" s="15" t="s">
        <v>23</v>
      </c>
    </row>
    <row r="643" spans="1:11" ht="42" customHeight="1">
      <c r="A643" s="4" t="s">
        <v>1769</v>
      </c>
      <c r="B643" s="5" t="s">
        <v>1770</v>
      </c>
      <c r="C643" s="5" t="s">
        <v>35</v>
      </c>
      <c r="D643" s="5" t="s">
        <v>36</v>
      </c>
      <c r="E643" s="5" t="s">
        <v>339</v>
      </c>
      <c r="F643" s="9">
        <v>39</v>
      </c>
      <c r="G643" s="9">
        <v>463</v>
      </c>
      <c r="H643" s="5" t="s">
        <v>21</v>
      </c>
      <c r="I643" s="5" t="s">
        <v>1771</v>
      </c>
      <c r="J643" s="12" t="str">
        <f>HYPERLINK("https://www.boe.es/gazeta/dias/1802/05/14/pdfs/GMD-1802-39.pdf#page=7","Abrir facsímil")</f>
        <v>Abrir facsímil</v>
      </c>
      <c r="K643" s="15" t="s">
        <v>23</v>
      </c>
    </row>
    <row r="644" spans="1:11" ht="42" customHeight="1">
      <c r="A644" s="4" t="s">
        <v>1769</v>
      </c>
      <c r="B644" s="5" t="s">
        <v>1770</v>
      </c>
      <c r="C644" s="5" t="s">
        <v>35</v>
      </c>
      <c r="D644" s="5" t="s">
        <v>36</v>
      </c>
      <c r="E644" s="5" t="s">
        <v>339</v>
      </c>
      <c r="F644" s="9">
        <v>39</v>
      </c>
      <c r="G644" s="9">
        <v>464</v>
      </c>
      <c r="H644" s="5" t="s">
        <v>21</v>
      </c>
      <c r="I644" s="5" t="s">
        <v>1772</v>
      </c>
      <c r="J644" s="12" t="str">
        <f>HYPERLINK("https://www.boe.es/gazeta/dias/1802/05/14/pdfs/GMD-1802-39.pdf#page=8","Abrir facsímil")</f>
        <v>Abrir facsímil</v>
      </c>
      <c r="K644" s="15" t="s">
        <v>23</v>
      </c>
    </row>
    <row r="645" spans="1:11" ht="42" customHeight="1">
      <c r="A645" s="4" t="s">
        <v>1773</v>
      </c>
      <c r="B645" s="5" t="s">
        <v>1774</v>
      </c>
      <c r="C645" s="5" t="s">
        <v>29</v>
      </c>
      <c r="D645" s="5" t="s">
        <v>30</v>
      </c>
      <c r="E645" s="5" t="s">
        <v>481</v>
      </c>
      <c r="F645" s="9">
        <v>79</v>
      </c>
      <c r="G645" s="9">
        <v>974</v>
      </c>
      <c r="H645" s="5" t="s">
        <v>21</v>
      </c>
      <c r="I645" s="5" t="s">
        <v>1775</v>
      </c>
      <c r="J645" s="12" t="str">
        <f>HYPERLINK("https://www.boe.es/gazeta/dias/1802/09/28/pdfs/GMD-1802-79.pdf#page=10","Abrir facsímil")</f>
        <v>Abrir facsímil</v>
      </c>
      <c r="K645" s="15" t="s">
        <v>23</v>
      </c>
    </row>
    <row r="646" spans="1:11" ht="42" customHeight="1">
      <c r="A646" s="4" t="s">
        <v>1776</v>
      </c>
      <c r="B646" s="5" t="s">
        <v>1776</v>
      </c>
      <c r="C646" s="5" t="s">
        <v>29</v>
      </c>
      <c r="D646" s="5" t="s">
        <v>30</v>
      </c>
      <c r="E646" s="5" t="s">
        <v>131</v>
      </c>
      <c r="F646" s="9">
        <v>11</v>
      </c>
      <c r="G646" s="9">
        <v>114</v>
      </c>
      <c r="H646" s="5" t="s">
        <v>21</v>
      </c>
      <c r="I646" s="5" t="s">
        <v>1777</v>
      </c>
      <c r="J646" s="12" t="str">
        <f>HYPERLINK("https://www.boe.es/gazeta/dias/1802/02/05/pdfs/GMD-1802-11.pdf#page=10","Abrir facsímil")</f>
        <v>Abrir facsímil</v>
      </c>
      <c r="K646" s="15" t="s">
        <v>23</v>
      </c>
    </row>
    <row r="647" spans="1:11" ht="42" customHeight="1">
      <c r="A647" s="4" t="s">
        <v>1778</v>
      </c>
      <c r="B647" s="5" t="s">
        <v>1778</v>
      </c>
      <c r="C647" s="5" t="s">
        <v>18</v>
      </c>
      <c r="D647" s="5" t="s">
        <v>19</v>
      </c>
      <c r="E647" s="5" t="s">
        <v>826</v>
      </c>
      <c r="F647" s="9">
        <v>67</v>
      </c>
      <c r="G647" s="9">
        <v>818</v>
      </c>
      <c r="H647" s="5" t="s">
        <v>21</v>
      </c>
      <c r="I647" s="5" t="s">
        <v>1779</v>
      </c>
      <c r="J647" s="12" t="str">
        <f>HYPERLINK("https://www.boe.es/gazeta/dias/1802/08/17/pdfs/GMD-1802-67.pdf#page=6","Abrir facsímil")</f>
        <v>Abrir facsímil</v>
      </c>
      <c r="K647" s="15" t="s">
        <v>23</v>
      </c>
    </row>
    <row r="648" spans="1:11" ht="42" customHeight="1">
      <c r="A648" s="4" t="s">
        <v>1780</v>
      </c>
      <c r="B648" s="5" t="s">
        <v>1781</v>
      </c>
      <c r="C648" s="5" t="s">
        <v>29</v>
      </c>
      <c r="D648" s="5" t="s">
        <v>30</v>
      </c>
      <c r="E648" s="5" t="s">
        <v>31</v>
      </c>
      <c r="F648" s="9">
        <v>27</v>
      </c>
      <c r="G648" s="9">
        <v>317</v>
      </c>
      <c r="H648" s="5" t="s">
        <v>21</v>
      </c>
      <c r="I648" s="5" t="s">
        <v>1782</v>
      </c>
      <c r="J648" s="12" t="str">
        <f>HYPERLINK("https://www.boe.es/gazeta/dias/1802/04/02/pdfs/GMD-1802-27.pdf#page=13","Abrir facsímil")</f>
        <v>Abrir facsímil</v>
      </c>
      <c r="K648" s="15" t="s">
        <v>23</v>
      </c>
    </row>
    <row r="649" spans="1:11" ht="42" customHeight="1">
      <c r="A649" s="4" t="s">
        <v>1783</v>
      </c>
      <c r="B649" s="5" t="s">
        <v>1783</v>
      </c>
      <c r="C649" s="5" t="s">
        <v>29</v>
      </c>
      <c r="D649" s="5" t="s">
        <v>30</v>
      </c>
      <c r="E649" s="5" t="s">
        <v>109</v>
      </c>
      <c r="F649" s="9">
        <v>10</v>
      </c>
      <c r="G649" s="9">
        <v>99</v>
      </c>
      <c r="H649" s="5" t="s">
        <v>21</v>
      </c>
      <c r="I649" s="5" t="s">
        <v>1784</v>
      </c>
      <c r="J649" s="12" t="str">
        <f>HYPERLINK("https://www.boe.es/gazeta/dias/1802/02/02/pdfs/GMD-1802-10.pdf#page=7","Abrir facsímil")</f>
        <v>Abrir facsímil</v>
      </c>
      <c r="K649" s="15" t="s">
        <v>23</v>
      </c>
    </row>
    <row r="650" spans="1:11" ht="42" customHeight="1">
      <c r="A650" s="4" t="s">
        <v>1785</v>
      </c>
      <c r="B650" s="5" t="s">
        <v>1785</v>
      </c>
      <c r="C650" s="5" t="s">
        <v>29</v>
      </c>
      <c r="D650" s="5" t="s">
        <v>30</v>
      </c>
      <c r="E650" s="5" t="s">
        <v>86</v>
      </c>
      <c r="F650" s="9">
        <v>26</v>
      </c>
      <c r="G650" s="9">
        <v>298</v>
      </c>
      <c r="H650" s="5" t="s">
        <v>21</v>
      </c>
      <c r="I650" s="5" t="s">
        <v>1786</v>
      </c>
      <c r="J650" s="12" t="str">
        <f>HYPERLINK("https://www.boe.es/gazeta/dias/1802/03/30/pdfs/GMD-1802-26.pdf#page=10","Abrir facsímil")</f>
        <v>Abrir facsímil</v>
      </c>
      <c r="K650" s="15" t="s">
        <v>23</v>
      </c>
    </row>
    <row r="651" spans="1:11" ht="42" customHeight="1">
      <c r="A651" s="4" t="s">
        <v>1787</v>
      </c>
      <c r="B651" s="5" t="s">
        <v>1787</v>
      </c>
      <c r="C651" s="5" t="s">
        <v>35</v>
      </c>
      <c r="D651" s="5" t="s">
        <v>36</v>
      </c>
      <c r="E651" s="5" t="s">
        <v>276</v>
      </c>
      <c r="F651" s="9">
        <v>75</v>
      </c>
      <c r="G651" s="9">
        <v>926</v>
      </c>
      <c r="H651" s="5" t="s">
        <v>21</v>
      </c>
      <c r="I651" s="5" t="s">
        <v>1788</v>
      </c>
      <c r="J651" s="12" t="str">
        <f>HYPERLINK("https://www.boe.es/gazeta/dias/1802/09/14/pdfs/GMD-1802-75.pdf#page=10","Abrir facsímil")</f>
        <v>Abrir facsímil</v>
      </c>
      <c r="K651" s="15" t="s">
        <v>23</v>
      </c>
    </row>
    <row r="652" spans="1:11" ht="42" customHeight="1">
      <c r="A652" s="4" t="s">
        <v>1789</v>
      </c>
      <c r="B652" s="5" t="s">
        <v>1789</v>
      </c>
      <c r="C652" s="5" t="s">
        <v>35</v>
      </c>
      <c r="D652" s="5" t="s">
        <v>36</v>
      </c>
      <c r="E652" s="5" t="s">
        <v>276</v>
      </c>
      <c r="F652" s="9">
        <v>75</v>
      </c>
      <c r="G652" s="9">
        <v>925</v>
      </c>
      <c r="H652" s="5" t="s">
        <v>21</v>
      </c>
      <c r="I652" s="5" t="s">
        <v>1790</v>
      </c>
      <c r="J652" s="12" t="str">
        <f>HYPERLINK("https://www.boe.es/gazeta/dias/1802/09/14/pdfs/GMD-1802-75.pdf#page=9","Abrir facsímil")</f>
        <v>Abrir facsímil</v>
      </c>
      <c r="K652" s="15" t="s">
        <v>23</v>
      </c>
    </row>
    <row r="653" spans="1:11" ht="42" customHeight="1">
      <c r="A653" s="4" t="s">
        <v>1791</v>
      </c>
      <c r="B653" s="5" t="s">
        <v>1791</v>
      </c>
      <c r="C653" s="5" t="s">
        <v>160</v>
      </c>
      <c r="D653" s="5" t="s">
        <v>91</v>
      </c>
      <c r="E653" s="5" t="s">
        <v>148</v>
      </c>
      <c r="F653" s="9">
        <v>66</v>
      </c>
      <c r="G653" s="9">
        <v>808</v>
      </c>
      <c r="H653" s="5" t="s">
        <v>21</v>
      </c>
      <c r="I653" s="5" t="s">
        <v>1792</v>
      </c>
      <c r="J653" s="12" t="str">
        <f>HYPERLINK("https://www.boe.es/gazeta/dias/1802/08/13/pdfs/GMD-1802-66.pdf#page=12","Abrir facsímil")</f>
        <v>Abrir facsímil</v>
      </c>
      <c r="K653" s="15" t="s">
        <v>23</v>
      </c>
    </row>
    <row r="654" spans="1:11" ht="42" customHeight="1">
      <c r="A654" s="4" t="s">
        <v>1793</v>
      </c>
      <c r="B654" s="5" t="s">
        <v>1793</v>
      </c>
      <c r="C654" s="5" t="s">
        <v>18</v>
      </c>
      <c r="D654" s="5" t="s">
        <v>19</v>
      </c>
      <c r="E654" s="5" t="s">
        <v>152</v>
      </c>
      <c r="F654" s="9">
        <v>25</v>
      </c>
      <c r="G654" s="9">
        <v>284</v>
      </c>
      <c r="H654" s="5" t="s">
        <v>21</v>
      </c>
      <c r="I654" s="5" t="s">
        <v>1794</v>
      </c>
      <c r="J654" s="12" t="str">
        <f>HYPERLINK("https://www.boe.es/gazeta/dias/1802/03/26/pdfs/GMD-1802-25.pdf#page=8","Abrir facsímil")</f>
        <v>Abrir facsímil</v>
      </c>
      <c r="K654" s="15" t="s">
        <v>23</v>
      </c>
    </row>
    <row r="655" spans="1:11" ht="42" customHeight="1">
      <c r="A655" s="4" t="s">
        <v>1795</v>
      </c>
      <c r="B655" s="5" t="s">
        <v>1795</v>
      </c>
      <c r="C655" s="5" t="s">
        <v>29</v>
      </c>
      <c r="D655" s="5" t="s">
        <v>30</v>
      </c>
      <c r="E655" s="5" t="s">
        <v>71</v>
      </c>
      <c r="F655" s="9">
        <v>21</v>
      </c>
      <c r="G655" s="9">
        <v>234</v>
      </c>
      <c r="H655" s="5" t="s">
        <v>21</v>
      </c>
      <c r="I655" s="5" t="s">
        <v>1796</v>
      </c>
      <c r="J655" s="12" t="str">
        <f>HYPERLINK("https://www.boe.es/gazeta/dias/1802/03/12/pdfs/GMD-1802-21.pdf#page=10","Abrir facsímil")</f>
        <v>Abrir facsímil</v>
      </c>
      <c r="K655" s="15" t="s">
        <v>23</v>
      </c>
    </row>
    <row r="656" spans="1:11" ht="42" customHeight="1">
      <c r="A656" s="4" t="s">
        <v>1797</v>
      </c>
      <c r="B656" s="5" t="s">
        <v>1798</v>
      </c>
      <c r="C656" s="5" t="s">
        <v>55</v>
      </c>
      <c r="D656" s="5" t="s">
        <v>56</v>
      </c>
      <c r="E656" s="5" t="s">
        <v>188</v>
      </c>
      <c r="F656" s="9">
        <v>49</v>
      </c>
      <c r="G656" s="9">
        <v>600</v>
      </c>
      <c r="H656" s="5" t="s">
        <v>21</v>
      </c>
      <c r="I656" s="5" t="s">
        <v>1799</v>
      </c>
      <c r="J656" s="12" t="str">
        <f>HYPERLINK("https://www.boe.es/gazeta/dias/1802/06/18/pdfs/GMD-1802-49.pdf#page=12","Abrir facsímil")</f>
        <v>Abrir facsímil</v>
      </c>
      <c r="K656" s="15" t="s">
        <v>23</v>
      </c>
    </row>
    <row r="657" spans="1:11" ht="42" customHeight="1">
      <c r="A657" s="4" t="s">
        <v>1800</v>
      </c>
      <c r="B657" s="5" t="s">
        <v>1801</v>
      </c>
      <c r="C657" s="5" t="s">
        <v>18</v>
      </c>
      <c r="D657" s="5" t="s">
        <v>19</v>
      </c>
      <c r="E657" s="5" t="s">
        <v>20</v>
      </c>
      <c r="F657" s="9">
        <v>84</v>
      </c>
      <c r="G657" s="9">
        <v>1040</v>
      </c>
      <c r="H657" s="5" t="s">
        <v>21</v>
      </c>
      <c r="I657" s="5" t="s">
        <v>1802</v>
      </c>
      <c r="J657" s="12" t="str">
        <f>HYPERLINK("https://www.boe.es/gazeta/dias/1802/10/15/pdfs/GMD-1802-84.pdf#page=8","Abrir facsímil")</f>
        <v>Abrir facsímil</v>
      </c>
      <c r="K657" s="15" t="s">
        <v>23</v>
      </c>
    </row>
    <row r="658" spans="1:11" ht="42" customHeight="1">
      <c r="A658" s="4" t="s">
        <v>1803</v>
      </c>
      <c r="B658" s="5" t="s">
        <v>1804</v>
      </c>
      <c r="C658" s="5" t="s">
        <v>35</v>
      </c>
      <c r="D658" s="5" t="s">
        <v>36</v>
      </c>
      <c r="E658" s="5" t="s">
        <v>1618</v>
      </c>
      <c r="F658" s="9">
        <v>31</v>
      </c>
      <c r="G658" s="9">
        <v>361</v>
      </c>
      <c r="H658" s="5" t="s">
        <v>21</v>
      </c>
      <c r="I658" s="5" t="s">
        <v>1805</v>
      </c>
      <c r="J658" s="12" t="str">
        <f>HYPERLINK("https://www.boe.es/gazeta/dias/1802/04/16/pdfs/GMD-1802-31.pdf#page=5","Abrir facsímil")</f>
        <v>Abrir facsímil</v>
      </c>
      <c r="K658" s="15" t="s">
        <v>23</v>
      </c>
    </row>
    <row r="659" spans="1:11" ht="42" customHeight="1">
      <c r="A659" s="4" t="s">
        <v>1806</v>
      </c>
      <c r="B659" s="5" t="s">
        <v>1807</v>
      </c>
      <c r="C659" s="5" t="s">
        <v>18</v>
      </c>
      <c r="D659" s="5" t="s">
        <v>19</v>
      </c>
      <c r="E659" s="5" t="s">
        <v>152</v>
      </c>
      <c r="F659" s="9">
        <v>25</v>
      </c>
      <c r="G659" s="9">
        <v>284</v>
      </c>
      <c r="H659" s="5" t="s">
        <v>21</v>
      </c>
      <c r="I659" s="5" t="s">
        <v>1808</v>
      </c>
      <c r="J659" s="12" t="str">
        <f>HYPERLINK("https://www.boe.es/gazeta/dias/1802/03/26/pdfs/GMD-1802-25.pdf#page=8","Abrir facsímil")</f>
        <v>Abrir facsímil</v>
      </c>
      <c r="K659" s="15" t="s">
        <v>23</v>
      </c>
    </row>
    <row r="660" spans="1:11" ht="42" customHeight="1">
      <c r="A660" s="4" t="s">
        <v>1809</v>
      </c>
      <c r="B660" s="5" t="s">
        <v>1810</v>
      </c>
      <c r="C660" s="5" t="s">
        <v>18</v>
      </c>
      <c r="D660" s="5" t="s">
        <v>19</v>
      </c>
      <c r="E660" s="5" t="s">
        <v>453</v>
      </c>
      <c r="F660" s="9">
        <v>52</v>
      </c>
      <c r="G660" s="9">
        <v>630</v>
      </c>
      <c r="H660" s="5" t="s">
        <v>21</v>
      </c>
      <c r="I660" s="5" t="s">
        <v>1811</v>
      </c>
      <c r="J660" s="12" t="str">
        <f>HYPERLINK("https://www.boe.es/gazeta/dias/1802/06/29/pdfs/GMD-1802-52.pdf#page=6","Abrir facsímil")</f>
        <v>Abrir facsímil</v>
      </c>
      <c r="K660" s="15" t="s">
        <v>23</v>
      </c>
    </row>
    <row r="661" spans="1:11" ht="42" customHeight="1">
      <c r="A661" s="4" t="s">
        <v>1812</v>
      </c>
      <c r="B661" s="5" t="s">
        <v>1813</v>
      </c>
      <c r="C661" s="5" t="s">
        <v>35</v>
      </c>
      <c r="D661" s="5" t="s">
        <v>36</v>
      </c>
      <c r="E661" s="5" t="s">
        <v>642</v>
      </c>
      <c r="F661" s="9">
        <v>51</v>
      </c>
      <c r="G661" s="9">
        <v>621</v>
      </c>
      <c r="H661" s="5" t="s">
        <v>21</v>
      </c>
      <c r="I661" s="5" t="s">
        <v>1814</v>
      </c>
      <c r="J661" s="12" t="str">
        <f>HYPERLINK("https://www.boe.es/gazeta/dias/1802/06/25/pdfs/GMD-1802-51.pdf#page=9","Abrir facsímil")</f>
        <v>Abrir facsímil</v>
      </c>
      <c r="K661" s="15" t="s">
        <v>23</v>
      </c>
    </row>
    <row r="662" spans="1:11" ht="42" customHeight="1">
      <c r="A662" s="4" t="s">
        <v>1815</v>
      </c>
      <c r="B662" s="5" t="s">
        <v>1816</v>
      </c>
      <c r="C662" s="5" t="s">
        <v>90</v>
      </c>
      <c r="D662" s="5" t="s">
        <v>91</v>
      </c>
      <c r="E662" s="5" t="s">
        <v>678</v>
      </c>
      <c r="F662" s="9">
        <v>15</v>
      </c>
      <c r="G662" s="9">
        <v>158</v>
      </c>
      <c r="H662" s="5" t="s">
        <v>21</v>
      </c>
      <c r="I662" s="5" t="s">
        <v>1817</v>
      </c>
      <c r="J662" s="12" t="str">
        <f>HYPERLINK("https://www.boe.es/gazeta/dias/1802/02/19/pdfs/GMD-1802-15.pdf#page=10","Abrir facsímil")</f>
        <v>Abrir facsímil</v>
      </c>
      <c r="K662" s="15" t="s">
        <v>23</v>
      </c>
    </row>
    <row r="663" spans="1:11" ht="42" customHeight="1">
      <c r="A663" s="4" t="s">
        <v>1818</v>
      </c>
      <c r="B663" s="5" t="s">
        <v>1819</v>
      </c>
      <c r="C663" s="5" t="s">
        <v>55</v>
      </c>
      <c r="D663" s="5" t="s">
        <v>56</v>
      </c>
      <c r="E663" s="5" t="s">
        <v>826</v>
      </c>
      <c r="F663" s="9">
        <v>67</v>
      </c>
      <c r="G663" s="9">
        <v>822</v>
      </c>
      <c r="H663" s="5" t="s">
        <v>21</v>
      </c>
      <c r="I663" s="5" t="s">
        <v>1820</v>
      </c>
      <c r="J663" s="12" t="str">
        <f>HYPERLINK("https://www.boe.es/gazeta/dias/1802/08/17/pdfs/GMD-1802-67.pdf#page=10","Abrir facsímil")</f>
        <v>Abrir facsímil</v>
      </c>
      <c r="K663" s="15" t="s">
        <v>23</v>
      </c>
    </row>
    <row r="664" spans="1:11" ht="42" customHeight="1">
      <c r="A664" s="4" t="s">
        <v>1821</v>
      </c>
      <c r="B664" s="5" t="s">
        <v>1822</v>
      </c>
      <c r="C664" s="5" t="s">
        <v>29</v>
      </c>
      <c r="D664" s="5" t="s">
        <v>30</v>
      </c>
      <c r="E664" s="5" t="s">
        <v>175</v>
      </c>
      <c r="F664" s="9">
        <v>37</v>
      </c>
      <c r="G664" s="9">
        <v>442</v>
      </c>
      <c r="H664" s="5" t="s">
        <v>21</v>
      </c>
      <c r="I664" s="5" t="s">
        <v>1823</v>
      </c>
      <c r="J664" s="12" t="str">
        <f>HYPERLINK("https://www.boe.es/gazeta/dias/1802/05/07/pdfs/GMD-1802-37.pdf#page=10","Abrir facsímil")</f>
        <v>Abrir facsímil</v>
      </c>
      <c r="K664" s="15" t="s">
        <v>23</v>
      </c>
    </row>
    <row r="665" spans="1:11" ht="42" customHeight="1">
      <c r="A665" s="4" t="s">
        <v>1824</v>
      </c>
      <c r="B665" s="5" t="s">
        <v>1825</v>
      </c>
      <c r="C665" s="5" t="s">
        <v>18</v>
      </c>
      <c r="D665" s="5" t="s">
        <v>19</v>
      </c>
      <c r="E665" s="5" t="s">
        <v>49</v>
      </c>
      <c r="F665" s="9">
        <v>83</v>
      </c>
      <c r="G665" s="9">
        <v>1023</v>
      </c>
      <c r="H665" s="5" t="s">
        <v>21</v>
      </c>
      <c r="I665" s="5" t="s">
        <v>1826</v>
      </c>
      <c r="J665" s="12" t="str">
        <f>HYPERLINK("https://www.boe.es/gazeta/dias/1802/10/12/pdfs/GMD-1802-83.pdf#page=11","Abrir facsímil")</f>
        <v>Abrir facsímil</v>
      </c>
      <c r="K665" s="15" t="s">
        <v>23</v>
      </c>
    </row>
    <row r="666" spans="1:11" ht="42" customHeight="1">
      <c r="A666" s="4" t="s">
        <v>1827</v>
      </c>
      <c r="B666" s="5" t="s">
        <v>1828</v>
      </c>
      <c r="C666" s="5" t="s">
        <v>55</v>
      </c>
      <c r="D666" s="5" t="s">
        <v>56</v>
      </c>
      <c r="E666" s="5" t="s">
        <v>1829</v>
      </c>
      <c r="F666" s="9">
        <v>32</v>
      </c>
      <c r="G666" s="9">
        <v>380</v>
      </c>
      <c r="H666" s="5" t="s">
        <v>21</v>
      </c>
      <c r="I666" s="5" t="s">
        <v>1830</v>
      </c>
      <c r="J666" s="12" t="str">
        <f>HYPERLINK("https://www.boe.es/gazeta/dias/1802/04/20/pdfs/GMD-1802-32.pdf#page=12","Abrir facsímil")</f>
        <v>Abrir facsímil</v>
      </c>
      <c r="K666" s="15" t="s">
        <v>23</v>
      </c>
    </row>
    <row r="667" spans="1:11" ht="42" customHeight="1">
      <c r="A667" s="4" t="s">
        <v>1831</v>
      </c>
      <c r="B667" s="5" t="s">
        <v>1832</v>
      </c>
      <c r="C667" s="5" t="s">
        <v>35</v>
      </c>
      <c r="D667" s="5" t="s">
        <v>36</v>
      </c>
      <c r="E667" s="5" t="s">
        <v>1289</v>
      </c>
      <c r="F667" s="9">
        <v>72</v>
      </c>
      <c r="G667" s="9">
        <v>883</v>
      </c>
      <c r="H667" s="5" t="s">
        <v>21</v>
      </c>
      <c r="I667" s="5" t="s">
        <v>1833</v>
      </c>
      <c r="J667" s="12" t="str">
        <f>HYPERLINK("https://www.boe.es/gazeta/dias/1802/09/03/pdfs/GMD-1802-72.pdf#page=3","Abrir facsímil")</f>
        <v>Abrir facsímil</v>
      </c>
      <c r="K667" s="15" t="s">
        <v>23</v>
      </c>
    </row>
    <row r="668" spans="1:11" ht="42" customHeight="1">
      <c r="A668" s="4" t="s">
        <v>1834</v>
      </c>
      <c r="B668" s="5" t="s">
        <v>1835</v>
      </c>
      <c r="C668" s="5" t="s">
        <v>35</v>
      </c>
      <c r="D668" s="5" t="s">
        <v>36</v>
      </c>
      <c r="E668" s="5" t="s">
        <v>332</v>
      </c>
      <c r="F668" s="9">
        <v>24</v>
      </c>
      <c r="G668" s="9">
        <v>268</v>
      </c>
      <c r="H668" s="5" t="s">
        <v>21</v>
      </c>
      <c r="I668" s="5" t="s">
        <v>1836</v>
      </c>
      <c r="J668" s="12" t="str">
        <f>HYPERLINK("https://www.boe.es/gazeta/dias/1802/03/23/pdfs/GMD-1802-24.pdf#page=4","Abrir facsímil")</f>
        <v>Abrir facsímil</v>
      </c>
      <c r="K668" s="15" t="s">
        <v>23</v>
      </c>
    </row>
    <row r="669" spans="1:11" ht="42" customHeight="1">
      <c r="A669" s="4" t="s">
        <v>1837</v>
      </c>
      <c r="B669" s="5" t="s">
        <v>1838</v>
      </c>
      <c r="C669" s="5" t="s">
        <v>29</v>
      </c>
      <c r="D669" s="5" t="s">
        <v>30</v>
      </c>
      <c r="E669" s="5" t="s">
        <v>109</v>
      </c>
      <c r="F669" s="9">
        <v>10</v>
      </c>
      <c r="G669" s="9">
        <v>94</v>
      </c>
      <c r="H669" s="5" t="s">
        <v>21</v>
      </c>
      <c r="I669" s="5" t="s">
        <v>1839</v>
      </c>
      <c r="J669" s="12" t="str">
        <f>HYPERLINK("https://www.boe.es/gazeta/dias/1802/02/02/pdfs/GMD-1802-10.pdf#page=2","Abrir facsímil")</f>
        <v>Abrir facsímil</v>
      </c>
      <c r="K669" s="15" t="s">
        <v>23</v>
      </c>
    </row>
    <row r="670" spans="1:11" ht="42" customHeight="1">
      <c r="A670" s="4" t="s">
        <v>1840</v>
      </c>
      <c r="B670" s="5" t="s">
        <v>1841</v>
      </c>
      <c r="C670" s="5" t="s">
        <v>35</v>
      </c>
      <c r="D670" s="5" t="s">
        <v>36</v>
      </c>
      <c r="E670" s="5" t="s">
        <v>381</v>
      </c>
      <c r="F670" s="9">
        <v>13</v>
      </c>
      <c r="G670" s="9">
        <v>127</v>
      </c>
      <c r="H670" s="5" t="s">
        <v>21</v>
      </c>
      <c r="I670" s="5" t="s">
        <v>1842</v>
      </c>
      <c r="J670" s="12" t="str">
        <f>HYPERLINK("https://www.boe.es/gazeta/dias/1802/02/12/pdfs/GMD-1802-13.pdf#page=3","Abrir facsímil")</f>
        <v>Abrir facsímil</v>
      </c>
      <c r="K670" s="15" t="s">
        <v>23</v>
      </c>
    </row>
    <row r="671" spans="1:11" ht="42" customHeight="1">
      <c r="A671" s="4" t="s">
        <v>1837</v>
      </c>
      <c r="B671" s="5" t="s">
        <v>1838</v>
      </c>
      <c r="C671" s="5" t="s">
        <v>18</v>
      </c>
      <c r="D671" s="5" t="s">
        <v>19</v>
      </c>
      <c r="E671" s="5" t="s">
        <v>152</v>
      </c>
      <c r="F671" s="9">
        <v>25</v>
      </c>
      <c r="G671" s="9">
        <v>279</v>
      </c>
      <c r="H671" s="5" t="s">
        <v>21</v>
      </c>
      <c r="I671" s="5" t="s">
        <v>1843</v>
      </c>
      <c r="J671" s="12" t="str">
        <f>HYPERLINK("https://www.boe.es/gazeta/dias/1802/03/26/pdfs/GMD-1802-25.pdf#page=3","Abrir facsímil")</f>
        <v>Abrir facsímil</v>
      </c>
      <c r="K671" s="15" t="s">
        <v>23</v>
      </c>
    </row>
    <row r="672" spans="1:11" ht="42" customHeight="1">
      <c r="A672" s="4" t="s">
        <v>1837</v>
      </c>
      <c r="B672" s="5" t="s">
        <v>1838</v>
      </c>
      <c r="C672" s="5" t="s">
        <v>90</v>
      </c>
      <c r="D672" s="5" t="s">
        <v>91</v>
      </c>
      <c r="E672" s="5" t="s">
        <v>148</v>
      </c>
      <c r="F672" s="9">
        <v>66</v>
      </c>
      <c r="G672" s="9">
        <v>798</v>
      </c>
      <c r="H672" s="5" t="s">
        <v>21</v>
      </c>
      <c r="I672" s="5" t="s">
        <v>1844</v>
      </c>
      <c r="J672" s="12" t="str">
        <f>HYPERLINK("https://www.boe.es/gazeta/dias/1802/08/13/pdfs/GMD-1802-66.pdf#page=2","Abrir facsímil")</f>
        <v>Abrir facsímil</v>
      </c>
      <c r="K672" s="15" t="s">
        <v>23</v>
      </c>
    </row>
    <row r="673" spans="1:11" ht="42" customHeight="1">
      <c r="A673" s="4" t="s">
        <v>1837</v>
      </c>
      <c r="B673" s="5" t="s">
        <v>1838</v>
      </c>
      <c r="C673" s="5" t="s">
        <v>35</v>
      </c>
      <c r="D673" s="5" t="s">
        <v>36</v>
      </c>
      <c r="E673" s="5" t="s">
        <v>907</v>
      </c>
      <c r="F673" s="9">
        <v>77</v>
      </c>
      <c r="G673" s="9">
        <v>945</v>
      </c>
      <c r="H673" s="5" t="s">
        <v>21</v>
      </c>
      <c r="I673" s="5" t="s">
        <v>1845</v>
      </c>
      <c r="J673" s="12" t="str">
        <f>HYPERLINK("https://www.boe.es/gazeta/dias/1802/09/21/pdfs/GMD-1802-77.pdf#page=5","Abrir facsímil")</f>
        <v>Abrir facsímil</v>
      </c>
      <c r="K673" s="15" t="s">
        <v>23</v>
      </c>
    </row>
    <row r="674" spans="1:11" ht="42" customHeight="1">
      <c r="A674" s="4" t="s">
        <v>1837</v>
      </c>
      <c r="B674" s="5" t="s">
        <v>1838</v>
      </c>
      <c r="C674" s="5" t="s">
        <v>29</v>
      </c>
      <c r="D674" s="5" t="s">
        <v>30</v>
      </c>
      <c r="E674" s="5" t="s">
        <v>311</v>
      </c>
      <c r="F674" s="9">
        <v>88</v>
      </c>
      <c r="G674" s="9">
        <v>1091</v>
      </c>
      <c r="H674" s="5" t="s">
        <v>21</v>
      </c>
      <c r="I674" s="5" t="s">
        <v>1846</v>
      </c>
      <c r="J674" s="12" t="str">
        <f>HYPERLINK("https://www.boe.es/gazeta/dias/1802/10/29/pdfs/GMD-1802-88.pdf#page=7","Abrir facsímil")</f>
        <v>Abrir facsímil</v>
      </c>
      <c r="K674" s="15" t="s">
        <v>23</v>
      </c>
    </row>
    <row r="675" spans="1:11" ht="42" customHeight="1">
      <c r="A675" s="4" t="s">
        <v>1837</v>
      </c>
      <c r="B675" s="5" t="s">
        <v>1838</v>
      </c>
      <c r="C675" s="5" t="s">
        <v>18</v>
      </c>
      <c r="D675" s="5" t="s">
        <v>19</v>
      </c>
      <c r="E675" s="5" t="s">
        <v>714</v>
      </c>
      <c r="F675" s="9">
        <v>89</v>
      </c>
      <c r="G675" s="9">
        <v>1105</v>
      </c>
      <c r="H675" s="5" t="s">
        <v>21</v>
      </c>
      <c r="I675" s="5" t="s">
        <v>1847</v>
      </c>
      <c r="J675" s="12" t="str">
        <f>HYPERLINK("https://www.boe.es/gazeta/dias/1802/11/02/pdfs/GMD-1802-89.pdf#page=9","Abrir facsímil")</f>
        <v>Abrir facsímil</v>
      </c>
      <c r="K675" s="15" t="s">
        <v>23</v>
      </c>
    </row>
    <row r="676" spans="1:11" ht="42" customHeight="1">
      <c r="A676" s="4" t="s">
        <v>1848</v>
      </c>
      <c r="B676" s="5" t="s">
        <v>1848</v>
      </c>
      <c r="C676" s="5" t="s">
        <v>35</v>
      </c>
      <c r="D676" s="5" t="s">
        <v>36</v>
      </c>
      <c r="E676" s="5" t="s">
        <v>131</v>
      </c>
      <c r="F676" s="9">
        <v>11</v>
      </c>
      <c r="G676" s="9">
        <v>110</v>
      </c>
      <c r="H676" s="5" t="s">
        <v>21</v>
      </c>
      <c r="I676" s="5" t="s">
        <v>1849</v>
      </c>
      <c r="J676" s="12" t="str">
        <f>HYPERLINK("https://www.boe.es/gazeta/dias/1802/02/05/pdfs/GMD-1802-11.pdf#page=6","Abrir facsímil")</f>
        <v>Abrir facsímil</v>
      </c>
      <c r="K676" s="15" t="s">
        <v>23</v>
      </c>
    </row>
    <row r="677" spans="1:11" ht="42" customHeight="1">
      <c r="A677" s="4" t="s">
        <v>1850</v>
      </c>
      <c r="B677" s="5" t="s">
        <v>1850</v>
      </c>
      <c r="C677" s="5" t="s">
        <v>29</v>
      </c>
      <c r="D677" s="5" t="s">
        <v>30</v>
      </c>
      <c r="E677" s="5" t="s">
        <v>31</v>
      </c>
      <c r="F677" s="9">
        <v>27</v>
      </c>
      <c r="G677" s="9">
        <v>313</v>
      </c>
      <c r="H677" s="5" t="s">
        <v>21</v>
      </c>
      <c r="I677" s="5" t="s">
        <v>1851</v>
      </c>
      <c r="J677" s="12" t="str">
        <f>HYPERLINK("https://www.boe.es/gazeta/dias/1802/04/02/pdfs/GMD-1802-27.pdf#page=9","Abrir facsímil")</f>
        <v>Abrir facsímil</v>
      </c>
      <c r="K677" s="15" t="s">
        <v>23</v>
      </c>
    </row>
    <row r="678" spans="1:11" ht="42" customHeight="1">
      <c r="A678" s="4" t="s">
        <v>1852</v>
      </c>
      <c r="B678" s="5" t="s">
        <v>1853</v>
      </c>
      <c r="C678" s="5" t="s">
        <v>18</v>
      </c>
      <c r="D678" s="5" t="s">
        <v>19</v>
      </c>
      <c r="E678" s="5" t="s">
        <v>25</v>
      </c>
      <c r="F678" s="9">
        <v>44</v>
      </c>
      <c r="G678" s="9">
        <v>528</v>
      </c>
      <c r="H678" s="5" t="s">
        <v>21</v>
      </c>
      <c r="I678" s="5" t="s">
        <v>1854</v>
      </c>
      <c r="J678" s="12" t="str">
        <f>HYPERLINK("https://www.boe.es/gazeta/dias/1802/06/01/pdfs/GMD-1802-44.pdf#page=4","Abrir facsímil")</f>
        <v>Abrir facsímil</v>
      </c>
      <c r="K678" s="15" t="s">
        <v>23</v>
      </c>
    </row>
    <row r="679" spans="1:11" ht="42" customHeight="1">
      <c r="A679" s="4" t="s">
        <v>1855</v>
      </c>
      <c r="B679" s="5" t="s">
        <v>1855</v>
      </c>
      <c r="C679" s="5" t="s">
        <v>35</v>
      </c>
      <c r="D679" s="5" t="s">
        <v>36</v>
      </c>
      <c r="E679" s="5" t="s">
        <v>754</v>
      </c>
      <c r="F679" s="9">
        <v>101</v>
      </c>
      <c r="G679" s="9">
        <v>1240</v>
      </c>
      <c r="H679" s="5" t="s">
        <v>21</v>
      </c>
      <c r="I679" s="5" t="s">
        <v>1856</v>
      </c>
      <c r="J679" s="12" t="str">
        <f>HYPERLINK("https://www.boe.es/gazeta/dias/1802/12/14/pdfs/GMD-1802-101.pdf#page=4","Abrir facsímil")</f>
        <v>Abrir facsímil</v>
      </c>
      <c r="K679" s="15" t="s">
        <v>23</v>
      </c>
    </row>
    <row r="680" spans="1:11" ht="42" customHeight="1">
      <c r="A680" s="4" t="s">
        <v>1857</v>
      </c>
      <c r="B680" s="5" t="s">
        <v>1858</v>
      </c>
      <c r="C680" s="5" t="s">
        <v>35</v>
      </c>
      <c r="D680" s="5" t="s">
        <v>36</v>
      </c>
      <c r="E680" s="5" t="s">
        <v>642</v>
      </c>
      <c r="F680" s="9">
        <v>51</v>
      </c>
      <c r="G680" s="9">
        <v>618</v>
      </c>
      <c r="H680" s="5" t="s">
        <v>21</v>
      </c>
      <c r="I680" s="5" t="s">
        <v>1859</v>
      </c>
      <c r="J680" s="12" t="str">
        <f>HYPERLINK("https://www.boe.es/gazeta/dias/1802/06/25/pdfs/GMD-1802-51.pdf#page=6","Abrir facsímil")</f>
        <v>Abrir facsímil</v>
      </c>
      <c r="K680" s="15" t="s">
        <v>23</v>
      </c>
    </row>
    <row r="681" spans="1:11" ht="42" customHeight="1">
      <c r="A681" s="4" t="s">
        <v>1857</v>
      </c>
      <c r="B681" s="5" t="s">
        <v>1858</v>
      </c>
      <c r="C681" s="5" t="s">
        <v>18</v>
      </c>
      <c r="D681" s="5" t="s">
        <v>19</v>
      </c>
      <c r="E681" s="5" t="s">
        <v>44</v>
      </c>
      <c r="F681" s="9">
        <v>99</v>
      </c>
      <c r="G681" s="9">
        <v>1219</v>
      </c>
      <c r="H681" s="5" t="s">
        <v>21</v>
      </c>
      <c r="I681" s="5" t="s">
        <v>1860</v>
      </c>
      <c r="J681" s="12" t="str">
        <f>HYPERLINK("https://www.boe.es/gazeta/dias/1802/12/07/pdfs/GMD-1802-99.pdf#page=3","Abrir facsímil")</f>
        <v>Abrir facsímil</v>
      </c>
      <c r="K681" s="15" t="s">
        <v>23</v>
      </c>
    </row>
    <row r="682" spans="1:11" ht="42" customHeight="1">
      <c r="A682" s="4" t="s">
        <v>1861</v>
      </c>
      <c r="B682" s="5" t="s">
        <v>1862</v>
      </c>
      <c r="C682" s="5" t="s">
        <v>18</v>
      </c>
      <c r="D682" s="5" t="s">
        <v>19</v>
      </c>
      <c r="E682" s="5" t="s">
        <v>196</v>
      </c>
      <c r="F682" s="9">
        <v>2</v>
      </c>
      <c r="G682" s="9">
        <v>13</v>
      </c>
      <c r="H682" s="5" t="s">
        <v>21</v>
      </c>
      <c r="I682" s="5" t="s">
        <v>1863</v>
      </c>
      <c r="J682" s="12" t="str">
        <f>HYPERLINK("https://www.boe.es/gazeta/dias/1802/01/05/pdfs/GMD-1802-2.pdf#page=5","Abrir facsímil")</f>
        <v>Abrir facsímil</v>
      </c>
      <c r="K682" s="15" t="s">
        <v>23</v>
      </c>
    </row>
    <row r="683" spans="1:11" ht="42" customHeight="1">
      <c r="A683" s="4" t="s">
        <v>1864</v>
      </c>
      <c r="B683" s="5" t="s">
        <v>1865</v>
      </c>
      <c r="C683" s="5" t="s">
        <v>35</v>
      </c>
      <c r="D683" s="5" t="s">
        <v>36</v>
      </c>
      <c r="E683" s="5" t="s">
        <v>754</v>
      </c>
      <c r="F683" s="9">
        <v>101</v>
      </c>
      <c r="G683" s="9">
        <v>1240</v>
      </c>
      <c r="H683" s="5" t="s">
        <v>21</v>
      </c>
      <c r="I683" s="5" t="s">
        <v>1866</v>
      </c>
      <c r="J683" s="12" t="str">
        <f>HYPERLINK("https://www.boe.es/gazeta/dias/1802/12/14/pdfs/GMD-1802-101.pdf#page=4","Abrir facsímil")</f>
        <v>Abrir facsímil</v>
      </c>
      <c r="K683" s="15" t="s">
        <v>23</v>
      </c>
    </row>
    <row r="684" spans="1:11" ht="42" customHeight="1">
      <c r="A684" s="4" t="s">
        <v>1867</v>
      </c>
      <c r="B684" s="5" t="s">
        <v>1868</v>
      </c>
      <c r="C684" s="5" t="s">
        <v>18</v>
      </c>
      <c r="D684" s="5" t="s">
        <v>19</v>
      </c>
      <c r="E684" s="5" t="s">
        <v>49</v>
      </c>
      <c r="F684" s="9">
        <v>83</v>
      </c>
      <c r="G684" s="9">
        <v>1023</v>
      </c>
      <c r="H684" s="5" t="s">
        <v>21</v>
      </c>
      <c r="I684" s="5" t="s">
        <v>1869</v>
      </c>
      <c r="J684" s="12" t="str">
        <f>HYPERLINK("https://www.boe.es/gazeta/dias/1802/10/12/pdfs/GMD-1802-83.pdf#page=11","Abrir facsímil")</f>
        <v>Abrir facsímil</v>
      </c>
      <c r="K684" s="15" t="s">
        <v>23</v>
      </c>
    </row>
    <row r="685" spans="1:11" ht="42" customHeight="1">
      <c r="A685" s="4" t="s">
        <v>1870</v>
      </c>
      <c r="B685" s="5" t="s">
        <v>1871</v>
      </c>
      <c r="C685" s="5" t="s">
        <v>18</v>
      </c>
      <c r="D685" s="5" t="s">
        <v>19</v>
      </c>
      <c r="E685" s="5" t="s">
        <v>453</v>
      </c>
      <c r="F685" s="9">
        <v>52</v>
      </c>
      <c r="G685" s="9">
        <v>631</v>
      </c>
      <c r="H685" s="5" t="s">
        <v>21</v>
      </c>
      <c r="I685" s="5" t="s">
        <v>1872</v>
      </c>
      <c r="J685" s="12" t="str">
        <f>HYPERLINK("https://www.boe.es/gazeta/dias/1802/06/29/pdfs/GMD-1802-52.pdf#page=7","Abrir facsímil")</f>
        <v>Abrir facsímil</v>
      </c>
      <c r="K685" s="15" t="s">
        <v>23</v>
      </c>
    </row>
    <row r="686" spans="1:11" ht="42" customHeight="1">
      <c r="A686" s="4" t="s">
        <v>1873</v>
      </c>
      <c r="B686" s="5" t="s">
        <v>1873</v>
      </c>
      <c r="C686" s="5" t="s">
        <v>29</v>
      </c>
      <c r="D686" s="5" t="s">
        <v>30</v>
      </c>
      <c r="E686" s="5" t="s">
        <v>429</v>
      </c>
      <c r="F686" s="9">
        <v>91</v>
      </c>
      <c r="G686" s="9">
        <v>1123</v>
      </c>
      <c r="H686" s="5" t="s">
        <v>21</v>
      </c>
      <c r="I686" s="5" t="s">
        <v>1874</v>
      </c>
      <c r="J686" s="12" t="str">
        <f>HYPERLINK("https://www.boe.es/gazeta/dias/1802/11/09/pdfs/GMD-1802-91.pdf#page=3","Abrir facsímil")</f>
        <v>Abrir facsímil</v>
      </c>
      <c r="K686" s="15" t="s">
        <v>23</v>
      </c>
    </row>
    <row r="687" spans="1:11" ht="42" customHeight="1">
      <c r="A687" s="4" t="s">
        <v>1875</v>
      </c>
      <c r="B687" s="5" t="s">
        <v>1875</v>
      </c>
      <c r="C687" s="5" t="s">
        <v>35</v>
      </c>
      <c r="D687" s="5" t="s">
        <v>36</v>
      </c>
      <c r="E687" s="5" t="s">
        <v>109</v>
      </c>
      <c r="F687" s="9">
        <v>10</v>
      </c>
      <c r="G687" s="9">
        <v>94</v>
      </c>
      <c r="H687" s="5" t="s">
        <v>21</v>
      </c>
      <c r="I687" s="5" t="s">
        <v>1876</v>
      </c>
      <c r="J687" s="12" t="str">
        <f>HYPERLINK("https://www.boe.es/gazeta/dias/1802/02/02/pdfs/GMD-1802-10.pdf#page=2","Abrir facsímil")</f>
        <v>Abrir facsímil</v>
      </c>
      <c r="K687" s="15" t="s">
        <v>23</v>
      </c>
    </row>
    <row r="688" spans="1:11" ht="42" customHeight="1">
      <c r="A688" s="4" t="s">
        <v>1875</v>
      </c>
      <c r="B688" s="5" t="s">
        <v>1875</v>
      </c>
      <c r="C688" s="5" t="s">
        <v>35</v>
      </c>
      <c r="D688" s="5" t="s">
        <v>36</v>
      </c>
      <c r="E688" s="5" t="s">
        <v>172</v>
      </c>
      <c r="F688" s="9">
        <v>35</v>
      </c>
      <c r="G688" s="9">
        <v>404</v>
      </c>
      <c r="H688" s="5" t="s">
        <v>21</v>
      </c>
      <c r="I688" s="5" t="s">
        <v>1877</v>
      </c>
      <c r="J688" s="12" t="str">
        <f>HYPERLINK("https://www.boe.es/gazeta/dias/1802/04/30/pdfs/GMD-1802-35.pdf#page=4","Abrir facsímil")</f>
        <v>Abrir facsímil</v>
      </c>
      <c r="K688" s="15" t="s">
        <v>23</v>
      </c>
    </row>
    <row r="689" spans="1:11" ht="42" customHeight="1">
      <c r="A689" s="4" t="s">
        <v>1878</v>
      </c>
      <c r="B689" s="5" t="s">
        <v>1879</v>
      </c>
      <c r="C689" s="5" t="s">
        <v>18</v>
      </c>
      <c r="D689" s="5" t="s">
        <v>19</v>
      </c>
      <c r="E689" s="5" t="s">
        <v>20</v>
      </c>
      <c r="F689" s="9">
        <v>84</v>
      </c>
      <c r="G689" s="9">
        <v>1041</v>
      </c>
      <c r="H689" s="5" t="s">
        <v>21</v>
      </c>
      <c r="I689" s="5" t="s">
        <v>1880</v>
      </c>
      <c r="J689" s="12" t="str">
        <f>HYPERLINK("https://www.boe.es/gazeta/dias/1802/10/15/pdfs/GMD-1802-84.pdf#page=9","Abrir facsímil")</f>
        <v>Abrir facsímil</v>
      </c>
      <c r="K689" s="15" t="s">
        <v>23</v>
      </c>
    </row>
    <row r="690" spans="1:11" ht="42" customHeight="1">
      <c r="A690" s="4" t="s">
        <v>1881</v>
      </c>
      <c r="B690" s="5" t="s">
        <v>1881</v>
      </c>
      <c r="C690" s="5" t="s">
        <v>160</v>
      </c>
      <c r="D690" s="5" t="s">
        <v>91</v>
      </c>
      <c r="E690" s="5" t="s">
        <v>751</v>
      </c>
      <c r="F690" s="9">
        <v>98</v>
      </c>
      <c r="G690" s="9">
        <v>1208</v>
      </c>
      <c r="H690" s="5" t="s">
        <v>21</v>
      </c>
      <c r="I690" s="5" t="s">
        <v>1882</v>
      </c>
      <c r="J690" s="12" t="str">
        <f>HYPERLINK("https://www.boe.es/gazeta/dias/1802/12/03/pdfs/GMD-1802-98.pdf#page=4","Abrir facsímil")</f>
        <v>Abrir facsímil</v>
      </c>
      <c r="K690" s="15" t="s">
        <v>23</v>
      </c>
    </row>
    <row r="691" spans="1:11" ht="42" customHeight="1">
      <c r="A691" s="4" t="s">
        <v>1883</v>
      </c>
      <c r="B691" s="5" t="s">
        <v>1884</v>
      </c>
      <c r="C691" s="5" t="s">
        <v>35</v>
      </c>
      <c r="D691" s="5" t="s">
        <v>36</v>
      </c>
      <c r="E691" s="5" t="s">
        <v>82</v>
      </c>
      <c r="F691" s="9">
        <v>74</v>
      </c>
      <c r="G691" s="9">
        <v>906</v>
      </c>
      <c r="H691" s="5" t="s">
        <v>21</v>
      </c>
      <c r="I691" s="5" t="s">
        <v>1885</v>
      </c>
      <c r="J691" s="12" t="str">
        <f>HYPERLINK("https://www.boe.es/gazeta/dias/1802/09/10/pdfs/GMD-1802-74.pdf#page=2","Abrir facsímil")</f>
        <v>Abrir facsímil</v>
      </c>
      <c r="K691" s="15" t="s">
        <v>23</v>
      </c>
    </row>
    <row r="692" spans="1:11" ht="42" customHeight="1">
      <c r="A692" s="4" t="s">
        <v>1886</v>
      </c>
      <c r="B692" s="5" t="s">
        <v>1887</v>
      </c>
      <c r="C692" s="5" t="s">
        <v>29</v>
      </c>
      <c r="D692" s="5" t="s">
        <v>30</v>
      </c>
      <c r="E692" s="5" t="s">
        <v>163</v>
      </c>
      <c r="F692" s="9">
        <v>1</v>
      </c>
      <c r="G692" s="9">
        <v>3</v>
      </c>
      <c r="H692" s="5" t="s">
        <v>21</v>
      </c>
      <c r="I692" s="5" t="s">
        <v>1888</v>
      </c>
      <c r="J692" s="12" t="str">
        <f>HYPERLINK("https://www.boe.es/gazeta/dias/1802/01/01/pdfs/GMD-1802-1.pdf#page=3","Abrir facsímil")</f>
        <v>Abrir facsímil</v>
      </c>
      <c r="K692" s="15" t="s">
        <v>23</v>
      </c>
    </row>
    <row r="693" spans="1:11" ht="42" customHeight="1">
      <c r="A693" s="4" t="s">
        <v>1889</v>
      </c>
      <c r="B693" s="5" t="s">
        <v>1890</v>
      </c>
      <c r="C693" s="5" t="s">
        <v>55</v>
      </c>
      <c r="D693" s="5" t="s">
        <v>56</v>
      </c>
      <c r="E693" s="5" t="s">
        <v>102</v>
      </c>
      <c r="F693" s="9">
        <v>73</v>
      </c>
      <c r="G693" s="9">
        <v>904</v>
      </c>
      <c r="H693" s="5" t="s">
        <v>21</v>
      </c>
      <c r="I693" s="5" t="s">
        <v>1891</v>
      </c>
      <c r="J693" s="12" t="str">
        <f>HYPERLINK("https://www.boe.es/gazeta/dias/1802/09/07/pdfs/GMD-1802-73.pdf#page=12","Abrir facsímil")</f>
        <v>Abrir facsímil</v>
      </c>
      <c r="K693" s="15" t="s">
        <v>23</v>
      </c>
    </row>
    <row r="694" spans="1:11" ht="42" customHeight="1">
      <c r="A694" s="4" t="s">
        <v>1892</v>
      </c>
      <c r="B694" s="5" t="s">
        <v>1892</v>
      </c>
      <c r="C694" s="5" t="s">
        <v>18</v>
      </c>
      <c r="D694" s="5" t="s">
        <v>19</v>
      </c>
      <c r="E694" s="5" t="s">
        <v>44</v>
      </c>
      <c r="F694" s="9">
        <v>99</v>
      </c>
      <c r="G694" s="9">
        <v>1220</v>
      </c>
      <c r="H694" s="5" t="s">
        <v>21</v>
      </c>
      <c r="I694" s="5" t="s">
        <v>217</v>
      </c>
      <c r="J694" s="12" t="str">
        <f>HYPERLINK("https://www.boe.es/gazeta/dias/1802/12/07/pdfs/GMD-1802-99.pdf#page=4","Abrir facsímil")</f>
        <v>Abrir facsímil</v>
      </c>
      <c r="K694" s="15" t="s">
        <v>23</v>
      </c>
    </row>
    <row r="695" spans="1:11" ht="42" customHeight="1">
      <c r="A695" s="4" t="s">
        <v>1893</v>
      </c>
      <c r="B695" s="5" t="s">
        <v>1894</v>
      </c>
      <c r="C695" s="5" t="s">
        <v>18</v>
      </c>
      <c r="D695" s="5" t="s">
        <v>19</v>
      </c>
      <c r="E695" s="5" t="s">
        <v>20</v>
      </c>
      <c r="F695" s="9">
        <v>84</v>
      </c>
      <c r="G695" s="9">
        <v>1042</v>
      </c>
      <c r="H695" s="5" t="s">
        <v>21</v>
      </c>
      <c r="I695" s="5" t="s">
        <v>1895</v>
      </c>
      <c r="J695" s="12" t="str">
        <f>HYPERLINK("https://www.boe.es/gazeta/dias/1802/10/15/pdfs/GMD-1802-84.pdf#page=10","Abrir facsímil")</f>
        <v>Abrir facsímil</v>
      </c>
      <c r="K695" s="15" t="s">
        <v>23</v>
      </c>
    </row>
    <row r="696" spans="1:11" ht="42" customHeight="1">
      <c r="A696" s="4" t="s">
        <v>1896</v>
      </c>
      <c r="B696" s="5" t="s">
        <v>1897</v>
      </c>
      <c r="C696" s="5" t="s">
        <v>160</v>
      </c>
      <c r="D696" s="5" t="s">
        <v>91</v>
      </c>
      <c r="E696" s="5" t="s">
        <v>20</v>
      </c>
      <c r="F696" s="9">
        <v>84</v>
      </c>
      <c r="G696" s="9">
        <v>1040</v>
      </c>
      <c r="H696" s="5" t="s">
        <v>21</v>
      </c>
      <c r="I696" s="5" t="s">
        <v>1898</v>
      </c>
      <c r="J696" s="12" t="str">
        <f>HYPERLINK("https://www.boe.es/gazeta/dias/1802/10/15/pdfs/GMD-1802-84.pdf#page=8","Abrir facsímil")</f>
        <v>Abrir facsímil</v>
      </c>
      <c r="K696" s="15" t="s">
        <v>23</v>
      </c>
    </row>
    <row r="697" spans="1:11" ht="42" customHeight="1">
      <c r="A697" s="4" t="s">
        <v>1899</v>
      </c>
      <c r="B697" s="5" t="s">
        <v>1900</v>
      </c>
      <c r="C697" s="5" t="s">
        <v>42</v>
      </c>
      <c r="D697" s="5" t="s">
        <v>43</v>
      </c>
      <c r="E697" s="5" t="s">
        <v>44</v>
      </c>
      <c r="F697" s="9">
        <v>99</v>
      </c>
      <c r="G697" s="9" t="s">
        <v>554</v>
      </c>
      <c r="H697" s="5" t="s">
        <v>21</v>
      </c>
      <c r="I697" s="5" t="s">
        <v>1901</v>
      </c>
      <c r="J697" s="12" t="str">
        <f>HYPERLINK("https://www.boe.es/gazeta/dias/1802/12/07/pdfs/GMD-D-1802-99.pdf#page=4","Abrir facsímil")</f>
        <v>Abrir facsímil</v>
      </c>
      <c r="K697" s="15" t="s">
        <v>23</v>
      </c>
    </row>
    <row r="698" spans="1:11" ht="42" customHeight="1">
      <c r="A698" s="4" t="s">
        <v>1902</v>
      </c>
      <c r="B698" s="5" t="s">
        <v>1903</v>
      </c>
      <c r="C698" s="5" t="s">
        <v>42</v>
      </c>
      <c r="D698" s="5" t="s">
        <v>43</v>
      </c>
      <c r="E698" s="5" t="s">
        <v>44</v>
      </c>
      <c r="F698" s="9">
        <v>99</v>
      </c>
      <c r="G698" s="9" t="s">
        <v>45</v>
      </c>
      <c r="H698" s="5" t="s">
        <v>21</v>
      </c>
      <c r="I698" s="5" t="s">
        <v>1904</v>
      </c>
      <c r="J698" s="12" t="str">
        <f>HYPERLINK("https://www.boe.es/gazeta/dias/1802/12/07/pdfs/GMD-D-1802-99.pdf#page=14","Abrir facsímil")</f>
        <v>Abrir facsímil</v>
      </c>
      <c r="K698" s="15" t="s">
        <v>23</v>
      </c>
    </row>
    <row r="699" spans="1:11" ht="42" customHeight="1">
      <c r="A699" s="4" t="s">
        <v>1905</v>
      </c>
      <c r="B699" s="5" t="s">
        <v>1906</v>
      </c>
      <c r="C699" s="5" t="s">
        <v>90</v>
      </c>
      <c r="D699" s="5" t="s">
        <v>91</v>
      </c>
      <c r="E699" s="5" t="s">
        <v>152</v>
      </c>
      <c r="F699" s="9">
        <v>25</v>
      </c>
      <c r="G699" s="9">
        <v>285</v>
      </c>
      <c r="H699" s="5" t="s">
        <v>21</v>
      </c>
      <c r="I699" s="5" t="s">
        <v>1907</v>
      </c>
      <c r="J699" s="12" t="str">
        <f>HYPERLINK("https://www.boe.es/gazeta/dias/1802/03/26/pdfs/GMD-1802-25.pdf#page=9","Abrir facsímil")</f>
        <v>Abrir facsímil</v>
      </c>
      <c r="K699" s="15" t="s">
        <v>23</v>
      </c>
    </row>
    <row r="700" spans="1:11" ht="42" customHeight="1">
      <c r="A700" s="4" t="s">
        <v>1905</v>
      </c>
      <c r="B700" s="5" t="s">
        <v>1906</v>
      </c>
      <c r="C700" s="5" t="s">
        <v>18</v>
      </c>
      <c r="D700" s="5" t="s">
        <v>19</v>
      </c>
      <c r="E700" s="5" t="s">
        <v>82</v>
      </c>
      <c r="F700" s="9">
        <v>74</v>
      </c>
      <c r="G700" s="9">
        <v>914</v>
      </c>
      <c r="H700" s="5" t="s">
        <v>21</v>
      </c>
      <c r="I700" s="5" t="s">
        <v>1908</v>
      </c>
      <c r="J700" s="12" t="str">
        <f>HYPERLINK("https://www.boe.es/gazeta/dias/1802/09/10/pdfs/GMD-1802-74.pdf#page=10","Abrir facsímil")</f>
        <v>Abrir facsímil</v>
      </c>
      <c r="K700" s="15" t="s">
        <v>23</v>
      </c>
    </row>
    <row r="701" spans="1:11" ht="42" customHeight="1">
      <c r="A701" s="4" t="s">
        <v>1905</v>
      </c>
      <c r="B701" s="5" t="s">
        <v>1906</v>
      </c>
      <c r="C701" s="5" t="s">
        <v>18</v>
      </c>
      <c r="D701" s="5" t="s">
        <v>19</v>
      </c>
      <c r="E701" s="5" t="s">
        <v>1185</v>
      </c>
      <c r="F701" s="9">
        <v>93</v>
      </c>
      <c r="G701" s="9">
        <v>1148</v>
      </c>
      <c r="H701" s="5" t="s">
        <v>21</v>
      </c>
      <c r="I701" s="5" t="s">
        <v>1909</v>
      </c>
      <c r="J701" s="12" t="str">
        <f>HYPERLINK("https://www.boe.es/gazeta/dias/1802/11/16/pdfs/GMD-1802-93.pdf#page=8","Abrir facsímil")</f>
        <v>Abrir facsímil</v>
      </c>
      <c r="K701" s="15" t="s">
        <v>23</v>
      </c>
    </row>
    <row r="702" spans="1:11" ht="42" customHeight="1">
      <c r="A702" s="4" t="s">
        <v>1910</v>
      </c>
      <c r="B702" s="5" t="s">
        <v>1911</v>
      </c>
      <c r="C702" s="5" t="s">
        <v>42</v>
      </c>
      <c r="D702" s="5" t="s">
        <v>43</v>
      </c>
      <c r="E702" s="5" t="s">
        <v>44</v>
      </c>
      <c r="F702" s="9">
        <v>99</v>
      </c>
      <c r="G702" s="9" t="s">
        <v>314</v>
      </c>
      <c r="H702" s="5" t="s">
        <v>21</v>
      </c>
      <c r="I702" s="5" t="s">
        <v>1912</v>
      </c>
      <c r="J702" s="12" t="str">
        <f>HYPERLINK("https://www.boe.es/gazeta/dias/1802/12/07/pdfs/GMD-D-1802-99.pdf#page=2","Abrir facsímil")</f>
        <v>Abrir facsímil</v>
      </c>
      <c r="K702" s="15" t="s">
        <v>23</v>
      </c>
    </row>
    <row r="703" spans="1:11" ht="42" customHeight="1">
      <c r="A703" s="4" t="s">
        <v>1913</v>
      </c>
      <c r="B703" s="5" t="s">
        <v>1914</v>
      </c>
      <c r="C703" s="5" t="s">
        <v>42</v>
      </c>
      <c r="D703" s="5" t="s">
        <v>43</v>
      </c>
      <c r="E703" s="5" t="s">
        <v>44</v>
      </c>
      <c r="F703" s="9">
        <v>99</v>
      </c>
      <c r="G703" s="9" t="s">
        <v>537</v>
      </c>
      <c r="H703" s="5" t="s">
        <v>21</v>
      </c>
      <c r="I703" s="5" t="s">
        <v>1915</v>
      </c>
      <c r="J703" s="12" t="str">
        <f>HYPERLINK("https://www.boe.es/gazeta/dias/1802/12/07/pdfs/GMD-D-1802-99.pdf#page=9","Abrir facsímil")</f>
        <v>Abrir facsímil</v>
      </c>
      <c r="K703" s="15" t="s">
        <v>23</v>
      </c>
    </row>
    <row r="704" spans="1:11" ht="42" customHeight="1">
      <c r="A704" s="4" t="s">
        <v>1916</v>
      </c>
      <c r="B704" s="5" t="s">
        <v>1917</v>
      </c>
      <c r="C704" s="5" t="s">
        <v>90</v>
      </c>
      <c r="D704" s="5" t="s">
        <v>91</v>
      </c>
      <c r="E704" s="5" t="s">
        <v>655</v>
      </c>
      <c r="F704" s="9">
        <v>46</v>
      </c>
      <c r="G704" s="9">
        <v>558</v>
      </c>
      <c r="H704" s="5" t="s">
        <v>21</v>
      </c>
      <c r="I704" s="5" t="s">
        <v>1918</v>
      </c>
      <c r="J704" s="12" t="str">
        <f>HYPERLINK("https://www.boe.es/gazeta/dias/1802/06/08/pdfs/GMD-1802-46.pdf#page=10","Abrir facsímil")</f>
        <v>Abrir facsímil</v>
      </c>
      <c r="K704" s="15" t="s">
        <v>23</v>
      </c>
    </row>
    <row r="705" spans="1:11" ht="42" customHeight="1">
      <c r="A705" s="4" t="s">
        <v>1919</v>
      </c>
      <c r="B705" s="5" t="s">
        <v>1920</v>
      </c>
      <c r="C705" s="5" t="s">
        <v>42</v>
      </c>
      <c r="D705" s="5" t="s">
        <v>43</v>
      </c>
      <c r="E705" s="5" t="s">
        <v>44</v>
      </c>
      <c r="F705" s="9">
        <v>99</v>
      </c>
      <c r="G705" s="9" t="s">
        <v>295</v>
      </c>
      <c r="H705" s="5" t="s">
        <v>21</v>
      </c>
      <c r="I705" s="5" t="s">
        <v>1921</v>
      </c>
      <c r="J705" s="12" t="str">
        <f>HYPERLINK("https://www.boe.es/gazeta/dias/1802/12/07/pdfs/GMD-D-1802-99.pdf#page=7","Abrir facsímil")</f>
        <v>Abrir facsímil</v>
      </c>
      <c r="K705" s="15" t="s">
        <v>23</v>
      </c>
    </row>
    <row r="706" spans="1:11" ht="42" customHeight="1">
      <c r="A706" s="4" t="s">
        <v>1922</v>
      </c>
      <c r="B706" s="5" t="s">
        <v>1923</v>
      </c>
      <c r="C706" s="5" t="s">
        <v>42</v>
      </c>
      <c r="D706" s="5" t="s">
        <v>43</v>
      </c>
      <c r="E706" s="5" t="s">
        <v>44</v>
      </c>
      <c r="F706" s="9">
        <v>99</v>
      </c>
      <c r="G706" s="9" t="s">
        <v>544</v>
      </c>
      <c r="H706" s="5" t="s">
        <v>21</v>
      </c>
      <c r="I706" s="5" t="s">
        <v>1924</v>
      </c>
      <c r="J706" s="12" t="str">
        <f>HYPERLINK("https://www.boe.es/gazeta/dias/1802/12/07/pdfs/GMD-D-1802-99.pdf#page=11","Abrir facsímil")</f>
        <v>Abrir facsímil</v>
      </c>
      <c r="K706" s="15" t="s">
        <v>23</v>
      </c>
    </row>
    <row r="707" spans="1:11" ht="42" customHeight="1">
      <c r="A707" s="4" t="s">
        <v>1925</v>
      </c>
      <c r="B707" s="5" t="s">
        <v>1926</v>
      </c>
      <c r="C707" s="5" t="s">
        <v>42</v>
      </c>
      <c r="D707" s="5" t="s">
        <v>43</v>
      </c>
      <c r="E707" s="5" t="s">
        <v>44</v>
      </c>
      <c r="F707" s="9">
        <v>99</v>
      </c>
      <c r="G707" s="9" t="s">
        <v>550</v>
      </c>
      <c r="H707" s="5" t="s">
        <v>21</v>
      </c>
      <c r="I707" s="5" t="s">
        <v>1927</v>
      </c>
      <c r="J707" s="12" t="str">
        <f>HYPERLINK("https://www.boe.es/gazeta/dias/1802/12/07/pdfs/GMD-D-1802-99.pdf#page=16","Abrir facsímil")</f>
        <v>Abrir facsímil</v>
      </c>
      <c r="K707" s="15" t="s">
        <v>23</v>
      </c>
    </row>
    <row r="708" spans="1:11" ht="42" customHeight="1">
      <c r="A708" s="4" t="s">
        <v>1928</v>
      </c>
      <c r="B708" s="5" t="s">
        <v>1929</v>
      </c>
      <c r="C708" s="5" t="s">
        <v>29</v>
      </c>
      <c r="D708" s="5" t="s">
        <v>30</v>
      </c>
      <c r="E708" s="5" t="s">
        <v>128</v>
      </c>
      <c r="F708" s="9">
        <v>9</v>
      </c>
      <c r="G708" s="9">
        <v>89</v>
      </c>
      <c r="H708" s="5" t="s">
        <v>21</v>
      </c>
      <c r="I708" s="5" t="s">
        <v>1930</v>
      </c>
      <c r="J708" s="12" t="str">
        <f>HYPERLINK("https://www.boe.es/gazeta/dias/1802/01/29/pdfs/GMD-1802-9.pdf#page=9","Abrir facsímil")</f>
        <v>Abrir facsímil</v>
      </c>
      <c r="K708" s="15" t="s">
        <v>23</v>
      </c>
    </row>
    <row r="709" spans="1:11" ht="42" customHeight="1">
      <c r="A709" s="4" t="s">
        <v>1931</v>
      </c>
      <c r="B709" s="5" t="s">
        <v>1932</v>
      </c>
      <c r="C709" s="5" t="s">
        <v>29</v>
      </c>
      <c r="D709" s="5" t="s">
        <v>30</v>
      </c>
      <c r="E709" s="5" t="s">
        <v>86</v>
      </c>
      <c r="F709" s="9">
        <v>26</v>
      </c>
      <c r="G709" s="9">
        <v>298</v>
      </c>
      <c r="H709" s="5" t="s">
        <v>21</v>
      </c>
      <c r="I709" s="5" t="s">
        <v>1933</v>
      </c>
      <c r="J709" s="12" t="str">
        <f>HYPERLINK("https://www.boe.es/gazeta/dias/1802/03/30/pdfs/GMD-1802-26.pdf#page=10","Abrir facsímil")</f>
        <v>Abrir facsímil</v>
      </c>
      <c r="K709" s="15" t="s">
        <v>23</v>
      </c>
    </row>
    <row r="710" spans="1:11" ht="42" customHeight="1">
      <c r="A710" s="4" t="s">
        <v>1934</v>
      </c>
      <c r="B710" s="5" t="s">
        <v>1934</v>
      </c>
      <c r="C710" s="5" t="s">
        <v>35</v>
      </c>
      <c r="D710" s="5" t="s">
        <v>36</v>
      </c>
      <c r="E710" s="5" t="s">
        <v>670</v>
      </c>
      <c r="F710" s="9">
        <v>40</v>
      </c>
      <c r="G710" s="9">
        <v>473</v>
      </c>
      <c r="H710" s="5" t="s">
        <v>21</v>
      </c>
      <c r="I710" s="5" t="s">
        <v>1935</v>
      </c>
      <c r="J710" s="12" t="str">
        <f>HYPERLINK("https://www.boe.es/gazeta/dias/1802/05/18/pdfs/GMD-1802-40.pdf#page=1","Abrir facsímil")</f>
        <v>Abrir facsímil</v>
      </c>
      <c r="K710" s="15" t="s">
        <v>23</v>
      </c>
    </row>
    <row r="711" spans="1:11" ht="42" customHeight="1">
      <c r="A711" s="4" t="s">
        <v>1936</v>
      </c>
      <c r="B711" s="5" t="s">
        <v>1937</v>
      </c>
      <c r="C711" s="5" t="s">
        <v>35</v>
      </c>
      <c r="D711" s="5" t="s">
        <v>36</v>
      </c>
      <c r="E711" s="5" t="s">
        <v>385</v>
      </c>
      <c r="F711" s="9">
        <v>70</v>
      </c>
      <c r="G711" s="9">
        <v>854</v>
      </c>
      <c r="H711" s="5" t="s">
        <v>21</v>
      </c>
      <c r="I711" s="5" t="s">
        <v>1938</v>
      </c>
      <c r="J711" s="12" t="str">
        <f>HYPERLINK("https://www.boe.es/gazeta/dias/1802/08/27/pdfs/GMD-1802-70.pdf#page=2","Abrir facsímil")</f>
        <v>Abrir facsímil</v>
      </c>
      <c r="K711" s="15" t="s">
        <v>23</v>
      </c>
    </row>
    <row r="712" spans="1:11" ht="42" customHeight="1">
      <c r="A712" s="4" t="s">
        <v>1936</v>
      </c>
      <c r="B712" s="5" t="s">
        <v>1937</v>
      </c>
      <c r="C712" s="5" t="s">
        <v>35</v>
      </c>
      <c r="D712" s="5" t="s">
        <v>36</v>
      </c>
      <c r="E712" s="5" t="s">
        <v>82</v>
      </c>
      <c r="F712" s="9">
        <v>74</v>
      </c>
      <c r="G712" s="9">
        <v>908</v>
      </c>
      <c r="H712" s="5" t="s">
        <v>21</v>
      </c>
      <c r="I712" s="5" t="s">
        <v>1939</v>
      </c>
      <c r="J712" s="12" t="str">
        <f>HYPERLINK("https://www.boe.es/gazeta/dias/1802/09/10/pdfs/GMD-1802-74.pdf#page=4","Abrir facsímil")</f>
        <v>Abrir facsímil</v>
      </c>
      <c r="K712" s="15" t="s">
        <v>23</v>
      </c>
    </row>
    <row r="713" spans="1:11" ht="42" customHeight="1">
      <c r="A713" s="4" t="s">
        <v>1940</v>
      </c>
      <c r="B713" s="5" t="s">
        <v>1941</v>
      </c>
      <c r="C713" s="5" t="s">
        <v>29</v>
      </c>
      <c r="D713" s="5" t="s">
        <v>30</v>
      </c>
      <c r="E713" s="5" t="s">
        <v>339</v>
      </c>
      <c r="F713" s="9">
        <v>39</v>
      </c>
      <c r="G713" s="9">
        <v>471</v>
      </c>
      <c r="H713" s="5" t="s">
        <v>21</v>
      </c>
      <c r="I713" s="5" t="s">
        <v>1942</v>
      </c>
      <c r="J713" s="12" t="str">
        <f>HYPERLINK("https://www.boe.es/gazeta/dias/1802/05/14/pdfs/GMD-1802-39.pdf#page=15","Abrir facsímil")</f>
        <v>Abrir facsímil</v>
      </c>
      <c r="K713" s="15" t="s">
        <v>23</v>
      </c>
    </row>
    <row r="714" spans="1:11" ht="42" customHeight="1">
      <c r="A714" s="4" t="s">
        <v>1940</v>
      </c>
      <c r="B714" s="5" t="s">
        <v>1941</v>
      </c>
      <c r="C714" s="5" t="s">
        <v>18</v>
      </c>
      <c r="D714" s="5" t="s">
        <v>19</v>
      </c>
      <c r="E714" s="5" t="s">
        <v>20</v>
      </c>
      <c r="F714" s="9">
        <v>84</v>
      </c>
      <c r="G714" s="9">
        <v>1042</v>
      </c>
      <c r="H714" s="5" t="s">
        <v>21</v>
      </c>
      <c r="I714" s="5" t="s">
        <v>1943</v>
      </c>
      <c r="J714" s="12" t="str">
        <f>HYPERLINK("https://www.boe.es/gazeta/dias/1802/10/15/pdfs/GMD-1802-84.pdf#page=10","Abrir facsímil")</f>
        <v>Abrir facsímil</v>
      </c>
      <c r="K714" s="15" t="s">
        <v>23</v>
      </c>
    </row>
    <row r="715" spans="1:11" ht="42" customHeight="1">
      <c r="A715" s="4" t="s">
        <v>1944</v>
      </c>
      <c r="B715" s="5" t="s">
        <v>1945</v>
      </c>
      <c r="C715" s="5" t="s">
        <v>18</v>
      </c>
      <c r="D715" s="5" t="s">
        <v>19</v>
      </c>
      <c r="E715" s="5" t="s">
        <v>20</v>
      </c>
      <c r="F715" s="9">
        <v>84</v>
      </c>
      <c r="G715" s="9">
        <v>1044</v>
      </c>
      <c r="H715" s="5" t="s">
        <v>21</v>
      </c>
      <c r="I715" s="5" t="s">
        <v>1946</v>
      </c>
      <c r="J715" s="12" t="str">
        <f>HYPERLINK("https://www.boe.es/gazeta/dias/1802/10/15/pdfs/GMD-1802-84.pdf#page=12","Abrir facsímil")</f>
        <v>Abrir facsímil</v>
      </c>
      <c r="K715" s="15" t="s">
        <v>23</v>
      </c>
    </row>
    <row r="716" spans="1:11" ht="42" customHeight="1">
      <c r="A716" s="4" t="s">
        <v>1947</v>
      </c>
      <c r="B716" s="5" t="s">
        <v>1948</v>
      </c>
      <c r="C716" s="5" t="s">
        <v>29</v>
      </c>
      <c r="D716" s="5" t="s">
        <v>30</v>
      </c>
      <c r="E716" s="5" t="s">
        <v>258</v>
      </c>
      <c r="F716" s="9">
        <v>63</v>
      </c>
      <c r="G716" s="9">
        <v>769</v>
      </c>
      <c r="H716" s="5" t="s">
        <v>21</v>
      </c>
      <c r="I716" s="5" t="s">
        <v>1949</v>
      </c>
      <c r="J716" s="12" t="str">
        <f>HYPERLINK("https://www.boe.es/gazeta/dias/1802/08/03/pdfs/GMD-1802-63.pdf#page=9","Abrir facsímil")</f>
        <v>Abrir facsímil</v>
      </c>
      <c r="K716" s="15" t="s">
        <v>23</v>
      </c>
    </row>
    <row r="717" spans="1:11" ht="42" customHeight="1">
      <c r="A717" s="4" t="s">
        <v>1950</v>
      </c>
      <c r="B717" s="5" t="s">
        <v>1951</v>
      </c>
      <c r="C717" s="5" t="s">
        <v>18</v>
      </c>
      <c r="D717" s="5" t="s">
        <v>19</v>
      </c>
      <c r="E717" s="5" t="s">
        <v>49</v>
      </c>
      <c r="F717" s="9">
        <v>83</v>
      </c>
      <c r="G717" s="9">
        <v>1023</v>
      </c>
      <c r="H717" s="5" t="s">
        <v>21</v>
      </c>
      <c r="I717" s="5" t="s">
        <v>1952</v>
      </c>
      <c r="J717" s="12" t="str">
        <f>HYPERLINK("https://www.boe.es/gazeta/dias/1802/10/12/pdfs/GMD-1802-83.pdf#page=11","Abrir facsímil")</f>
        <v>Abrir facsímil</v>
      </c>
      <c r="K717" s="15" t="s">
        <v>23</v>
      </c>
    </row>
    <row r="718" spans="1:11" ht="42" customHeight="1">
      <c r="A718" s="4" t="s">
        <v>1953</v>
      </c>
      <c r="B718" s="5" t="s">
        <v>1953</v>
      </c>
      <c r="C718" s="5" t="s">
        <v>29</v>
      </c>
      <c r="D718" s="5" t="s">
        <v>30</v>
      </c>
      <c r="E718" s="5" t="s">
        <v>604</v>
      </c>
      <c r="F718" s="9">
        <v>100</v>
      </c>
      <c r="G718" s="9">
        <v>1234</v>
      </c>
      <c r="H718" s="5" t="s">
        <v>21</v>
      </c>
      <c r="I718" s="5" t="s">
        <v>1954</v>
      </c>
      <c r="J718" s="12" t="str">
        <f>HYPERLINK("https://www.boe.es/gazeta/dias/1802/12/10/pdfs/GMD-1802-100.pdf#page=6","Abrir facsímil")</f>
        <v>Abrir facsímil</v>
      </c>
      <c r="K718" s="15" t="s">
        <v>23</v>
      </c>
    </row>
    <row r="719" spans="1:11" ht="42" customHeight="1">
      <c r="A719" s="4" t="s">
        <v>1955</v>
      </c>
      <c r="B719" s="5" t="s">
        <v>1955</v>
      </c>
      <c r="C719" s="5" t="s">
        <v>29</v>
      </c>
      <c r="D719" s="5" t="s">
        <v>30</v>
      </c>
      <c r="E719" s="5" t="s">
        <v>814</v>
      </c>
      <c r="F719" s="9">
        <v>41</v>
      </c>
      <c r="G719" s="9">
        <v>488</v>
      </c>
      <c r="H719" s="5" t="s">
        <v>21</v>
      </c>
      <c r="I719" s="5" t="s">
        <v>1956</v>
      </c>
      <c r="J719" s="12" t="str">
        <f>HYPERLINK("https://www.boe.es/gazeta/dias/1802/05/21/pdfs/GMD-1802-41.pdf#page=4","Abrir facsímil")</f>
        <v>Abrir facsímil</v>
      </c>
      <c r="K719" s="15" t="s">
        <v>23</v>
      </c>
    </row>
    <row r="720" spans="1:11" ht="42" customHeight="1">
      <c r="A720" s="4" t="s">
        <v>1957</v>
      </c>
      <c r="B720" s="5" t="s">
        <v>1958</v>
      </c>
      <c r="C720" s="5" t="s">
        <v>55</v>
      </c>
      <c r="D720" s="5" t="s">
        <v>56</v>
      </c>
      <c r="E720" s="5" t="s">
        <v>1959</v>
      </c>
      <c r="F720" s="9">
        <v>34</v>
      </c>
      <c r="G720" s="9">
        <v>400</v>
      </c>
      <c r="H720" s="5" t="s">
        <v>21</v>
      </c>
      <c r="I720" s="5" t="s">
        <v>1960</v>
      </c>
      <c r="J720" s="12" t="str">
        <f>HYPERLINK("https://www.boe.es/gazeta/dias/1802/04/27/pdfs/GMD-1802-34.pdf#page=12","Abrir facsímil")</f>
        <v>Abrir facsímil</v>
      </c>
      <c r="K720" s="15" t="s">
        <v>23</v>
      </c>
    </row>
    <row r="721" spans="1:11" ht="42" customHeight="1">
      <c r="A721" s="4" t="s">
        <v>1961</v>
      </c>
      <c r="B721" s="5" t="s">
        <v>1962</v>
      </c>
      <c r="C721" s="5" t="s">
        <v>55</v>
      </c>
      <c r="D721" s="5" t="s">
        <v>56</v>
      </c>
      <c r="E721" s="5" t="s">
        <v>611</v>
      </c>
      <c r="F721" s="9">
        <v>68</v>
      </c>
      <c r="G721" s="9">
        <v>836</v>
      </c>
      <c r="H721" s="5" t="s">
        <v>21</v>
      </c>
      <c r="I721" s="5" t="s">
        <v>1963</v>
      </c>
      <c r="J721" s="12" t="str">
        <f>HYPERLINK("https://www.boe.es/gazeta/dias/1802/08/20/pdfs/GMD-1802-68.pdf#page=12","Abrir facsímil")</f>
        <v>Abrir facsímil</v>
      </c>
      <c r="K721" s="15" t="s">
        <v>23</v>
      </c>
    </row>
    <row r="722" spans="1:11" ht="42" customHeight="1">
      <c r="A722" s="4" t="s">
        <v>1964</v>
      </c>
      <c r="B722" s="5" t="s">
        <v>1965</v>
      </c>
      <c r="C722" s="5" t="s">
        <v>55</v>
      </c>
      <c r="D722" s="5" t="s">
        <v>56</v>
      </c>
      <c r="E722" s="5" t="s">
        <v>114</v>
      </c>
      <c r="F722" s="9">
        <v>82</v>
      </c>
      <c r="G722" s="9">
        <v>1009</v>
      </c>
      <c r="H722" s="5" t="s">
        <v>21</v>
      </c>
      <c r="I722" s="5" t="s">
        <v>1966</v>
      </c>
      <c r="J722" s="12" t="str">
        <f>HYPERLINK("https://www.boe.es/gazeta/dias/1802/10/08/pdfs/GMD-1802-82.pdf#page=9","Abrir facsímil")</f>
        <v>Abrir facsímil</v>
      </c>
      <c r="K722" s="15" t="s">
        <v>23</v>
      </c>
    </row>
    <row r="723" spans="1:11" ht="42" customHeight="1">
      <c r="A723" s="4" t="s">
        <v>1967</v>
      </c>
      <c r="B723" s="5" t="s">
        <v>1967</v>
      </c>
      <c r="C723" s="5" t="s">
        <v>35</v>
      </c>
      <c r="D723" s="5" t="s">
        <v>36</v>
      </c>
      <c r="E723" s="5" t="s">
        <v>339</v>
      </c>
      <c r="F723" s="9">
        <v>39</v>
      </c>
      <c r="G723" s="9">
        <v>463</v>
      </c>
      <c r="H723" s="5" t="s">
        <v>21</v>
      </c>
      <c r="I723" s="5" t="s">
        <v>1968</v>
      </c>
      <c r="J723" s="12" t="str">
        <f>HYPERLINK("https://www.boe.es/gazeta/dias/1802/05/14/pdfs/GMD-1802-39.pdf#page=7","Abrir facsímil")</f>
        <v>Abrir facsímil</v>
      </c>
      <c r="K723" s="15" t="s">
        <v>23</v>
      </c>
    </row>
    <row r="724" spans="1:11" ht="42" customHeight="1">
      <c r="A724" s="4" t="s">
        <v>1969</v>
      </c>
      <c r="B724" s="5" t="s">
        <v>1970</v>
      </c>
      <c r="C724" s="5" t="s">
        <v>42</v>
      </c>
      <c r="D724" s="5" t="s">
        <v>43</v>
      </c>
      <c r="E724" s="5" t="s">
        <v>44</v>
      </c>
      <c r="F724" s="9">
        <v>99</v>
      </c>
      <c r="G724" s="9" t="s">
        <v>45</v>
      </c>
      <c r="H724" s="5" t="s">
        <v>21</v>
      </c>
      <c r="I724" s="5" t="s">
        <v>1971</v>
      </c>
      <c r="J724" s="12" t="str">
        <f>HYPERLINK("https://www.boe.es/gazeta/dias/1802/12/07/pdfs/GMD-D-1802-99.pdf#page=14","Abrir facsímil")</f>
        <v>Abrir facsímil</v>
      </c>
      <c r="K724" s="15" t="s">
        <v>23</v>
      </c>
    </row>
    <row r="725" spans="1:11" ht="42" customHeight="1">
      <c r="A725" s="4" t="s">
        <v>1972</v>
      </c>
      <c r="B725" s="5" t="s">
        <v>1973</v>
      </c>
      <c r="C725" s="5" t="s">
        <v>35</v>
      </c>
      <c r="D725" s="5" t="s">
        <v>36</v>
      </c>
      <c r="E725" s="5" t="s">
        <v>491</v>
      </c>
      <c r="F725" s="9">
        <v>57</v>
      </c>
      <c r="G725" s="9">
        <v>688</v>
      </c>
      <c r="H725" s="5" t="s">
        <v>21</v>
      </c>
      <c r="I725" s="5" t="s">
        <v>1974</v>
      </c>
      <c r="J725" s="12" t="str">
        <f>HYPERLINK("https://www.boe.es/gazeta/dias/1802/07/16/pdfs/GMD-1802-57.pdf#page=8","Abrir facsímil")</f>
        <v>Abrir facsímil</v>
      </c>
      <c r="K725" s="15" t="s">
        <v>23</v>
      </c>
    </row>
    <row r="726" spans="1:11" ht="42" customHeight="1">
      <c r="A726" s="4" t="s">
        <v>1975</v>
      </c>
      <c r="B726" s="5" t="s">
        <v>1976</v>
      </c>
      <c r="C726" s="5" t="s">
        <v>42</v>
      </c>
      <c r="D726" s="5" t="s">
        <v>43</v>
      </c>
      <c r="E726" s="5" t="s">
        <v>44</v>
      </c>
      <c r="F726" s="9">
        <v>99</v>
      </c>
      <c r="G726" s="9" t="s">
        <v>779</v>
      </c>
      <c r="H726" s="5" t="s">
        <v>21</v>
      </c>
      <c r="I726" s="5" t="s">
        <v>1977</v>
      </c>
      <c r="J726" s="12" t="str">
        <f>HYPERLINK("https://www.boe.es/gazeta/dias/1802/12/07/pdfs/GMD-D-1802-99.pdf#page=13","Abrir facsímil")</f>
        <v>Abrir facsímil</v>
      </c>
      <c r="K726" s="15" t="s">
        <v>23</v>
      </c>
    </row>
    <row r="727" spans="1:11" ht="42" customHeight="1">
      <c r="A727" s="4" t="s">
        <v>1978</v>
      </c>
      <c r="B727" s="5" t="s">
        <v>1979</v>
      </c>
      <c r="C727" s="5" t="s">
        <v>35</v>
      </c>
      <c r="D727" s="5" t="s">
        <v>36</v>
      </c>
      <c r="E727" s="5" t="s">
        <v>900</v>
      </c>
      <c r="F727" s="9">
        <v>16</v>
      </c>
      <c r="G727" s="9">
        <v>166</v>
      </c>
      <c r="H727" s="5" t="s">
        <v>21</v>
      </c>
      <c r="I727" s="5" t="s">
        <v>1980</v>
      </c>
      <c r="J727" s="12" t="str">
        <f>HYPERLINK("https://www.boe.es/gazeta/dias/1802/02/23/pdfs/GMD-1802-16.pdf#page=6","Abrir facsímil")</f>
        <v>Abrir facsímil</v>
      </c>
      <c r="K727" s="15" t="s">
        <v>23</v>
      </c>
    </row>
    <row r="728" spans="1:11" ht="42" customHeight="1">
      <c r="A728" s="4" t="s">
        <v>1981</v>
      </c>
      <c r="B728" s="5" t="s">
        <v>1982</v>
      </c>
      <c r="C728" s="5" t="s">
        <v>55</v>
      </c>
      <c r="D728" s="5" t="s">
        <v>56</v>
      </c>
      <c r="E728" s="5" t="s">
        <v>1959</v>
      </c>
      <c r="F728" s="9">
        <v>34</v>
      </c>
      <c r="G728" s="9">
        <v>400</v>
      </c>
      <c r="H728" s="5" t="s">
        <v>21</v>
      </c>
      <c r="I728" s="5" t="s">
        <v>1983</v>
      </c>
      <c r="J728" s="12" t="str">
        <f>HYPERLINK("https://www.boe.es/gazeta/dias/1802/04/27/pdfs/GMD-1802-34.pdf#page=12","Abrir facsímil")</f>
        <v>Abrir facsímil</v>
      </c>
      <c r="K728" s="15" t="s">
        <v>23</v>
      </c>
    </row>
    <row r="729" spans="1:11" ht="42" customHeight="1">
      <c r="A729" s="4" t="s">
        <v>1981</v>
      </c>
      <c r="B729" s="5" t="s">
        <v>1982</v>
      </c>
      <c r="C729" s="5" t="s">
        <v>160</v>
      </c>
      <c r="D729" s="5" t="s">
        <v>91</v>
      </c>
      <c r="E729" s="5" t="s">
        <v>25</v>
      </c>
      <c r="F729" s="9">
        <v>44</v>
      </c>
      <c r="G729" s="9">
        <v>536</v>
      </c>
      <c r="H729" s="5" t="s">
        <v>21</v>
      </c>
      <c r="I729" s="5" t="s">
        <v>1984</v>
      </c>
      <c r="J729" s="12" t="str">
        <f>HYPERLINK("https://www.boe.es/gazeta/dias/1802/06/01/pdfs/GMD-1802-44.pdf#page=12","Abrir facsímil")</f>
        <v>Abrir facsímil</v>
      </c>
      <c r="K729" s="15" t="s">
        <v>23</v>
      </c>
    </row>
    <row r="730" spans="1:11" ht="42" customHeight="1">
      <c r="A730" s="4" t="s">
        <v>1981</v>
      </c>
      <c r="B730" s="5" t="s">
        <v>1982</v>
      </c>
      <c r="C730" s="5" t="s">
        <v>18</v>
      </c>
      <c r="D730" s="5" t="s">
        <v>19</v>
      </c>
      <c r="E730" s="5" t="s">
        <v>121</v>
      </c>
      <c r="F730" s="9">
        <v>87</v>
      </c>
      <c r="G730" s="9">
        <v>1084</v>
      </c>
      <c r="H730" s="5" t="s">
        <v>21</v>
      </c>
      <c r="I730" s="5" t="s">
        <v>1985</v>
      </c>
      <c r="J730" s="12" t="str">
        <f>HYPERLINK("https://www.boe.es/gazeta/dias/1802/10/26/pdfs/GMD-1802-87.pdf#page=12","Abrir facsímil")</f>
        <v>Abrir facsímil</v>
      </c>
      <c r="K730" s="15" t="s">
        <v>23</v>
      </c>
    </row>
    <row r="731" spans="1:11" ht="42" customHeight="1">
      <c r="A731" s="4" t="s">
        <v>1986</v>
      </c>
      <c r="B731" s="5" t="s">
        <v>1986</v>
      </c>
      <c r="C731" s="5" t="s">
        <v>18</v>
      </c>
      <c r="D731" s="5" t="s">
        <v>19</v>
      </c>
      <c r="E731" s="5" t="s">
        <v>328</v>
      </c>
      <c r="F731" s="9">
        <v>45</v>
      </c>
      <c r="G731" s="9">
        <v>543</v>
      </c>
      <c r="H731" s="5" t="s">
        <v>21</v>
      </c>
      <c r="I731" s="5" t="s">
        <v>1987</v>
      </c>
      <c r="J731" s="12" t="str">
        <f>HYPERLINK("https://www.boe.es/gazeta/dias/1802/06/04/pdfs/GMD-1802-45.pdf#page=7","Abrir facsímil")</f>
        <v>Abrir facsímil</v>
      </c>
      <c r="K731" s="15" t="s">
        <v>23</v>
      </c>
    </row>
    <row r="732" spans="1:11" ht="42" customHeight="1">
      <c r="A732" s="4" t="s">
        <v>1986</v>
      </c>
      <c r="B732" s="5" t="s">
        <v>1986</v>
      </c>
      <c r="C732" s="5" t="s">
        <v>35</v>
      </c>
      <c r="D732" s="5" t="s">
        <v>36</v>
      </c>
      <c r="E732" s="5" t="s">
        <v>385</v>
      </c>
      <c r="F732" s="9">
        <v>70</v>
      </c>
      <c r="G732" s="9">
        <v>858</v>
      </c>
      <c r="H732" s="5" t="s">
        <v>21</v>
      </c>
      <c r="I732" s="5" t="s">
        <v>1988</v>
      </c>
      <c r="J732" s="12" t="str">
        <f>HYPERLINK("https://www.boe.es/gazeta/dias/1802/08/27/pdfs/GMD-1802-70.pdf#page=6","Abrir facsímil")</f>
        <v>Abrir facsímil</v>
      </c>
      <c r="K732" s="15" t="s">
        <v>23</v>
      </c>
    </row>
    <row r="733" spans="1:11" ht="42" customHeight="1">
      <c r="A733" s="4" t="s">
        <v>1989</v>
      </c>
      <c r="B733" s="5" t="s">
        <v>1990</v>
      </c>
      <c r="C733" s="5" t="s">
        <v>18</v>
      </c>
      <c r="D733" s="5" t="s">
        <v>19</v>
      </c>
      <c r="E733" s="5" t="s">
        <v>1051</v>
      </c>
      <c r="F733" s="9">
        <v>43</v>
      </c>
      <c r="G733" s="9">
        <v>516</v>
      </c>
      <c r="H733" s="5" t="s">
        <v>21</v>
      </c>
      <c r="I733" s="5" t="s">
        <v>1991</v>
      </c>
      <c r="J733" s="12" t="str">
        <f>HYPERLINK("https://www.boe.es/gazeta/dias/1802/05/28/pdfs/GMD-1802-43.pdf#page=8","Abrir facsímil")</f>
        <v>Abrir facsímil</v>
      </c>
      <c r="K733" s="15" t="s">
        <v>23</v>
      </c>
    </row>
    <row r="734" spans="1:11" ht="42" customHeight="1">
      <c r="A734" s="4" t="s">
        <v>1989</v>
      </c>
      <c r="B734" s="5" t="s">
        <v>1990</v>
      </c>
      <c r="C734" s="5" t="s">
        <v>35</v>
      </c>
      <c r="D734" s="5" t="s">
        <v>36</v>
      </c>
      <c r="E734" s="5" t="s">
        <v>754</v>
      </c>
      <c r="F734" s="9">
        <v>101</v>
      </c>
      <c r="G734" s="9">
        <v>1237</v>
      </c>
      <c r="H734" s="5" t="s">
        <v>21</v>
      </c>
      <c r="I734" s="5" t="s">
        <v>1992</v>
      </c>
      <c r="J734" s="12" t="str">
        <f>HYPERLINK("https://www.boe.es/gazeta/dias/1802/12/14/pdfs/GMD-1802-101.pdf#page=1","Abrir facsímil")</f>
        <v>Abrir facsímil</v>
      </c>
      <c r="K734" s="15" t="s">
        <v>23</v>
      </c>
    </row>
    <row r="735" spans="1:11" ht="42" customHeight="1">
      <c r="A735" s="4" t="s">
        <v>1993</v>
      </c>
      <c r="B735" s="5" t="s">
        <v>1994</v>
      </c>
      <c r="C735" s="5" t="s">
        <v>35</v>
      </c>
      <c r="D735" s="5" t="s">
        <v>36</v>
      </c>
      <c r="E735" s="5" t="s">
        <v>175</v>
      </c>
      <c r="F735" s="9">
        <v>37</v>
      </c>
      <c r="G735" s="9">
        <v>440</v>
      </c>
      <c r="H735" s="5" t="s">
        <v>21</v>
      </c>
      <c r="I735" s="5" t="s">
        <v>1995</v>
      </c>
      <c r="J735" s="12" t="str">
        <f>HYPERLINK("https://www.boe.es/gazeta/dias/1802/05/07/pdfs/GMD-1802-37.pdf#page=8","Abrir facsímil")</f>
        <v>Abrir facsímil</v>
      </c>
      <c r="K735" s="15" t="s">
        <v>23</v>
      </c>
    </row>
    <row r="736" spans="1:11" ht="42" customHeight="1">
      <c r="A736" s="4" t="s">
        <v>1996</v>
      </c>
      <c r="B736" s="5" t="s">
        <v>1997</v>
      </c>
      <c r="C736" s="5" t="s">
        <v>29</v>
      </c>
      <c r="D736" s="5" t="s">
        <v>30</v>
      </c>
      <c r="E736" s="5" t="s">
        <v>1332</v>
      </c>
      <c r="F736" s="9">
        <v>4</v>
      </c>
      <c r="G736" s="9">
        <v>34</v>
      </c>
      <c r="H736" s="5" t="s">
        <v>21</v>
      </c>
      <c r="I736" s="5" t="s">
        <v>1998</v>
      </c>
      <c r="J736" s="12" t="str">
        <f>HYPERLINK("https://www.boe.es/gazeta/dias/1802/01/12/pdfs/GMD-1802-4.pdf#page=6","Abrir facsímil")</f>
        <v>Abrir facsímil</v>
      </c>
      <c r="K736" s="15" t="s">
        <v>23</v>
      </c>
    </row>
    <row r="737" spans="1:11" ht="42" customHeight="1">
      <c r="A737" s="4" t="s">
        <v>1996</v>
      </c>
      <c r="B737" s="5" t="s">
        <v>1997</v>
      </c>
      <c r="C737" s="5" t="s">
        <v>35</v>
      </c>
      <c r="D737" s="5" t="s">
        <v>36</v>
      </c>
      <c r="E737" s="5" t="s">
        <v>133</v>
      </c>
      <c r="F737" s="9">
        <v>33</v>
      </c>
      <c r="G737" s="9">
        <v>382</v>
      </c>
      <c r="H737" s="5" t="s">
        <v>21</v>
      </c>
      <c r="I737" s="5" t="s">
        <v>1999</v>
      </c>
      <c r="J737" s="12" t="str">
        <f>HYPERLINK("https://www.boe.es/gazeta/dias/1802/04/23/pdfs/GMD-1802-33.pdf#page=2","Abrir facsímil")</f>
        <v>Abrir facsímil</v>
      </c>
      <c r="K737" s="15" t="s">
        <v>23</v>
      </c>
    </row>
    <row r="738" spans="1:11" ht="42" customHeight="1">
      <c r="A738" s="4" t="s">
        <v>1996</v>
      </c>
      <c r="B738" s="5" t="s">
        <v>1997</v>
      </c>
      <c r="C738" s="5" t="s">
        <v>18</v>
      </c>
      <c r="D738" s="5" t="s">
        <v>19</v>
      </c>
      <c r="E738" s="5" t="s">
        <v>1959</v>
      </c>
      <c r="F738" s="9">
        <v>34</v>
      </c>
      <c r="G738" s="9">
        <v>392</v>
      </c>
      <c r="H738" s="5" t="s">
        <v>21</v>
      </c>
      <c r="I738" s="5" t="s">
        <v>2000</v>
      </c>
      <c r="J738" s="12" t="str">
        <f>HYPERLINK("https://www.boe.es/gazeta/dias/1802/04/27/pdfs/GMD-1802-34.pdf#page=4","Abrir facsímil")</f>
        <v>Abrir facsímil</v>
      </c>
      <c r="K738" s="15" t="s">
        <v>23</v>
      </c>
    </row>
    <row r="739" spans="1:11" ht="42" customHeight="1">
      <c r="A739" s="4" t="s">
        <v>1996</v>
      </c>
      <c r="B739" s="5" t="s">
        <v>1997</v>
      </c>
      <c r="C739" s="5" t="s">
        <v>29</v>
      </c>
      <c r="D739" s="5" t="s">
        <v>30</v>
      </c>
      <c r="E739" s="5" t="s">
        <v>1959</v>
      </c>
      <c r="F739" s="9">
        <v>34</v>
      </c>
      <c r="G739" s="9">
        <v>394</v>
      </c>
      <c r="H739" s="5" t="s">
        <v>21</v>
      </c>
      <c r="I739" s="5" t="s">
        <v>2001</v>
      </c>
      <c r="J739" s="12" t="str">
        <f>HYPERLINK("https://www.boe.es/gazeta/dias/1802/04/27/pdfs/GMD-1802-34.pdf#page=6","Abrir facsímil")</f>
        <v>Abrir facsímil</v>
      </c>
      <c r="K739" s="15" t="s">
        <v>23</v>
      </c>
    </row>
    <row r="740" spans="1:11" ht="42" customHeight="1">
      <c r="A740" s="4" t="s">
        <v>1996</v>
      </c>
      <c r="B740" s="5" t="s">
        <v>1997</v>
      </c>
      <c r="C740" s="5" t="s">
        <v>29</v>
      </c>
      <c r="D740" s="5" t="s">
        <v>30</v>
      </c>
      <c r="E740" s="5" t="s">
        <v>339</v>
      </c>
      <c r="F740" s="9">
        <v>39</v>
      </c>
      <c r="G740" s="9">
        <v>468</v>
      </c>
      <c r="H740" s="5" t="s">
        <v>21</v>
      </c>
      <c r="I740" s="5" t="s">
        <v>2002</v>
      </c>
      <c r="J740" s="12" t="str">
        <f>HYPERLINK("https://www.boe.es/gazeta/dias/1802/05/14/pdfs/GMD-1802-39.pdf#page=12","Abrir facsímil")</f>
        <v>Abrir facsímil</v>
      </c>
      <c r="K740" s="15" t="s">
        <v>23</v>
      </c>
    </row>
    <row r="741" spans="1:11" ht="42" customHeight="1">
      <c r="A741" s="4" t="s">
        <v>2003</v>
      </c>
      <c r="B741" s="5" t="s">
        <v>2004</v>
      </c>
      <c r="C741" s="5" t="s">
        <v>160</v>
      </c>
      <c r="D741" s="5" t="s">
        <v>91</v>
      </c>
      <c r="E741" s="5" t="s">
        <v>20</v>
      </c>
      <c r="F741" s="9">
        <v>84</v>
      </c>
      <c r="G741" s="9">
        <v>1040</v>
      </c>
      <c r="H741" s="5" t="s">
        <v>21</v>
      </c>
      <c r="I741" s="5" t="s">
        <v>2005</v>
      </c>
      <c r="J741" s="12" t="str">
        <f>HYPERLINK("https://www.boe.es/gazeta/dias/1802/10/15/pdfs/GMD-1802-84.pdf#page=8","Abrir facsímil")</f>
        <v>Abrir facsímil</v>
      </c>
      <c r="K741" s="15" t="s">
        <v>23</v>
      </c>
    </row>
    <row r="742" spans="1:11" ht="42" customHeight="1">
      <c r="A742" s="4" t="s">
        <v>2006</v>
      </c>
      <c r="B742" s="5" t="s">
        <v>2006</v>
      </c>
      <c r="C742" s="5" t="s">
        <v>29</v>
      </c>
      <c r="D742" s="5" t="s">
        <v>30</v>
      </c>
      <c r="E742" s="5" t="s">
        <v>749</v>
      </c>
      <c r="F742" s="9">
        <v>97</v>
      </c>
      <c r="G742" s="9">
        <v>1199</v>
      </c>
      <c r="H742" s="5" t="s">
        <v>21</v>
      </c>
      <c r="I742" s="5" t="s">
        <v>2007</v>
      </c>
      <c r="J742" s="12" t="str">
        <f>HYPERLINK("https://www.boe.es/gazeta/dias/1802/11/30/pdfs/GMD-1802-97.pdf#page=7","Abrir facsímil")</f>
        <v>Abrir facsímil</v>
      </c>
      <c r="K742" s="15" t="s">
        <v>23</v>
      </c>
    </row>
    <row r="743" spans="1:11" ht="42" customHeight="1">
      <c r="A743" s="4" t="s">
        <v>2008</v>
      </c>
      <c r="B743" s="5" t="s">
        <v>2009</v>
      </c>
      <c r="C743" s="5" t="s">
        <v>29</v>
      </c>
      <c r="D743" s="5" t="s">
        <v>30</v>
      </c>
      <c r="E743" s="5" t="s">
        <v>20</v>
      </c>
      <c r="F743" s="9">
        <v>84</v>
      </c>
      <c r="G743" s="9">
        <v>1047</v>
      </c>
      <c r="H743" s="5" t="s">
        <v>21</v>
      </c>
      <c r="I743" s="5" t="s">
        <v>2010</v>
      </c>
      <c r="J743" s="12" t="str">
        <f>HYPERLINK("https://www.boe.es/gazeta/dias/1802/10/15/pdfs/GMD-1802-84.pdf#page=15","Abrir facsímil")</f>
        <v>Abrir facsímil</v>
      </c>
      <c r="K743" s="15" t="s">
        <v>23</v>
      </c>
    </row>
    <row r="744" spans="1:11" ht="42" customHeight="1">
      <c r="A744" s="4" t="s">
        <v>2011</v>
      </c>
      <c r="B744" s="5" t="s">
        <v>2012</v>
      </c>
      <c r="C744" s="5" t="s">
        <v>90</v>
      </c>
      <c r="D744" s="5" t="s">
        <v>91</v>
      </c>
      <c r="E744" s="5" t="s">
        <v>71</v>
      </c>
      <c r="F744" s="9">
        <v>21</v>
      </c>
      <c r="G744" s="9">
        <v>235</v>
      </c>
      <c r="H744" s="5" t="s">
        <v>21</v>
      </c>
      <c r="I744" s="5" t="s">
        <v>2013</v>
      </c>
      <c r="J744" s="12" t="str">
        <f>HYPERLINK("https://www.boe.es/gazeta/dias/1802/03/12/pdfs/GMD-1802-21.pdf#page=11","Abrir facsímil")</f>
        <v>Abrir facsímil</v>
      </c>
      <c r="K744" s="15" t="s">
        <v>23</v>
      </c>
    </row>
    <row r="745" spans="1:11" ht="42" customHeight="1">
      <c r="A745" s="4" t="s">
        <v>2014</v>
      </c>
      <c r="B745" s="5" t="s">
        <v>2015</v>
      </c>
      <c r="C745" s="5" t="s">
        <v>160</v>
      </c>
      <c r="D745" s="5" t="s">
        <v>91</v>
      </c>
      <c r="E745" s="5" t="s">
        <v>20</v>
      </c>
      <c r="F745" s="9">
        <v>84</v>
      </c>
      <c r="G745" s="9">
        <v>1044</v>
      </c>
      <c r="H745" s="5" t="s">
        <v>21</v>
      </c>
      <c r="I745" s="5" t="s">
        <v>2016</v>
      </c>
      <c r="J745" s="12" t="str">
        <f>HYPERLINK("https://www.boe.es/gazeta/dias/1802/10/15/pdfs/GMD-1802-84.pdf#page=12","Abrir facsímil")</f>
        <v>Abrir facsímil</v>
      </c>
      <c r="K745" s="15" t="s">
        <v>23</v>
      </c>
    </row>
    <row r="746" spans="1:11" ht="42" customHeight="1">
      <c r="A746" s="4" t="s">
        <v>2017</v>
      </c>
      <c r="B746" s="5" t="s">
        <v>2018</v>
      </c>
      <c r="C746" s="5" t="s">
        <v>18</v>
      </c>
      <c r="D746" s="5" t="s">
        <v>19</v>
      </c>
      <c r="E746" s="5" t="s">
        <v>49</v>
      </c>
      <c r="F746" s="9">
        <v>83</v>
      </c>
      <c r="G746" s="9">
        <v>1024</v>
      </c>
      <c r="H746" s="5" t="s">
        <v>21</v>
      </c>
      <c r="I746" s="5" t="s">
        <v>2019</v>
      </c>
      <c r="J746" s="12" t="str">
        <f>HYPERLINK("https://www.boe.es/gazeta/dias/1802/10/12/pdfs/GMD-1802-83.pdf#page=12","Abrir facsímil")</f>
        <v>Abrir facsímil</v>
      </c>
      <c r="K746" s="15" t="s">
        <v>23</v>
      </c>
    </row>
    <row r="747" spans="1:11" ht="42" customHeight="1">
      <c r="A747" s="4" t="s">
        <v>2020</v>
      </c>
      <c r="B747" s="5" t="s">
        <v>2021</v>
      </c>
      <c r="C747" s="5" t="s">
        <v>29</v>
      </c>
      <c r="D747" s="5" t="s">
        <v>30</v>
      </c>
      <c r="E747" s="5" t="s">
        <v>183</v>
      </c>
      <c r="F747" s="9">
        <v>56</v>
      </c>
      <c r="G747" s="9">
        <v>678</v>
      </c>
      <c r="H747" s="5" t="s">
        <v>21</v>
      </c>
      <c r="I747" s="5" t="s">
        <v>2022</v>
      </c>
      <c r="J747" s="12" t="str">
        <f>HYPERLINK("https://www.boe.es/gazeta/dias/1802/07/13/pdfs/GMD-1802-56.pdf#page=10","Abrir facsímil")</f>
        <v>Abrir facsímil</v>
      </c>
      <c r="K747" s="15" t="s">
        <v>23</v>
      </c>
    </row>
    <row r="748" spans="1:11" ht="42" customHeight="1">
      <c r="A748" s="4" t="s">
        <v>2023</v>
      </c>
      <c r="B748" s="5" t="s">
        <v>2024</v>
      </c>
      <c r="C748" s="5" t="s">
        <v>160</v>
      </c>
      <c r="D748" s="5" t="s">
        <v>91</v>
      </c>
      <c r="E748" s="5" t="s">
        <v>49</v>
      </c>
      <c r="F748" s="9">
        <v>83</v>
      </c>
      <c r="G748" s="9">
        <v>1027</v>
      </c>
      <c r="H748" s="5" t="s">
        <v>21</v>
      </c>
      <c r="I748" s="5" t="s">
        <v>2025</v>
      </c>
      <c r="J748" s="12" t="str">
        <f>HYPERLINK("https://www.boe.es/gazeta/dias/1802/10/12/pdfs/GMD-1802-83.pdf#page=15","Abrir facsímil")</f>
        <v>Abrir facsímil</v>
      </c>
      <c r="K748" s="15" t="s">
        <v>23</v>
      </c>
    </row>
    <row r="749" spans="1:11" ht="42" customHeight="1">
      <c r="A749" s="4" t="s">
        <v>2026</v>
      </c>
      <c r="B749" s="5" t="s">
        <v>2027</v>
      </c>
      <c r="C749" s="5" t="s">
        <v>29</v>
      </c>
      <c r="D749" s="5" t="s">
        <v>30</v>
      </c>
      <c r="E749" s="5" t="s">
        <v>754</v>
      </c>
      <c r="F749" s="9">
        <v>101</v>
      </c>
      <c r="G749" s="9">
        <v>1242</v>
      </c>
      <c r="H749" s="5" t="s">
        <v>21</v>
      </c>
      <c r="I749" s="5" t="s">
        <v>2028</v>
      </c>
      <c r="J749" s="12" t="str">
        <f>HYPERLINK("https://www.boe.es/gazeta/dias/1802/12/14/pdfs/GMD-1802-101.pdf#page=6","Abrir facsímil")</f>
        <v>Abrir facsímil</v>
      </c>
      <c r="K749" s="15" t="s">
        <v>23</v>
      </c>
    </row>
    <row r="750" spans="1:11" ht="42" customHeight="1">
      <c r="A750" s="4" t="s">
        <v>2029</v>
      </c>
      <c r="B750" s="5" t="s">
        <v>2030</v>
      </c>
      <c r="C750" s="5" t="s">
        <v>18</v>
      </c>
      <c r="D750" s="5" t="s">
        <v>19</v>
      </c>
      <c r="E750" s="5" t="s">
        <v>49</v>
      </c>
      <c r="F750" s="9">
        <v>83</v>
      </c>
      <c r="G750" s="9">
        <v>1024</v>
      </c>
      <c r="H750" s="5" t="s">
        <v>21</v>
      </c>
      <c r="I750" s="5" t="s">
        <v>2031</v>
      </c>
      <c r="J750" s="12" t="str">
        <f>HYPERLINK("https://www.boe.es/gazeta/dias/1802/10/12/pdfs/GMD-1802-83.pdf#page=12","Abrir facsímil")</f>
        <v>Abrir facsímil</v>
      </c>
      <c r="K750" s="15" t="s">
        <v>23</v>
      </c>
    </row>
    <row r="751" spans="1:11" ht="42" customHeight="1">
      <c r="A751" s="4" t="s">
        <v>2032</v>
      </c>
      <c r="B751" s="5" t="s">
        <v>2033</v>
      </c>
      <c r="C751" s="5" t="s">
        <v>35</v>
      </c>
      <c r="D751" s="5" t="s">
        <v>36</v>
      </c>
      <c r="E751" s="5" t="s">
        <v>436</v>
      </c>
      <c r="F751" s="9">
        <v>58</v>
      </c>
      <c r="G751" s="9">
        <v>699</v>
      </c>
      <c r="H751" s="5" t="s">
        <v>21</v>
      </c>
      <c r="I751" s="5" t="s">
        <v>2034</v>
      </c>
      <c r="J751" s="12" t="str">
        <f>HYPERLINK("https://www.boe.es/gazeta/dias/1802/07/20/pdfs/GMD-1802-58.pdf#page=7","Abrir facsímil")</f>
        <v>Abrir facsímil</v>
      </c>
      <c r="K751" s="15" t="s">
        <v>23</v>
      </c>
    </row>
    <row r="752" spans="1:11" ht="42" customHeight="1">
      <c r="A752" s="4" t="s">
        <v>2035</v>
      </c>
      <c r="B752" s="5" t="s">
        <v>2035</v>
      </c>
      <c r="C752" s="5" t="s">
        <v>160</v>
      </c>
      <c r="D752" s="5" t="s">
        <v>91</v>
      </c>
      <c r="E752" s="5" t="s">
        <v>148</v>
      </c>
      <c r="F752" s="9">
        <v>66</v>
      </c>
      <c r="G752" s="9">
        <v>811</v>
      </c>
      <c r="H752" s="5" t="s">
        <v>21</v>
      </c>
      <c r="I752" s="5" t="s">
        <v>2036</v>
      </c>
      <c r="J752" s="12" t="str">
        <f>HYPERLINK("https://www.boe.es/gazeta/dias/1802/08/13/pdfs/GMD-1802-66.pdf#page=15","Abrir facsímil")</f>
        <v>Abrir facsímil</v>
      </c>
      <c r="K752" s="15" t="s">
        <v>23</v>
      </c>
    </row>
    <row r="753" spans="1:11" ht="42" customHeight="1">
      <c r="A753" s="4" t="s">
        <v>2037</v>
      </c>
      <c r="B753" s="5" t="s">
        <v>2038</v>
      </c>
      <c r="C753" s="5" t="s">
        <v>29</v>
      </c>
      <c r="D753" s="5" t="s">
        <v>30</v>
      </c>
      <c r="E753" s="5" t="s">
        <v>436</v>
      </c>
      <c r="F753" s="9">
        <v>58</v>
      </c>
      <c r="G753" s="9">
        <v>701</v>
      </c>
      <c r="H753" s="5" t="s">
        <v>21</v>
      </c>
      <c r="I753" s="5" t="s">
        <v>2039</v>
      </c>
      <c r="J753" s="12" t="str">
        <f>HYPERLINK("https://www.boe.es/gazeta/dias/1802/07/20/pdfs/GMD-1802-58.pdf#page=9","Abrir facsímil")</f>
        <v>Abrir facsímil</v>
      </c>
      <c r="K753" s="15" t="s">
        <v>23</v>
      </c>
    </row>
    <row r="754" spans="1:11" ht="42" customHeight="1">
      <c r="A754" s="4" t="s">
        <v>2040</v>
      </c>
      <c r="B754" s="5" t="s">
        <v>2040</v>
      </c>
      <c r="C754" s="5" t="s">
        <v>35</v>
      </c>
      <c r="D754" s="5" t="s">
        <v>36</v>
      </c>
      <c r="E754" s="5" t="s">
        <v>332</v>
      </c>
      <c r="F754" s="9">
        <v>24</v>
      </c>
      <c r="G754" s="9">
        <v>268</v>
      </c>
      <c r="H754" s="5" t="s">
        <v>21</v>
      </c>
      <c r="I754" s="5" t="s">
        <v>2041</v>
      </c>
      <c r="J754" s="12" t="str">
        <f>HYPERLINK("https://www.boe.es/gazeta/dias/1802/03/23/pdfs/GMD-1802-24.pdf#page=4","Abrir facsímil")</f>
        <v>Abrir facsímil</v>
      </c>
      <c r="K754" s="15" t="s">
        <v>23</v>
      </c>
    </row>
    <row r="755" spans="1:11" ht="42" customHeight="1">
      <c r="A755" s="4" t="s">
        <v>2042</v>
      </c>
      <c r="B755" s="5" t="s">
        <v>2043</v>
      </c>
      <c r="C755" s="5" t="s">
        <v>90</v>
      </c>
      <c r="D755" s="5" t="s">
        <v>91</v>
      </c>
      <c r="E755" s="5" t="s">
        <v>332</v>
      </c>
      <c r="F755" s="9">
        <v>24</v>
      </c>
      <c r="G755" s="9">
        <v>268</v>
      </c>
      <c r="H755" s="5" t="s">
        <v>21</v>
      </c>
      <c r="I755" s="5" t="s">
        <v>2044</v>
      </c>
      <c r="J755" s="12" t="str">
        <f>HYPERLINK("https://www.boe.es/gazeta/dias/1802/03/23/pdfs/GMD-1802-24.pdf#page=4","Abrir facsímil")</f>
        <v>Abrir facsímil</v>
      </c>
      <c r="K755" s="15" t="s">
        <v>23</v>
      </c>
    </row>
    <row r="756" spans="1:11" ht="42" customHeight="1">
      <c r="A756" s="4" t="s">
        <v>2045</v>
      </c>
      <c r="B756" s="5" t="s">
        <v>2046</v>
      </c>
      <c r="C756" s="5" t="s">
        <v>29</v>
      </c>
      <c r="D756" s="5" t="s">
        <v>30</v>
      </c>
      <c r="E756" s="5" t="s">
        <v>678</v>
      </c>
      <c r="F756" s="9">
        <v>15</v>
      </c>
      <c r="G756" s="9">
        <v>154</v>
      </c>
      <c r="H756" s="5" t="s">
        <v>21</v>
      </c>
      <c r="I756" s="5" t="s">
        <v>2047</v>
      </c>
      <c r="J756" s="12" t="str">
        <f>HYPERLINK("https://www.boe.es/gazeta/dias/1802/02/19/pdfs/GMD-1802-15.pdf#page=6","Abrir facsímil")</f>
        <v>Abrir facsímil</v>
      </c>
      <c r="K756" s="15" t="s">
        <v>23</v>
      </c>
    </row>
    <row r="757" spans="1:11" ht="42" customHeight="1">
      <c r="A757" s="4" t="s">
        <v>2048</v>
      </c>
      <c r="B757" s="5" t="s">
        <v>2048</v>
      </c>
      <c r="C757" s="5" t="s">
        <v>90</v>
      </c>
      <c r="D757" s="5" t="s">
        <v>91</v>
      </c>
      <c r="E757" s="5" t="s">
        <v>128</v>
      </c>
      <c r="F757" s="9">
        <v>9</v>
      </c>
      <c r="G757" s="9">
        <v>87</v>
      </c>
      <c r="H757" s="5" t="s">
        <v>21</v>
      </c>
      <c r="I757" s="5" t="s">
        <v>2049</v>
      </c>
      <c r="J757" s="12" t="str">
        <f>HYPERLINK("https://www.boe.es/gazeta/dias/1802/01/29/pdfs/GMD-1802-9.pdf#page=7","Abrir facsímil")</f>
        <v>Abrir facsímil</v>
      </c>
      <c r="K757" s="15" t="s">
        <v>23</v>
      </c>
    </row>
    <row r="758" spans="1:11" ht="42" customHeight="1">
      <c r="A758" s="4" t="s">
        <v>2050</v>
      </c>
      <c r="B758" s="5" t="s">
        <v>2051</v>
      </c>
      <c r="C758" s="5" t="s">
        <v>29</v>
      </c>
      <c r="D758" s="5" t="s">
        <v>30</v>
      </c>
      <c r="E758" s="5" t="s">
        <v>146</v>
      </c>
      <c r="F758" s="9">
        <v>42</v>
      </c>
      <c r="G758" s="9">
        <v>504</v>
      </c>
      <c r="H758" s="5" t="s">
        <v>21</v>
      </c>
      <c r="I758" s="5" t="s">
        <v>2052</v>
      </c>
      <c r="J758" s="12" t="str">
        <f>HYPERLINK("https://www.boe.es/gazeta/dias/1802/05/25/pdfs/GMD-1802-42.pdf#page=8","Abrir facsímil")</f>
        <v>Abrir facsímil</v>
      </c>
      <c r="K758" s="15" t="s">
        <v>23</v>
      </c>
    </row>
    <row r="759" spans="1:11" ht="42" customHeight="1">
      <c r="A759" s="4" t="s">
        <v>2053</v>
      </c>
      <c r="B759" s="5" t="s">
        <v>2054</v>
      </c>
      <c r="C759" s="5" t="s">
        <v>35</v>
      </c>
      <c r="D759" s="5" t="s">
        <v>36</v>
      </c>
      <c r="E759" s="5" t="s">
        <v>188</v>
      </c>
      <c r="F759" s="9">
        <v>49</v>
      </c>
      <c r="G759" s="9">
        <v>598</v>
      </c>
      <c r="H759" s="5" t="s">
        <v>21</v>
      </c>
      <c r="I759" s="5" t="s">
        <v>2055</v>
      </c>
      <c r="J759" s="12" t="str">
        <f>HYPERLINK("https://www.boe.es/gazeta/dias/1802/06/18/pdfs/GMD-1802-49.pdf#page=10","Abrir facsímil")</f>
        <v>Abrir facsímil</v>
      </c>
      <c r="K759" s="15" t="s">
        <v>23</v>
      </c>
    </row>
    <row r="760" spans="1:11" ht="42" customHeight="1">
      <c r="A760" s="4" t="s">
        <v>2056</v>
      </c>
      <c r="B760" s="5" t="s">
        <v>2057</v>
      </c>
      <c r="C760" s="5" t="s">
        <v>18</v>
      </c>
      <c r="D760" s="5" t="s">
        <v>19</v>
      </c>
      <c r="E760" s="5" t="s">
        <v>49</v>
      </c>
      <c r="F760" s="9">
        <v>83</v>
      </c>
      <c r="G760" s="9">
        <v>1024</v>
      </c>
      <c r="H760" s="5" t="s">
        <v>21</v>
      </c>
      <c r="I760" s="5" t="s">
        <v>2058</v>
      </c>
      <c r="J760" s="12" t="str">
        <f>HYPERLINK("https://www.boe.es/gazeta/dias/1802/10/12/pdfs/GMD-1802-83.pdf#page=12","Abrir facsímil")</f>
        <v>Abrir facsímil</v>
      </c>
      <c r="K760" s="15" t="s">
        <v>23</v>
      </c>
    </row>
    <row r="761" spans="1:11" ht="42" customHeight="1">
      <c r="A761" s="4" t="s">
        <v>2059</v>
      </c>
      <c r="B761" s="5" t="s">
        <v>2060</v>
      </c>
      <c r="C761" s="5" t="s">
        <v>35</v>
      </c>
      <c r="D761" s="5" t="s">
        <v>36</v>
      </c>
      <c r="E761" s="5" t="s">
        <v>1289</v>
      </c>
      <c r="F761" s="9">
        <v>72</v>
      </c>
      <c r="G761" s="9">
        <v>885</v>
      </c>
      <c r="H761" s="5" t="s">
        <v>21</v>
      </c>
      <c r="I761" s="5" t="s">
        <v>2061</v>
      </c>
      <c r="J761" s="12" t="str">
        <f>HYPERLINK("https://www.boe.es/gazeta/dias/1802/09/03/pdfs/GMD-1802-72.pdf#page=5","Abrir facsímil")</f>
        <v>Abrir facsímil</v>
      </c>
      <c r="K761" s="15" t="s">
        <v>23</v>
      </c>
    </row>
    <row r="762" spans="1:11" ht="42" customHeight="1">
      <c r="A762" s="4" t="s">
        <v>2062</v>
      </c>
      <c r="B762" s="5" t="s">
        <v>2063</v>
      </c>
      <c r="C762" s="5" t="s">
        <v>35</v>
      </c>
      <c r="D762" s="5" t="s">
        <v>36</v>
      </c>
      <c r="E762" s="5" t="s">
        <v>276</v>
      </c>
      <c r="F762" s="9">
        <v>75</v>
      </c>
      <c r="G762" s="9">
        <v>921</v>
      </c>
      <c r="H762" s="5" t="s">
        <v>21</v>
      </c>
      <c r="I762" s="5" t="s">
        <v>2064</v>
      </c>
      <c r="J762" s="12" t="str">
        <f>HYPERLINK("https://www.boe.es/gazeta/dias/1802/09/14/pdfs/GMD-1802-75.pdf#page=5","Abrir facsímil")</f>
        <v>Abrir facsímil</v>
      </c>
      <c r="K762" s="15" t="s">
        <v>23</v>
      </c>
    </row>
    <row r="763" spans="1:11" ht="42" customHeight="1">
      <c r="A763" s="4" t="s">
        <v>2065</v>
      </c>
      <c r="B763" s="5" t="s">
        <v>2066</v>
      </c>
      <c r="C763" s="5" t="s">
        <v>42</v>
      </c>
      <c r="D763" s="5" t="s">
        <v>43</v>
      </c>
      <c r="E763" s="5" t="s">
        <v>44</v>
      </c>
      <c r="F763" s="9">
        <v>99</v>
      </c>
      <c r="G763" s="9" t="s">
        <v>272</v>
      </c>
      <c r="H763" s="5" t="s">
        <v>21</v>
      </c>
      <c r="I763" s="5" t="s">
        <v>2067</v>
      </c>
      <c r="J763" s="12" t="str">
        <f>HYPERLINK("https://www.boe.es/gazeta/dias/1802/12/07/pdfs/GMD-D-1802-99.pdf#page=3","Abrir facsímil")</f>
        <v>Abrir facsímil</v>
      </c>
      <c r="K763" s="15" t="s">
        <v>23</v>
      </c>
    </row>
    <row r="764" spans="1:11" ht="42" customHeight="1">
      <c r="A764" s="4" t="s">
        <v>2068</v>
      </c>
      <c r="B764" s="5" t="s">
        <v>2069</v>
      </c>
      <c r="C764" s="5" t="s">
        <v>18</v>
      </c>
      <c r="D764" s="5" t="s">
        <v>19</v>
      </c>
      <c r="E764" s="5" t="s">
        <v>20</v>
      </c>
      <c r="F764" s="9">
        <v>84</v>
      </c>
      <c r="G764" s="9">
        <v>1041</v>
      </c>
      <c r="H764" s="5" t="s">
        <v>21</v>
      </c>
      <c r="I764" s="5" t="s">
        <v>2070</v>
      </c>
      <c r="J764" s="12" t="str">
        <f>HYPERLINK("https://www.boe.es/gazeta/dias/1802/10/15/pdfs/GMD-1802-84.pdf#page=9","Abrir facsímil")</f>
        <v>Abrir facsímil</v>
      </c>
      <c r="K764" s="15" t="s">
        <v>23</v>
      </c>
    </row>
    <row r="765" spans="1:11" ht="42" customHeight="1">
      <c r="A765" s="4" t="s">
        <v>2071</v>
      </c>
      <c r="B765" s="5" t="s">
        <v>2072</v>
      </c>
      <c r="C765" s="5" t="s">
        <v>29</v>
      </c>
      <c r="D765" s="5" t="s">
        <v>30</v>
      </c>
      <c r="E765" s="5" t="s">
        <v>635</v>
      </c>
      <c r="F765" s="9">
        <v>47</v>
      </c>
      <c r="G765" s="9">
        <v>573</v>
      </c>
      <c r="H765" s="5" t="s">
        <v>21</v>
      </c>
      <c r="I765" s="5" t="s">
        <v>2073</v>
      </c>
      <c r="J765" s="12" t="str">
        <f>HYPERLINK("https://www.boe.es/gazeta/dias/1802/06/11/pdfs/GMD-1802-47.pdf#page=9","Abrir facsímil")</f>
        <v>Abrir facsímil</v>
      </c>
      <c r="K765" s="15" t="s">
        <v>23</v>
      </c>
    </row>
    <row r="766" spans="1:11" ht="42" customHeight="1">
      <c r="A766" s="4" t="s">
        <v>2074</v>
      </c>
      <c r="B766" s="5" t="s">
        <v>2075</v>
      </c>
      <c r="C766" s="5" t="s">
        <v>42</v>
      </c>
      <c r="D766" s="5" t="s">
        <v>43</v>
      </c>
      <c r="E766" s="5" t="s">
        <v>44</v>
      </c>
      <c r="F766" s="9">
        <v>99</v>
      </c>
      <c r="G766" s="9" t="s">
        <v>251</v>
      </c>
      <c r="H766" s="5" t="s">
        <v>21</v>
      </c>
      <c r="I766" s="5" t="s">
        <v>2076</v>
      </c>
      <c r="J766" s="12" t="str">
        <f>HYPERLINK("https://www.boe.es/gazeta/dias/1802/12/07/pdfs/GMD-D-1802-99.pdf#page=6","Abrir facsímil")</f>
        <v>Abrir facsímil</v>
      </c>
      <c r="K766" s="15" t="s">
        <v>23</v>
      </c>
    </row>
    <row r="767" spans="1:11" ht="42" customHeight="1">
      <c r="A767" s="4" t="s">
        <v>2077</v>
      </c>
      <c r="B767" s="5" t="s">
        <v>2077</v>
      </c>
      <c r="C767" s="5" t="s">
        <v>90</v>
      </c>
      <c r="D767" s="5" t="s">
        <v>91</v>
      </c>
      <c r="E767" s="5" t="s">
        <v>152</v>
      </c>
      <c r="F767" s="9">
        <v>25</v>
      </c>
      <c r="G767" s="9">
        <v>283</v>
      </c>
      <c r="H767" s="5" t="s">
        <v>21</v>
      </c>
      <c r="I767" s="5" t="s">
        <v>2078</v>
      </c>
      <c r="J767" s="12" t="str">
        <f>HYPERLINK("https://www.boe.es/gazeta/dias/1802/03/26/pdfs/GMD-1802-25.pdf#page=7","Abrir facsímil")</f>
        <v>Abrir facsímil</v>
      </c>
      <c r="K767" s="15" t="s">
        <v>23</v>
      </c>
    </row>
    <row r="768" spans="1:11" ht="42" customHeight="1">
      <c r="A768" s="4" t="s">
        <v>2079</v>
      </c>
      <c r="B768" s="5" t="s">
        <v>2080</v>
      </c>
      <c r="C768" s="5" t="s">
        <v>35</v>
      </c>
      <c r="D768" s="5" t="s">
        <v>36</v>
      </c>
      <c r="E768" s="5" t="s">
        <v>31</v>
      </c>
      <c r="F768" s="9">
        <v>27</v>
      </c>
      <c r="G768" s="9">
        <v>314</v>
      </c>
      <c r="H768" s="5" t="s">
        <v>21</v>
      </c>
      <c r="I768" s="5" t="s">
        <v>2081</v>
      </c>
      <c r="J768" s="12" t="str">
        <f>HYPERLINK("https://www.boe.es/gazeta/dias/1802/04/02/pdfs/GMD-1802-27.pdf#page=10","Abrir facsímil")</f>
        <v>Abrir facsímil</v>
      </c>
      <c r="K768" s="15" t="s">
        <v>23</v>
      </c>
    </row>
    <row r="769" spans="1:11" ht="42" customHeight="1">
      <c r="A769" s="4" t="s">
        <v>2079</v>
      </c>
      <c r="B769" s="5" t="s">
        <v>2080</v>
      </c>
      <c r="C769" s="5" t="s">
        <v>18</v>
      </c>
      <c r="D769" s="5" t="s">
        <v>19</v>
      </c>
      <c r="E769" s="5" t="s">
        <v>170</v>
      </c>
      <c r="F769" s="9">
        <v>28</v>
      </c>
      <c r="G769" s="9">
        <v>326</v>
      </c>
      <c r="H769" s="5" t="s">
        <v>21</v>
      </c>
      <c r="I769" s="5" t="s">
        <v>2082</v>
      </c>
      <c r="J769" s="12" t="str">
        <f>HYPERLINK("https://www.boe.es/gazeta/dias/1802/04/06/pdfs/GMD-1802-28.pdf#page=6","Abrir facsímil")</f>
        <v>Abrir facsímil</v>
      </c>
      <c r="K769" s="15" t="s">
        <v>23</v>
      </c>
    </row>
    <row r="770" spans="1:11" ht="42" customHeight="1">
      <c r="A770" s="4" t="s">
        <v>2079</v>
      </c>
      <c r="B770" s="5" t="s">
        <v>2080</v>
      </c>
      <c r="C770" s="5" t="s">
        <v>35</v>
      </c>
      <c r="D770" s="5" t="s">
        <v>36</v>
      </c>
      <c r="E770" s="5" t="s">
        <v>92</v>
      </c>
      <c r="F770" s="9">
        <v>29</v>
      </c>
      <c r="G770" s="9">
        <v>339</v>
      </c>
      <c r="H770" s="5" t="s">
        <v>21</v>
      </c>
      <c r="I770" s="5" t="s">
        <v>2083</v>
      </c>
      <c r="J770" s="12" t="str">
        <f>HYPERLINK("https://www.boe.es/gazeta/dias/1802/04/09/pdfs/GMD-1802-29.pdf#page=7","Abrir facsímil")</f>
        <v>Abrir facsímil</v>
      </c>
      <c r="K770" s="15" t="s">
        <v>23</v>
      </c>
    </row>
    <row r="771" spans="1:11" ht="42" customHeight="1">
      <c r="A771" s="4" t="s">
        <v>2079</v>
      </c>
      <c r="B771" s="5" t="s">
        <v>2080</v>
      </c>
      <c r="C771" s="5" t="s">
        <v>18</v>
      </c>
      <c r="D771" s="5" t="s">
        <v>19</v>
      </c>
      <c r="E771" s="5" t="s">
        <v>232</v>
      </c>
      <c r="F771" s="9">
        <v>30</v>
      </c>
      <c r="G771" s="9">
        <v>349</v>
      </c>
      <c r="H771" s="5" t="s">
        <v>21</v>
      </c>
      <c r="I771" s="5" t="s">
        <v>2084</v>
      </c>
      <c r="J771" s="12" t="str">
        <f>HYPERLINK("https://www.boe.es/gazeta/dias/1802/04/13/pdfs/GMD-1802-30.pdf#page=5","Abrir facsímil")</f>
        <v>Abrir facsímil</v>
      </c>
      <c r="K771" s="15" t="s">
        <v>23</v>
      </c>
    </row>
    <row r="772" spans="1:11" ht="42" customHeight="1">
      <c r="A772" s="4" t="s">
        <v>2079</v>
      </c>
      <c r="B772" s="5" t="s">
        <v>2080</v>
      </c>
      <c r="C772" s="5" t="s">
        <v>35</v>
      </c>
      <c r="D772" s="5" t="s">
        <v>36</v>
      </c>
      <c r="E772" s="5" t="s">
        <v>1618</v>
      </c>
      <c r="F772" s="9">
        <v>31</v>
      </c>
      <c r="G772" s="9">
        <v>362</v>
      </c>
      <c r="H772" s="5" t="s">
        <v>21</v>
      </c>
      <c r="I772" s="5" t="s">
        <v>2085</v>
      </c>
      <c r="J772" s="12" t="str">
        <f>HYPERLINK("https://www.boe.es/gazeta/dias/1802/04/16/pdfs/GMD-1802-31.pdf#page=6","Abrir facsímil")</f>
        <v>Abrir facsímil</v>
      </c>
      <c r="K772" s="15" t="s">
        <v>23</v>
      </c>
    </row>
    <row r="773" spans="1:11" ht="42" customHeight="1">
      <c r="A773" s="4" t="s">
        <v>2086</v>
      </c>
      <c r="B773" s="5" t="s">
        <v>2087</v>
      </c>
      <c r="C773" s="5" t="s">
        <v>35</v>
      </c>
      <c r="D773" s="5" t="s">
        <v>36</v>
      </c>
      <c r="E773" s="5" t="s">
        <v>1618</v>
      </c>
      <c r="F773" s="9">
        <v>31</v>
      </c>
      <c r="G773" s="9">
        <v>363</v>
      </c>
      <c r="H773" s="5" t="s">
        <v>21</v>
      </c>
      <c r="I773" s="5" t="s">
        <v>2088</v>
      </c>
      <c r="J773" s="12" t="str">
        <f>HYPERLINK("https://www.boe.es/gazeta/dias/1802/04/16/pdfs/GMD-1802-31.pdf#page=7","Abrir facsímil")</f>
        <v>Abrir facsímil</v>
      </c>
      <c r="K773" s="15" t="s">
        <v>23</v>
      </c>
    </row>
    <row r="774" spans="1:11" ht="42" customHeight="1">
      <c r="A774" s="4" t="s">
        <v>2079</v>
      </c>
      <c r="B774" s="5" t="s">
        <v>2080</v>
      </c>
      <c r="C774" s="5" t="s">
        <v>35</v>
      </c>
      <c r="D774" s="5" t="s">
        <v>36</v>
      </c>
      <c r="E774" s="5" t="s">
        <v>339</v>
      </c>
      <c r="F774" s="9">
        <v>39</v>
      </c>
      <c r="G774" s="9">
        <v>464</v>
      </c>
      <c r="H774" s="5" t="s">
        <v>21</v>
      </c>
      <c r="I774" s="5" t="s">
        <v>2089</v>
      </c>
      <c r="J774" s="12" t="str">
        <f>HYPERLINK("https://www.boe.es/gazeta/dias/1802/05/14/pdfs/GMD-1802-39.pdf#page=8","Abrir facsímil")</f>
        <v>Abrir facsímil</v>
      </c>
      <c r="K774" s="15" t="s">
        <v>23</v>
      </c>
    </row>
    <row r="775" spans="1:11" ht="42" customHeight="1">
      <c r="A775" s="4" t="s">
        <v>2079</v>
      </c>
      <c r="B775" s="5" t="s">
        <v>2080</v>
      </c>
      <c r="C775" s="5" t="s">
        <v>160</v>
      </c>
      <c r="D775" s="5" t="s">
        <v>91</v>
      </c>
      <c r="E775" s="5" t="s">
        <v>670</v>
      </c>
      <c r="F775" s="9">
        <v>40</v>
      </c>
      <c r="G775" s="9">
        <v>477</v>
      </c>
      <c r="H775" s="5" t="s">
        <v>21</v>
      </c>
      <c r="I775" s="5" t="s">
        <v>2090</v>
      </c>
      <c r="J775" s="12" t="str">
        <f>HYPERLINK("https://www.boe.es/gazeta/dias/1802/05/18/pdfs/GMD-1802-40.pdf#page=5","Abrir facsímil")</f>
        <v>Abrir facsímil</v>
      </c>
      <c r="K775" s="15" t="s">
        <v>23</v>
      </c>
    </row>
    <row r="776" spans="1:11" ht="42" customHeight="1">
      <c r="A776" s="4" t="s">
        <v>2079</v>
      </c>
      <c r="B776" s="5" t="s">
        <v>2080</v>
      </c>
      <c r="C776" s="5" t="s">
        <v>18</v>
      </c>
      <c r="D776" s="5" t="s">
        <v>19</v>
      </c>
      <c r="E776" s="5" t="s">
        <v>670</v>
      </c>
      <c r="F776" s="9">
        <v>40</v>
      </c>
      <c r="G776" s="9">
        <v>478</v>
      </c>
      <c r="H776" s="5" t="s">
        <v>21</v>
      </c>
      <c r="I776" s="5" t="s">
        <v>2091</v>
      </c>
      <c r="J776" s="12" t="str">
        <f>HYPERLINK("https://www.boe.es/gazeta/dias/1802/05/18/pdfs/GMD-1802-40.pdf#page=6","Abrir facsímil")</f>
        <v>Abrir facsímil</v>
      </c>
      <c r="K776" s="15" t="s">
        <v>23</v>
      </c>
    </row>
    <row r="777" spans="1:11" ht="42" customHeight="1">
      <c r="A777" s="4" t="s">
        <v>2079</v>
      </c>
      <c r="B777" s="5" t="s">
        <v>2080</v>
      </c>
      <c r="C777" s="5" t="s">
        <v>18</v>
      </c>
      <c r="D777" s="5" t="s">
        <v>19</v>
      </c>
      <c r="E777" s="5" t="s">
        <v>530</v>
      </c>
      <c r="F777" s="9">
        <v>48</v>
      </c>
      <c r="G777" s="9">
        <v>582</v>
      </c>
      <c r="H777" s="5" t="s">
        <v>21</v>
      </c>
      <c r="I777" s="5" t="s">
        <v>2092</v>
      </c>
      <c r="J777" s="12" t="str">
        <f>HYPERLINK("https://www.boe.es/gazeta/dias/1802/06/15/pdfs/GMD-1802-48.pdf#page=6","Abrir facsímil")</f>
        <v>Abrir facsímil</v>
      </c>
      <c r="K777" s="15" t="s">
        <v>23</v>
      </c>
    </row>
    <row r="778" spans="1:11" ht="42" customHeight="1">
      <c r="A778" s="4" t="s">
        <v>2093</v>
      </c>
      <c r="B778" s="5" t="s">
        <v>2094</v>
      </c>
      <c r="C778" s="5" t="s">
        <v>35</v>
      </c>
      <c r="D778" s="5" t="s">
        <v>36</v>
      </c>
      <c r="E778" s="5" t="s">
        <v>642</v>
      </c>
      <c r="F778" s="9">
        <v>51</v>
      </c>
      <c r="G778" s="9">
        <v>621</v>
      </c>
      <c r="H778" s="5" t="s">
        <v>21</v>
      </c>
      <c r="I778" s="5" t="s">
        <v>2095</v>
      </c>
      <c r="J778" s="12" t="str">
        <f>HYPERLINK("https://www.boe.es/gazeta/dias/1802/06/25/pdfs/GMD-1802-51.pdf#page=9","Abrir facsímil")</f>
        <v>Abrir facsímil</v>
      </c>
      <c r="K778" s="15" t="s">
        <v>23</v>
      </c>
    </row>
    <row r="779" spans="1:11" ht="42" customHeight="1">
      <c r="A779" s="4" t="s">
        <v>2096</v>
      </c>
      <c r="B779" s="5" t="s">
        <v>2097</v>
      </c>
      <c r="C779" s="5" t="s">
        <v>29</v>
      </c>
      <c r="D779" s="5" t="s">
        <v>30</v>
      </c>
      <c r="E779" s="5" t="s">
        <v>232</v>
      </c>
      <c r="F779" s="9">
        <v>30</v>
      </c>
      <c r="G779" s="9">
        <v>350</v>
      </c>
      <c r="H779" s="5" t="s">
        <v>21</v>
      </c>
      <c r="I779" s="5" t="s">
        <v>2098</v>
      </c>
      <c r="J779" s="12" t="str">
        <f>HYPERLINK("https://www.boe.es/gazeta/dias/1802/04/13/pdfs/GMD-1802-30.pdf#page=6","Abrir facsímil")</f>
        <v>Abrir facsímil</v>
      </c>
      <c r="K779" s="15" t="s">
        <v>23</v>
      </c>
    </row>
    <row r="780" spans="1:11" ht="42" customHeight="1">
      <c r="A780" s="4" t="s">
        <v>2099</v>
      </c>
      <c r="B780" s="5" t="s">
        <v>2100</v>
      </c>
      <c r="C780" s="5" t="s">
        <v>160</v>
      </c>
      <c r="D780" s="5" t="s">
        <v>91</v>
      </c>
      <c r="E780" s="5" t="s">
        <v>20</v>
      </c>
      <c r="F780" s="9">
        <v>84</v>
      </c>
      <c r="G780" s="9">
        <v>1042</v>
      </c>
      <c r="H780" s="5" t="s">
        <v>21</v>
      </c>
      <c r="I780" s="5" t="s">
        <v>2101</v>
      </c>
      <c r="J780" s="12" t="str">
        <f>HYPERLINK("https://www.boe.es/gazeta/dias/1802/10/15/pdfs/GMD-1802-84.pdf#page=10","Abrir facsímil")</f>
        <v>Abrir facsímil</v>
      </c>
      <c r="K780" s="15" t="s">
        <v>23</v>
      </c>
    </row>
    <row r="781" spans="1:11" ht="42" customHeight="1">
      <c r="A781" s="4" t="s">
        <v>2102</v>
      </c>
      <c r="B781" s="5" t="s">
        <v>2102</v>
      </c>
      <c r="C781" s="5" t="s">
        <v>35</v>
      </c>
      <c r="D781" s="5" t="s">
        <v>36</v>
      </c>
      <c r="E781" s="5" t="s">
        <v>192</v>
      </c>
      <c r="F781" s="9">
        <v>53</v>
      </c>
      <c r="G781" s="9">
        <v>640</v>
      </c>
      <c r="H781" s="5" t="s">
        <v>21</v>
      </c>
      <c r="I781" s="5" t="s">
        <v>2103</v>
      </c>
      <c r="J781" s="12" t="str">
        <f>HYPERLINK("https://www.boe.es/gazeta/dias/1802/07/02/pdfs/GMD-1802-53.pdf#page=8","Abrir facsímil")</f>
        <v>Abrir facsímil</v>
      </c>
      <c r="K781" s="15" t="s">
        <v>23</v>
      </c>
    </row>
    <row r="782" spans="1:11" ht="42" customHeight="1">
      <c r="A782" s="4" t="s">
        <v>2104</v>
      </c>
      <c r="B782" s="5" t="s">
        <v>2104</v>
      </c>
      <c r="C782" s="5" t="s">
        <v>35</v>
      </c>
      <c r="D782" s="5" t="s">
        <v>36</v>
      </c>
      <c r="E782" s="5" t="s">
        <v>757</v>
      </c>
      <c r="F782" s="9">
        <v>104</v>
      </c>
      <c r="G782" s="9">
        <v>1266</v>
      </c>
      <c r="H782" s="5" t="s">
        <v>21</v>
      </c>
      <c r="I782" s="5" t="s">
        <v>2105</v>
      </c>
      <c r="J782" s="12" t="str">
        <f>HYPERLINK("https://www.boe.es/gazeta/dias/1802/12/24/pdfs/GMD-1802-104.pdf#page=2","Abrir facsímil")</f>
        <v>Abrir facsímil</v>
      </c>
      <c r="K782" s="15" t="s">
        <v>23</v>
      </c>
    </row>
    <row r="783" spans="1:11" ht="42" customHeight="1">
      <c r="A783" s="4" t="s">
        <v>2106</v>
      </c>
      <c r="B783" s="5" t="s">
        <v>2106</v>
      </c>
      <c r="C783" s="5" t="s">
        <v>35</v>
      </c>
      <c r="D783" s="5" t="s">
        <v>36</v>
      </c>
      <c r="E783" s="5" t="s">
        <v>921</v>
      </c>
      <c r="F783" s="9">
        <v>50</v>
      </c>
      <c r="G783" s="9">
        <v>608</v>
      </c>
      <c r="H783" s="5" t="s">
        <v>21</v>
      </c>
      <c r="I783" s="5" t="s">
        <v>2107</v>
      </c>
      <c r="J783" s="12" t="str">
        <f>HYPERLINK("https://www.boe.es/gazeta/dias/1802/06/22/pdfs/GMD-1802-50.pdf#page=8","Abrir facsímil")</f>
        <v>Abrir facsímil</v>
      </c>
      <c r="K783" s="15" t="s">
        <v>23</v>
      </c>
    </row>
    <row r="784" spans="1:11" ht="42" customHeight="1">
      <c r="A784" s="4" t="s">
        <v>2106</v>
      </c>
      <c r="B784" s="5" t="s">
        <v>2106</v>
      </c>
      <c r="C784" s="5" t="s">
        <v>18</v>
      </c>
      <c r="D784" s="5" t="s">
        <v>19</v>
      </c>
      <c r="E784" s="5" t="s">
        <v>921</v>
      </c>
      <c r="F784" s="9">
        <v>50</v>
      </c>
      <c r="G784" s="9">
        <v>609</v>
      </c>
      <c r="H784" s="5" t="s">
        <v>21</v>
      </c>
      <c r="I784" s="5" t="s">
        <v>2108</v>
      </c>
      <c r="J784" s="12" t="str">
        <f>HYPERLINK("https://www.boe.es/gazeta/dias/1802/06/22/pdfs/GMD-1802-50.pdf#page=9","Abrir facsímil")</f>
        <v>Abrir facsímil</v>
      </c>
      <c r="K784" s="15" t="s">
        <v>23</v>
      </c>
    </row>
    <row r="785" spans="1:11" ht="42" customHeight="1">
      <c r="A785" s="4" t="s">
        <v>2109</v>
      </c>
      <c r="B785" s="5" t="s">
        <v>2109</v>
      </c>
      <c r="C785" s="5" t="s">
        <v>35</v>
      </c>
      <c r="D785" s="5" t="s">
        <v>36</v>
      </c>
      <c r="E785" s="5" t="s">
        <v>436</v>
      </c>
      <c r="F785" s="9">
        <v>58</v>
      </c>
      <c r="G785" s="9">
        <v>694</v>
      </c>
      <c r="H785" s="5" t="s">
        <v>21</v>
      </c>
      <c r="I785" s="5" t="s">
        <v>2110</v>
      </c>
      <c r="J785" s="12" t="str">
        <f>HYPERLINK("https://www.boe.es/gazeta/dias/1802/07/20/pdfs/GMD-1802-58.pdf#page=2","Abrir facsímil")</f>
        <v>Abrir facsímil</v>
      </c>
      <c r="K785" s="15" t="s">
        <v>23</v>
      </c>
    </row>
    <row r="786" spans="1:11" ht="42" customHeight="1">
      <c r="A786" s="4" t="s">
        <v>2111</v>
      </c>
      <c r="B786" s="5" t="s">
        <v>2112</v>
      </c>
      <c r="C786" s="5" t="s">
        <v>35</v>
      </c>
      <c r="D786" s="5" t="s">
        <v>36</v>
      </c>
      <c r="E786" s="5" t="s">
        <v>436</v>
      </c>
      <c r="F786" s="9">
        <v>58</v>
      </c>
      <c r="G786" s="9">
        <v>698</v>
      </c>
      <c r="H786" s="5" t="s">
        <v>21</v>
      </c>
      <c r="I786" s="5" t="s">
        <v>2113</v>
      </c>
      <c r="J786" s="12" t="str">
        <f>HYPERLINK("https://www.boe.es/gazeta/dias/1802/07/20/pdfs/GMD-1802-58.pdf#page=6","Abrir facsímil")</f>
        <v>Abrir facsímil</v>
      </c>
      <c r="K786" s="15" t="s">
        <v>23</v>
      </c>
    </row>
    <row r="787" spans="1:11" ht="42" customHeight="1">
      <c r="A787" s="4" t="s">
        <v>2114</v>
      </c>
      <c r="B787" s="5" t="s">
        <v>2114</v>
      </c>
      <c r="C787" s="5" t="s">
        <v>29</v>
      </c>
      <c r="D787" s="5" t="s">
        <v>30</v>
      </c>
      <c r="E787" s="5" t="s">
        <v>181</v>
      </c>
      <c r="F787" s="9">
        <v>55</v>
      </c>
      <c r="G787" s="9">
        <v>663</v>
      </c>
      <c r="H787" s="5" t="s">
        <v>21</v>
      </c>
      <c r="I787" s="5" t="s">
        <v>2115</v>
      </c>
      <c r="J787" s="12" t="str">
        <f>HYPERLINK("https://www.boe.es/gazeta/dias/1802/07/09/pdfs/GMD-1802-55.pdf#page=7","Abrir facsímil")</f>
        <v>Abrir facsímil</v>
      </c>
      <c r="K787" s="15" t="s">
        <v>23</v>
      </c>
    </row>
    <row r="788" spans="1:11" ht="42" customHeight="1">
      <c r="A788" s="4" t="s">
        <v>2116</v>
      </c>
      <c r="B788" s="5" t="s">
        <v>2117</v>
      </c>
      <c r="C788" s="5" t="s">
        <v>35</v>
      </c>
      <c r="D788" s="5" t="s">
        <v>36</v>
      </c>
      <c r="E788" s="5" t="s">
        <v>339</v>
      </c>
      <c r="F788" s="9">
        <v>39</v>
      </c>
      <c r="G788" s="9">
        <v>465</v>
      </c>
      <c r="H788" s="5" t="s">
        <v>21</v>
      </c>
      <c r="I788" s="5" t="s">
        <v>2118</v>
      </c>
      <c r="J788" s="12" t="str">
        <f>HYPERLINK("https://www.boe.es/gazeta/dias/1802/05/14/pdfs/GMD-1802-39.pdf#page=9","Abrir facsímil")</f>
        <v>Abrir facsímil</v>
      </c>
      <c r="K788" s="15" t="s">
        <v>23</v>
      </c>
    </row>
    <row r="789" spans="1:11" ht="42" customHeight="1">
      <c r="A789" s="4" t="s">
        <v>2116</v>
      </c>
      <c r="B789" s="5" t="s">
        <v>2117</v>
      </c>
      <c r="C789" s="5" t="s">
        <v>29</v>
      </c>
      <c r="D789" s="5" t="s">
        <v>30</v>
      </c>
      <c r="E789" s="5" t="s">
        <v>530</v>
      </c>
      <c r="F789" s="9">
        <v>48</v>
      </c>
      <c r="G789" s="9">
        <v>583</v>
      </c>
      <c r="H789" s="5" t="s">
        <v>21</v>
      </c>
      <c r="I789" s="5" t="s">
        <v>2119</v>
      </c>
      <c r="J789" s="12" t="str">
        <f>HYPERLINK("https://www.boe.es/gazeta/dias/1802/06/15/pdfs/GMD-1802-48.pdf#page=7","Abrir facsímil")</f>
        <v>Abrir facsímil</v>
      </c>
      <c r="K789" s="15" t="s">
        <v>23</v>
      </c>
    </row>
    <row r="790" spans="1:11" ht="42" customHeight="1">
      <c r="A790" s="4" t="s">
        <v>2116</v>
      </c>
      <c r="B790" s="5" t="s">
        <v>2117</v>
      </c>
      <c r="C790" s="5" t="s">
        <v>35</v>
      </c>
      <c r="D790" s="5" t="s">
        <v>36</v>
      </c>
      <c r="E790" s="5" t="s">
        <v>921</v>
      </c>
      <c r="F790" s="9">
        <v>50</v>
      </c>
      <c r="G790" s="9">
        <v>608</v>
      </c>
      <c r="H790" s="5" t="s">
        <v>21</v>
      </c>
      <c r="I790" s="5" t="s">
        <v>2120</v>
      </c>
      <c r="J790" s="12" t="str">
        <f>HYPERLINK("https://www.boe.es/gazeta/dias/1802/06/22/pdfs/GMD-1802-50.pdf#page=8","Abrir facsímil")</f>
        <v>Abrir facsímil</v>
      </c>
      <c r="K790" s="15" t="s">
        <v>23</v>
      </c>
    </row>
    <row r="791" spans="1:11" ht="42" customHeight="1">
      <c r="A791" s="4" t="s">
        <v>2121</v>
      </c>
      <c r="B791" s="5" t="s">
        <v>2122</v>
      </c>
      <c r="C791" s="5" t="s">
        <v>29</v>
      </c>
      <c r="D791" s="5" t="s">
        <v>30</v>
      </c>
      <c r="E791" s="5" t="s">
        <v>328</v>
      </c>
      <c r="F791" s="9">
        <v>45</v>
      </c>
      <c r="G791" s="9">
        <v>545</v>
      </c>
      <c r="H791" s="5" t="s">
        <v>21</v>
      </c>
      <c r="I791" s="5" t="s">
        <v>2123</v>
      </c>
      <c r="J791" s="12" t="str">
        <f>HYPERLINK("https://www.boe.es/gazeta/dias/1802/06/04/pdfs/GMD-1802-45.pdf#page=9","Abrir facsímil")</f>
        <v>Abrir facsímil</v>
      </c>
      <c r="K791" s="15" t="s">
        <v>23</v>
      </c>
    </row>
    <row r="792" spans="1:11" ht="42" customHeight="1">
      <c r="A792" s="4" t="s">
        <v>2124</v>
      </c>
      <c r="B792" s="5" t="s">
        <v>2125</v>
      </c>
      <c r="C792" s="5" t="s">
        <v>29</v>
      </c>
      <c r="D792" s="5" t="s">
        <v>30</v>
      </c>
      <c r="E792" s="5" t="s">
        <v>453</v>
      </c>
      <c r="F792" s="9">
        <v>52</v>
      </c>
      <c r="G792" s="9">
        <v>631</v>
      </c>
      <c r="H792" s="5" t="s">
        <v>21</v>
      </c>
      <c r="I792" s="5" t="s">
        <v>2126</v>
      </c>
      <c r="J792" s="12" t="str">
        <f>HYPERLINK("https://www.boe.es/gazeta/dias/1802/06/29/pdfs/GMD-1802-52.pdf#page=7","Abrir facsímil")</f>
        <v>Abrir facsímil</v>
      </c>
      <c r="K792" s="15" t="s">
        <v>23</v>
      </c>
    </row>
    <row r="793" spans="1:11" ht="42" customHeight="1">
      <c r="A793" s="4" t="s">
        <v>2127</v>
      </c>
      <c r="B793" s="5" t="s">
        <v>2128</v>
      </c>
      <c r="C793" s="5" t="s">
        <v>29</v>
      </c>
      <c r="D793" s="5" t="s">
        <v>30</v>
      </c>
      <c r="E793" s="5" t="s">
        <v>146</v>
      </c>
      <c r="F793" s="9">
        <v>42</v>
      </c>
      <c r="G793" s="9">
        <v>504</v>
      </c>
      <c r="H793" s="5" t="s">
        <v>21</v>
      </c>
      <c r="I793" s="5" t="s">
        <v>2129</v>
      </c>
      <c r="J793" s="12" t="str">
        <f>HYPERLINK("https://www.boe.es/gazeta/dias/1802/05/25/pdfs/GMD-1802-42.pdf#page=8","Abrir facsímil")</f>
        <v>Abrir facsímil</v>
      </c>
      <c r="K793" s="15" t="s">
        <v>23</v>
      </c>
    </row>
    <row r="794" spans="1:11" ht="42" customHeight="1">
      <c r="A794" s="4" t="s">
        <v>2130</v>
      </c>
      <c r="B794" s="5" t="s">
        <v>2131</v>
      </c>
      <c r="C794" s="5" t="s">
        <v>29</v>
      </c>
      <c r="D794" s="5" t="s">
        <v>30</v>
      </c>
      <c r="E794" s="5" t="s">
        <v>299</v>
      </c>
      <c r="F794" s="9">
        <v>19</v>
      </c>
      <c r="G794" s="9">
        <v>210</v>
      </c>
      <c r="H794" s="5" t="s">
        <v>21</v>
      </c>
      <c r="I794" s="5" t="s">
        <v>2132</v>
      </c>
      <c r="J794" s="12" t="str">
        <f>HYPERLINK("https://www.boe.es/gazeta/dias/1802/03/05/pdfs/GMD-1802-19.pdf#page=10","Abrir facsímil")</f>
        <v>Abrir facsímil</v>
      </c>
      <c r="K794" s="15" t="s">
        <v>23</v>
      </c>
    </row>
    <row r="795" spans="1:11" ht="42" customHeight="1">
      <c r="A795" s="4" t="s">
        <v>2133</v>
      </c>
      <c r="B795" s="5" t="s">
        <v>2133</v>
      </c>
      <c r="C795" s="5" t="s">
        <v>42</v>
      </c>
      <c r="D795" s="5" t="s">
        <v>43</v>
      </c>
      <c r="E795" s="5" t="s">
        <v>44</v>
      </c>
      <c r="F795" s="9">
        <v>99</v>
      </c>
      <c r="G795" s="9" t="s">
        <v>548</v>
      </c>
      <c r="H795" s="5" t="s">
        <v>21</v>
      </c>
      <c r="I795" s="5" t="s">
        <v>2134</v>
      </c>
      <c r="J795" s="12" t="str">
        <f>HYPERLINK("https://www.boe.es/gazeta/dias/1802/12/07/pdfs/GMD-D-1802-99.pdf#page=12","Abrir facsímil")</f>
        <v>Abrir facsímil</v>
      </c>
      <c r="K795" s="15" t="s">
        <v>23</v>
      </c>
    </row>
    <row r="796" spans="1:11" ht="42" customHeight="1">
      <c r="A796" s="4" t="s">
        <v>2135</v>
      </c>
      <c r="B796" s="5" t="s">
        <v>2135</v>
      </c>
      <c r="C796" s="5" t="s">
        <v>160</v>
      </c>
      <c r="D796" s="5" t="s">
        <v>91</v>
      </c>
      <c r="E796" s="5" t="s">
        <v>219</v>
      </c>
      <c r="F796" s="9">
        <v>81</v>
      </c>
      <c r="G796" s="9">
        <v>998</v>
      </c>
      <c r="H796" s="5" t="s">
        <v>21</v>
      </c>
      <c r="I796" s="5" t="s">
        <v>2136</v>
      </c>
      <c r="J796" s="12" t="str">
        <f>HYPERLINK("https://www.boe.es/gazeta/dias/1802/10/05/pdfs/GMD-1802-81.pdf#page=10","Abrir facsímil")</f>
        <v>Abrir facsímil</v>
      </c>
      <c r="K796" s="15" t="s">
        <v>23</v>
      </c>
    </row>
    <row r="797" spans="1:11" ht="42" customHeight="1">
      <c r="A797" s="4" t="s">
        <v>2137</v>
      </c>
      <c r="B797" s="5" t="s">
        <v>2137</v>
      </c>
      <c r="C797" s="5" t="s">
        <v>160</v>
      </c>
      <c r="D797" s="5" t="s">
        <v>91</v>
      </c>
      <c r="E797" s="5" t="s">
        <v>20</v>
      </c>
      <c r="F797" s="9">
        <v>84</v>
      </c>
      <c r="G797" s="9">
        <v>1042</v>
      </c>
      <c r="H797" s="5" t="s">
        <v>21</v>
      </c>
      <c r="I797" s="5" t="s">
        <v>2138</v>
      </c>
      <c r="J797" s="12" t="str">
        <f>HYPERLINK("https://www.boe.es/gazeta/dias/1802/10/15/pdfs/GMD-1802-84.pdf#page=10","Abrir facsímil")</f>
        <v>Abrir facsímil</v>
      </c>
      <c r="K797" s="15" t="s">
        <v>23</v>
      </c>
    </row>
    <row r="798" spans="1:11" ht="42" customHeight="1">
      <c r="A798" s="4" t="s">
        <v>2139</v>
      </c>
      <c r="B798" s="5" t="s">
        <v>2140</v>
      </c>
      <c r="C798" s="5" t="s">
        <v>29</v>
      </c>
      <c r="D798" s="5" t="s">
        <v>30</v>
      </c>
      <c r="E798" s="5" t="s">
        <v>631</v>
      </c>
      <c r="F798" s="9">
        <v>36</v>
      </c>
      <c r="G798" s="9">
        <v>431</v>
      </c>
      <c r="H798" s="5" t="s">
        <v>21</v>
      </c>
      <c r="I798" s="5" t="s">
        <v>2141</v>
      </c>
      <c r="J798" s="12" t="str">
        <f>HYPERLINK("https://www.boe.es/gazeta/dias/1802/05/04/pdfs/GMD-1802-36.pdf#page=11","Abrir facsímil")</f>
        <v>Abrir facsímil</v>
      </c>
      <c r="K798" s="15" t="s">
        <v>23</v>
      </c>
    </row>
    <row r="799" spans="1:11" ht="42" customHeight="1">
      <c r="A799" s="4" t="s">
        <v>2139</v>
      </c>
      <c r="B799" s="5" t="s">
        <v>2140</v>
      </c>
      <c r="C799" s="5" t="s">
        <v>29</v>
      </c>
      <c r="D799" s="5" t="s">
        <v>30</v>
      </c>
      <c r="E799" s="5" t="s">
        <v>635</v>
      </c>
      <c r="F799" s="9">
        <v>47</v>
      </c>
      <c r="G799" s="9">
        <v>573</v>
      </c>
      <c r="H799" s="5" t="s">
        <v>21</v>
      </c>
      <c r="I799" s="5" t="s">
        <v>2142</v>
      </c>
      <c r="J799" s="12" t="str">
        <f>HYPERLINK("https://www.boe.es/gazeta/dias/1802/06/11/pdfs/GMD-1802-47.pdf#page=9","Abrir facsímil")</f>
        <v>Abrir facsímil</v>
      </c>
      <c r="K799" s="15" t="s">
        <v>23</v>
      </c>
    </row>
    <row r="800" spans="1:11" ht="42" customHeight="1">
      <c r="A800" s="4" t="s">
        <v>2143</v>
      </c>
      <c r="B800" s="5" t="s">
        <v>2144</v>
      </c>
      <c r="C800" s="5" t="s">
        <v>42</v>
      </c>
      <c r="D800" s="5" t="s">
        <v>43</v>
      </c>
      <c r="E800" s="5" t="s">
        <v>44</v>
      </c>
      <c r="F800" s="9">
        <v>99</v>
      </c>
      <c r="G800" s="9" t="s">
        <v>45</v>
      </c>
      <c r="H800" s="5" t="s">
        <v>21</v>
      </c>
      <c r="I800" s="5" t="s">
        <v>2145</v>
      </c>
      <c r="J800" s="12" t="str">
        <f>HYPERLINK("https://www.boe.es/gazeta/dias/1802/12/07/pdfs/GMD-D-1802-99.pdf#page=14","Abrir facsímil")</f>
        <v>Abrir facsímil</v>
      </c>
      <c r="K800" s="15" t="s">
        <v>23</v>
      </c>
    </row>
    <row r="801" spans="1:11" ht="42" customHeight="1">
      <c r="A801" s="4" t="s">
        <v>2146</v>
      </c>
      <c r="B801" s="5" t="s">
        <v>2147</v>
      </c>
      <c r="C801" s="5" t="s">
        <v>42</v>
      </c>
      <c r="D801" s="5" t="s">
        <v>43</v>
      </c>
      <c r="E801" s="5" t="s">
        <v>44</v>
      </c>
      <c r="F801" s="9">
        <v>99</v>
      </c>
      <c r="G801" s="9" t="s">
        <v>222</v>
      </c>
      <c r="H801" s="5" t="s">
        <v>21</v>
      </c>
      <c r="I801" s="5" t="s">
        <v>2148</v>
      </c>
      <c r="J801" s="12" t="str">
        <f>HYPERLINK("https://www.boe.es/gazeta/dias/1802/12/07/pdfs/GMD-D-1802-99.pdf#page=5","Abrir facsímil")</f>
        <v>Abrir facsímil</v>
      </c>
      <c r="K801" s="15" t="s">
        <v>23</v>
      </c>
    </row>
    <row r="802" spans="1:11" ht="42" customHeight="1">
      <c r="A802" s="4" t="s">
        <v>2149</v>
      </c>
      <c r="B802" s="5" t="s">
        <v>2150</v>
      </c>
      <c r="C802" s="5" t="s">
        <v>42</v>
      </c>
      <c r="D802" s="5" t="s">
        <v>43</v>
      </c>
      <c r="E802" s="5" t="s">
        <v>44</v>
      </c>
      <c r="F802" s="9">
        <v>99</v>
      </c>
      <c r="G802" s="9" t="s">
        <v>779</v>
      </c>
      <c r="H802" s="5" t="s">
        <v>21</v>
      </c>
      <c r="I802" s="5" t="s">
        <v>2151</v>
      </c>
      <c r="J802" s="12" t="str">
        <f>HYPERLINK("https://www.boe.es/gazeta/dias/1802/12/07/pdfs/GMD-D-1802-99.pdf#page=13","Abrir facsímil")</f>
        <v>Abrir facsímil</v>
      </c>
      <c r="K802" s="15" t="s">
        <v>23</v>
      </c>
    </row>
    <row r="803" spans="1:11" ht="42" customHeight="1">
      <c r="A803" s="4" t="s">
        <v>2152</v>
      </c>
      <c r="B803" s="5" t="s">
        <v>2153</v>
      </c>
      <c r="C803" s="5" t="s">
        <v>18</v>
      </c>
      <c r="D803" s="5" t="s">
        <v>19</v>
      </c>
      <c r="E803" s="5" t="s">
        <v>491</v>
      </c>
      <c r="F803" s="9">
        <v>57</v>
      </c>
      <c r="G803" s="9">
        <v>689</v>
      </c>
      <c r="H803" s="5" t="s">
        <v>21</v>
      </c>
      <c r="I803" s="5" t="s">
        <v>2154</v>
      </c>
      <c r="J803" s="12" t="str">
        <f>HYPERLINK("https://www.boe.es/gazeta/dias/1802/07/16/pdfs/GMD-1802-57.pdf#page=9","Abrir facsímil")</f>
        <v>Abrir facsímil</v>
      </c>
      <c r="K803" s="15" t="s">
        <v>23</v>
      </c>
    </row>
    <row r="804" spans="1:11" ht="42" customHeight="1">
      <c r="A804" s="4" t="s">
        <v>2155</v>
      </c>
      <c r="B804" s="5" t="s">
        <v>2156</v>
      </c>
      <c r="C804" s="5" t="s">
        <v>90</v>
      </c>
      <c r="D804" s="5" t="s">
        <v>91</v>
      </c>
      <c r="E804" s="5" t="s">
        <v>1618</v>
      </c>
      <c r="F804" s="9">
        <v>31</v>
      </c>
      <c r="G804" s="9">
        <v>366</v>
      </c>
      <c r="H804" s="5" t="s">
        <v>21</v>
      </c>
      <c r="I804" s="5" t="s">
        <v>2157</v>
      </c>
      <c r="J804" s="12" t="str">
        <f>HYPERLINK("https://www.boe.es/gazeta/dias/1802/04/16/pdfs/GMD-1802-31.pdf#page=10","Abrir facsímil")</f>
        <v>Abrir facsímil</v>
      </c>
      <c r="K804" s="15" t="s">
        <v>23</v>
      </c>
    </row>
    <row r="805" spans="1:11" ht="42" customHeight="1">
      <c r="A805" s="4" t="s">
        <v>2158</v>
      </c>
      <c r="B805" s="5" t="s">
        <v>2158</v>
      </c>
      <c r="C805" s="5" t="s">
        <v>29</v>
      </c>
      <c r="D805" s="5" t="s">
        <v>30</v>
      </c>
      <c r="E805" s="5" t="s">
        <v>1749</v>
      </c>
      <c r="F805" s="9">
        <v>60</v>
      </c>
      <c r="G805" s="9">
        <v>728</v>
      </c>
      <c r="H805" s="5" t="s">
        <v>21</v>
      </c>
      <c r="I805" s="5" t="s">
        <v>2159</v>
      </c>
      <c r="J805" s="12" t="str">
        <f>HYPERLINK("https://www.boe.es/gazeta/dias/1802/07/23/pdfs/GMD-1802-60.pdf#page=12","Abrir facsímil")</f>
        <v>Abrir facsímil</v>
      </c>
      <c r="K805" s="15" t="s">
        <v>23</v>
      </c>
    </row>
    <row r="806" spans="1:11" ht="42" customHeight="1">
      <c r="A806" s="4" t="s">
        <v>2160</v>
      </c>
      <c r="B806" s="5" t="s">
        <v>2161</v>
      </c>
      <c r="C806" s="5" t="s">
        <v>18</v>
      </c>
      <c r="D806" s="5" t="s">
        <v>19</v>
      </c>
      <c r="E806" s="5" t="s">
        <v>49</v>
      </c>
      <c r="F806" s="9">
        <v>83</v>
      </c>
      <c r="G806" s="9">
        <v>1020</v>
      </c>
      <c r="H806" s="5" t="s">
        <v>21</v>
      </c>
      <c r="I806" s="5" t="s">
        <v>2162</v>
      </c>
      <c r="J806" s="12" t="str">
        <f>HYPERLINK("https://www.boe.es/gazeta/dias/1802/10/12/pdfs/GMD-1802-83.pdf#page=8","Abrir facsímil")</f>
        <v>Abrir facsímil</v>
      </c>
      <c r="K806" s="15" t="s">
        <v>23</v>
      </c>
    </row>
    <row r="807" spans="1:11" ht="42" customHeight="1">
      <c r="A807" s="4" t="s">
        <v>2163</v>
      </c>
      <c r="B807" s="5" t="s">
        <v>2164</v>
      </c>
      <c r="C807" s="5" t="s">
        <v>160</v>
      </c>
      <c r="D807" s="5" t="s">
        <v>91</v>
      </c>
      <c r="E807" s="5" t="s">
        <v>1588</v>
      </c>
      <c r="F807" s="9">
        <v>18</v>
      </c>
      <c r="G807" s="9">
        <v>198</v>
      </c>
      <c r="H807" s="5" t="s">
        <v>21</v>
      </c>
      <c r="I807" s="5" t="s">
        <v>2165</v>
      </c>
      <c r="J807" s="12" t="str">
        <f>HYPERLINK("https://www.boe.es/gazeta/dias/1802/03/02/pdfs/GMD-1802-18.pdf#page=10","Abrir facsímil")</f>
        <v>Abrir facsímil</v>
      </c>
      <c r="K807" s="15" t="s">
        <v>23</v>
      </c>
    </row>
    <row r="808" spans="1:11" ht="42" customHeight="1">
      <c r="A808" s="4" t="s">
        <v>2166</v>
      </c>
      <c r="B808" s="5" t="s">
        <v>2167</v>
      </c>
      <c r="C808" s="5" t="s">
        <v>35</v>
      </c>
      <c r="D808" s="5" t="s">
        <v>36</v>
      </c>
      <c r="E808" s="5" t="s">
        <v>109</v>
      </c>
      <c r="F808" s="9">
        <v>10</v>
      </c>
      <c r="G808" s="9">
        <v>95</v>
      </c>
      <c r="H808" s="5" t="s">
        <v>21</v>
      </c>
      <c r="I808" s="5" t="s">
        <v>2168</v>
      </c>
      <c r="J808" s="12" t="str">
        <f>HYPERLINK("https://www.boe.es/gazeta/dias/1802/02/02/pdfs/GMD-1802-10.pdf#page=3","Abrir facsímil")</f>
        <v>Abrir facsímil</v>
      </c>
      <c r="K808" s="15" t="s">
        <v>23</v>
      </c>
    </row>
    <row r="809" spans="1:11" ht="42" customHeight="1">
      <c r="A809" s="4" t="s">
        <v>2169</v>
      </c>
      <c r="B809" s="5" t="s">
        <v>2170</v>
      </c>
      <c r="C809" s="5" t="s">
        <v>29</v>
      </c>
      <c r="D809" s="5" t="s">
        <v>30</v>
      </c>
      <c r="E809" s="5" t="s">
        <v>57</v>
      </c>
      <c r="F809" s="9">
        <v>54</v>
      </c>
      <c r="G809" s="9">
        <v>646</v>
      </c>
      <c r="H809" s="5" t="s">
        <v>21</v>
      </c>
      <c r="I809" s="5" t="s">
        <v>2171</v>
      </c>
      <c r="J809" s="12" t="str">
        <f>HYPERLINK("https://www.boe.es/gazeta/dias/1802/07/06/pdfs/GMD-1802-54.pdf#page=2","Abrir facsímil")</f>
        <v>Abrir facsímil</v>
      </c>
      <c r="K809" s="15" t="s">
        <v>23</v>
      </c>
    </row>
    <row r="810" spans="1:11" ht="42" customHeight="1">
      <c r="A810" s="4" t="s">
        <v>2172</v>
      </c>
      <c r="B810" s="5" t="s">
        <v>2173</v>
      </c>
      <c r="C810" s="5" t="s">
        <v>35</v>
      </c>
      <c r="D810" s="5" t="s">
        <v>36</v>
      </c>
      <c r="E810" s="5" t="s">
        <v>1618</v>
      </c>
      <c r="F810" s="9">
        <v>31</v>
      </c>
      <c r="G810" s="9">
        <v>361</v>
      </c>
      <c r="H810" s="5" t="s">
        <v>21</v>
      </c>
      <c r="I810" s="5" t="s">
        <v>2174</v>
      </c>
      <c r="J810" s="12" t="str">
        <f>HYPERLINK("https://www.boe.es/gazeta/dias/1802/04/16/pdfs/GMD-1802-31.pdf#page=5","Abrir facsímil")</f>
        <v>Abrir facsímil</v>
      </c>
      <c r="K810" s="15" t="s">
        <v>23</v>
      </c>
    </row>
    <row r="811" spans="1:11" ht="42" customHeight="1">
      <c r="A811" s="4" t="s">
        <v>2175</v>
      </c>
      <c r="B811" s="5" t="s">
        <v>2176</v>
      </c>
      <c r="C811" s="5" t="s">
        <v>35</v>
      </c>
      <c r="D811" s="5" t="s">
        <v>36</v>
      </c>
      <c r="E811" s="5" t="s">
        <v>299</v>
      </c>
      <c r="F811" s="9">
        <v>19</v>
      </c>
      <c r="G811" s="9">
        <v>204</v>
      </c>
      <c r="H811" s="5" t="s">
        <v>21</v>
      </c>
      <c r="I811" s="5" t="s">
        <v>2177</v>
      </c>
      <c r="J811" s="12" t="str">
        <f>HYPERLINK("https://www.boe.es/gazeta/dias/1802/03/05/pdfs/GMD-1802-19.pdf#page=4","Abrir facsímil")</f>
        <v>Abrir facsímil</v>
      </c>
      <c r="K811" s="15" t="s">
        <v>23</v>
      </c>
    </row>
    <row r="812" spans="1:11" ht="42" customHeight="1">
      <c r="A812" s="4" t="s">
        <v>2178</v>
      </c>
      <c r="B812" s="5" t="s">
        <v>2179</v>
      </c>
      <c r="C812" s="5" t="s">
        <v>29</v>
      </c>
      <c r="D812" s="5" t="s">
        <v>30</v>
      </c>
      <c r="E812" s="5" t="s">
        <v>128</v>
      </c>
      <c r="F812" s="9">
        <v>9</v>
      </c>
      <c r="G812" s="9">
        <v>89</v>
      </c>
      <c r="H812" s="5" t="s">
        <v>21</v>
      </c>
      <c r="I812" s="5" t="s">
        <v>2180</v>
      </c>
      <c r="J812" s="12" t="str">
        <f>HYPERLINK("https://www.boe.es/gazeta/dias/1802/01/29/pdfs/GMD-1802-9.pdf#page=9","Abrir facsímil")</f>
        <v>Abrir facsímil</v>
      </c>
      <c r="K812" s="15" t="s">
        <v>23</v>
      </c>
    </row>
    <row r="813" spans="1:11" ht="42" customHeight="1">
      <c r="A813" s="4" t="s">
        <v>2181</v>
      </c>
      <c r="B813" s="5" t="s">
        <v>2182</v>
      </c>
      <c r="C813" s="5" t="s">
        <v>42</v>
      </c>
      <c r="D813" s="5" t="s">
        <v>43</v>
      </c>
      <c r="E813" s="5" t="s">
        <v>44</v>
      </c>
      <c r="F813" s="9">
        <v>99</v>
      </c>
      <c r="G813" s="9" t="s">
        <v>251</v>
      </c>
      <c r="H813" s="5" t="s">
        <v>21</v>
      </c>
      <c r="I813" s="5" t="s">
        <v>2183</v>
      </c>
      <c r="J813" s="12" t="str">
        <f>HYPERLINK("https://www.boe.es/gazeta/dias/1802/12/07/pdfs/GMD-D-1802-99.pdf#page=6","Abrir facsímil")</f>
        <v>Abrir facsímil</v>
      </c>
      <c r="K813" s="15" t="s">
        <v>23</v>
      </c>
    </row>
    <row r="814" spans="1:11" ht="42" customHeight="1">
      <c r="A814" s="4" t="s">
        <v>2184</v>
      </c>
      <c r="B814" s="5" t="s">
        <v>2185</v>
      </c>
      <c r="C814" s="5" t="s">
        <v>29</v>
      </c>
      <c r="D814" s="5" t="s">
        <v>30</v>
      </c>
      <c r="E814" s="5" t="s">
        <v>114</v>
      </c>
      <c r="F814" s="9">
        <v>82</v>
      </c>
      <c r="G814" s="9">
        <v>1008</v>
      </c>
      <c r="H814" s="5" t="s">
        <v>21</v>
      </c>
      <c r="I814" s="5" t="s">
        <v>2186</v>
      </c>
      <c r="J814" s="12" t="str">
        <f>HYPERLINK("https://www.boe.es/gazeta/dias/1802/10/08/pdfs/GMD-1802-82.pdf#page=8","Abrir facsímil")</f>
        <v>Abrir facsímil</v>
      </c>
      <c r="K814" s="15" t="s">
        <v>23</v>
      </c>
    </row>
    <row r="815" spans="1:11" ht="42" customHeight="1">
      <c r="A815" s="4" t="s">
        <v>2184</v>
      </c>
      <c r="B815" s="5" t="s">
        <v>2185</v>
      </c>
      <c r="C815" s="5" t="s">
        <v>18</v>
      </c>
      <c r="D815" s="5" t="s">
        <v>19</v>
      </c>
      <c r="E815" s="5" t="s">
        <v>714</v>
      </c>
      <c r="F815" s="9">
        <v>89</v>
      </c>
      <c r="G815" s="9">
        <v>1105</v>
      </c>
      <c r="H815" s="5" t="s">
        <v>21</v>
      </c>
      <c r="I815" s="5" t="s">
        <v>2187</v>
      </c>
      <c r="J815" s="12" t="str">
        <f>HYPERLINK("https://www.boe.es/gazeta/dias/1802/11/02/pdfs/GMD-1802-89.pdf#page=9","Abrir facsímil")</f>
        <v>Abrir facsímil</v>
      </c>
      <c r="K815" s="15" t="s">
        <v>23</v>
      </c>
    </row>
    <row r="816" spans="1:11" ht="42" customHeight="1">
      <c r="A816" s="4" t="s">
        <v>2184</v>
      </c>
      <c r="B816" s="5" t="s">
        <v>2185</v>
      </c>
      <c r="C816" s="5" t="s">
        <v>18</v>
      </c>
      <c r="D816" s="5" t="s">
        <v>19</v>
      </c>
      <c r="E816" s="5" t="s">
        <v>751</v>
      </c>
      <c r="F816" s="9">
        <v>98</v>
      </c>
      <c r="G816" s="9">
        <v>1213</v>
      </c>
      <c r="H816" s="5" t="s">
        <v>21</v>
      </c>
      <c r="I816" s="5" t="s">
        <v>2188</v>
      </c>
      <c r="J816" s="12" t="str">
        <f>HYPERLINK("https://www.boe.es/gazeta/dias/1802/12/03/pdfs/GMD-1802-98.pdf#page=9","Abrir facsímil")</f>
        <v>Abrir facsímil</v>
      </c>
      <c r="K816" s="15" t="s">
        <v>23</v>
      </c>
    </row>
    <row r="817" spans="1:11" ht="42" customHeight="1">
      <c r="A817" s="4" t="s">
        <v>2189</v>
      </c>
      <c r="B817" s="5" t="s">
        <v>2189</v>
      </c>
      <c r="C817" s="5" t="s">
        <v>18</v>
      </c>
      <c r="D817" s="5" t="s">
        <v>19</v>
      </c>
      <c r="E817" s="5" t="s">
        <v>163</v>
      </c>
      <c r="F817" s="9">
        <v>1</v>
      </c>
      <c r="G817" s="9">
        <v>4</v>
      </c>
      <c r="H817" s="5" t="s">
        <v>21</v>
      </c>
      <c r="I817" s="5" t="s">
        <v>2190</v>
      </c>
      <c r="J817" s="12" t="str">
        <f>HYPERLINK("https://www.boe.es/gazeta/dias/1802/01/01/pdfs/GMD-1802-1.pdf#page=4","Abrir facsímil")</f>
        <v>Abrir facsímil</v>
      </c>
      <c r="K817" s="15" t="s">
        <v>23</v>
      </c>
    </row>
    <row r="818" spans="1:11" ht="42" customHeight="1">
      <c r="A818" s="4" t="s">
        <v>2191</v>
      </c>
      <c r="B818" s="5" t="s">
        <v>2192</v>
      </c>
      <c r="C818" s="5" t="s">
        <v>18</v>
      </c>
      <c r="D818" s="5" t="s">
        <v>19</v>
      </c>
      <c r="E818" s="5" t="s">
        <v>170</v>
      </c>
      <c r="F818" s="9">
        <v>28</v>
      </c>
      <c r="G818" s="9">
        <v>326</v>
      </c>
      <c r="H818" s="5" t="s">
        <v>21</v>
      </c>
      <c r="I818" s="5" t="s">
        <v>2193</v>
      </c>
      <c r="J818" s="12" t="str">
        <f>HYPERLINK("https://www.boe.es/gazeta/dias/1802/04/06/pdfs/GMD-1802-28.pdf#page=6","Abrir facsímil")</f>
        <v>Abrir facsímil</v>
      </c>
      <c r="K818" s="15" t="s">
        <v>23</v>
      </c>
    </row>
    <row r="819" spans="1:11" ht="42" customHeight="1">
      <c r="A819" s="4" t="s">
        <v>2194</v>
      </c>
      <c r="B819" s="5" t="s">
        <v>2195</v>
      </c>
      <c r="C819" s="5" t="s">
        <v>55</v>
      </c>
      <c r="D819" s="5" t="s">
        <v>56</v>
      </c>
      <c r="E819" s="5" t="s">
        <v>292</v>
      </c>
      <c r="F819" s="9">
        <v>62</v>
      </c>
      <c r="G819" s="9">
        <v>756</v>
      </c>
      <c r="H819" s="5" t="s">
        <v>21</v>
      </c>
      <c r="I819" s="5" t="s">
        <v>2196</v>
      </c>
      <c r="J819" s="12" t="str">
        <f>HYPERLINK("https://www.boe.es/gazeta/dias/1802/07/30/pdfs/GMD-1802-62.pdf#page=12","Abrir facsímil")</f>
        <v>Abrir facsímil</v>
      </c>
      <c r="K819" s="15" t="s">
        <v>23</v>
      </c>
    </row>
    <row r="820" spans="1:11" ht="42" customHeight="1">
      <c r="A820" s="4" t="s">
        <v>2197</v>
      </c>
      <c r="B820" s="5" t="s">
        <v>2197</v>
      </c>
      <c r="C820" s="5" t="s">
        <v>29</v>
      </c>
      <c r="D820" s="5" t="s">
        <v>30</v>
      </c>
      <c r="E820" s="5" t="s">
        <v>133</v>
      </c>
      <c r="F820" s="9">
        <v>33</v>
      </c>
      <c r="G820" s="9">
        <v>387</v>
      </c>
      <c r="H820" s="5" t="s">
        <v>21</v>
      </c>
      <c r="I820" s="5" t="s">
        <v>2198</v>
      </c>
      <c r="J820" s="12" t="str">
        <f>HYPERLINK("https://www.boe.es/gazeta/dias/1802/04/23/pdfs/GMD-1802-33.pdf#page=7","Abrir facsímil")</f>
        <v>Abrir facsímil</v>
      </c>
      <c r="K820" s="15" t="s">
        <v>23</v>
      </c>
    </row>
    <row r="821" spans="1:11" ht="42" customHeight="1">
      <c r="A821" s="4" t="s">
        <v>2199</v>
      </c>
      <c r="B821" s="5" t="s">
        <v>2199</v>
      </c>
      <c r="C821" s="5" t="s">
        <v>18</v>
      </c>
      <c r="D821" s="5" t="s">
        <v>19</v>
      </c>
      <c r="E821" s="5" t="s">
        <v>1749</v>
      </c>
      <c r="F821" s="9">
        <v>60</v>
      </c>
      <c r="G821" s="9">
        <v>727</v>
      </c>
      <c r="H821" s="5" t="s">
        <v>21</v>
      </c>
      <c r="I821" s="5" t="s">
        <v>2200</v>
      </c>
      <c r="J821" s="12" t="str">
        <f>HYPERLINK("https://www.boe.es/gazeta/dias/1802/07/23/pdfs/GMD-1802-60.pdf#page=11","Abrir facsímil")</f>
        <v>Abrir facsímil</v>
      </c>
      <c r="K821" s="15" t="s">
        <v>23</v>
      </c>
    </row>
    <row r="822" spans="1:11" ht="42" customHeight="1">
      <c r="A822" s="4" t="s">
        <v>2201</v>
      </c>
      <c r="B822" s="5" t="s">
        <v>2201</v>
      </c>
      <c r="C822" s="5" t="s">
        <v>29</v>
      </c>
      <c r="D822" s="5" t="s">
        <v>30</v>
      </c>
      <c r="E822" s="5" t="s">
        <v>163</v>
      </c>
      <c r="F822" s="9">
        <v>1</v>
      </c>
      <c r="G822" s="9">
        <v>7</v>
      </c>
      <c r="H822" s="5" t="s">
        <v>21</v>
      </c>
      <c r="I822" s="5" t="s">
        <v>2202</v>
      </c>
      <c r="J822" s="12" t="str">
        <f>HYPERLINK("https://www.boe.es/gazeta/dias/1802/01/01/pdfs/GMD-1802-1.pdf#page=7","Abrir facsímil")</f>
        <v>Abrir facsímil</v>
      </c>
      <c r="K822" s="15" t="s">
        <v>23</v>
      </c>
    </row>
    <row r="823" spans="1:11" ht="42" customHeight="1">
      <c r="A823" s="4" t="s">
        <v>2203</v>
      </c>
      <c r="B823" s="5" t="s">
        <v>2203</v>
      </c>
      <c r="C823" s="5" t="s">
        <v>18</v>
      </c>
      <c r="D823" s="5" t="s">
        <v>19</v>
      </c>
      <c r="E823" s="5" t="s">
        <v>20</v>
      </c>
      <c r="F823" s="9">
        <v>84</v>
      </c>
      <c r="G823" s="9">
        <v>1040</v>
      </c>
      <c r="H823" s="5" t="s">
        <v>21</v>
      </c>
      <c r="I823" s="5" t="s">
        <v>2204</v>
      </c>
      <c r="J823" s="12" t="str">
        <f>HYPERLINK("https://www.boe.es/gazeta/dias/1802/10/15/pdfs/GMD-1802-84.pdf#page=8","Abrir facsímil")</f>
        <v>Abrir facsímil</v>
      </c>
      <c r="K823" s="15" t="s">
        <v>23</v>
      </c>
    </row>
    <row r="824" spans="1:11" ht="42" customHeight="1">
      <c r="A824" s="4" t="s">
        <v>2205</v>
      </c>
      <c r="B824" s="5" t="s">
        <v>2205</v>
      </c>
      <c r="C824" s="5" t="s">
        <v>35</v>
      </c>
      <c r="D824" s="5" t="s">
        <v>36</v>
      </c>
      <c r="E824" s="5" t="s">
        <v>57</v>
      </c>
      <c r="F824" s="9">
        <v>54</v>
      </c>
      <c r="G824" s="9">
        <v>650</v>
      </c>
      <c r="H824" s="5" t="s">
        <v>21</v>
      </c>
      <c r="I824" s="5" t="s">
        <v>2206</v>
      </c>
      <c r="J824" s="12" t="str">
        <f>HYPERLINK("https://www.boe.es/gazeta/dias/1802/07/06/pdfs/GMD-1802-54.pdf#page=6","Abrir facsímil")</f>
        <v>Abrir facsímil</v>
      </c>
      <c r="K824" s="15" t="s">
        <v>23</v>
      </c>
    </row>
    <row r="825" spans="1:11" ht="42" customHeight="1">
      <c r="A825" s="4" t="s">
        <v>2207</v>
      </c>
      <c r="B825" s="5" t="s">
        <v>2207</v>
      </c>
      <c r="C825" s="5" t="s">
        <v>42</v>
      </c>
      <c r="D825" s="5" t="s">
        <v>43</v>
      </c>
      <c r="E825" s="5" t="s">
        <v>44</v>
      </c>
      <c r="F825" s="9">
        <v>99</v>
      </c>
      <c r="G825" s="9" t="s">
        <v>272</v>
      </c>
      <c r="H825" s="5" t="s">
        <v>21</v>
      </c>
      <c r="I825" s="5" t="s">
        <v>2208</v>
      </c>
      <c r="J825" s="12" t="str">
        <f>HYPERLINK("https://www.boe.es/gazeta/dias/1802/12/07/pdfs/GMD-D-1802-99.pdf#page=3","Abrir facsímil")</f>
        <v>Abrir facsímil</v>
      </c>
      <c r="K825" s="15" t="s">
        <v>23</v>
      </c>
    </row>
    <row r="826" spans="1:11" ht="42" customHeight="1">
      <c r="A826" s="4" t="s">
        <v>2209</v>
      </c>
      <c r="B826" s="5" t="s">
        <v>2210</v>
      </c>
      <c r="C826" s="5" t="s">
        <v>29</v>
      </c>
      <c r="D826" s="5" t="s">
        <v>30</v>
      </c>
      <c r="E826" s="5" t="s">
        <v>311</v>
      </c>
      <c r="F826" s="9">
        <v>88</v>
      </c>
      <c r="G826" s="9">
        <v>1093</v>
      </c>
      <c r="H826" s="5" t="s">
        <v>21</v>
      </c>
      <c r="I826" s="5" t="s">
        <v>2211</v>
      </c>
      <c r="J826" s="12" t="str">
        <f>HYPERLINK("https://www.boe.es/gazeta/dias/1802/10/29/pdfs/GMD-1802-88.pdf#page=9","Abrir facsímil")</f>
        <v>Abrir facsímil</v>
      </c>
      <c r="K826" s="15" t="s">
        <v>23</v>
      </c>
    </row>
    <row r="827" spans="1:11" ht="42" customHeight="1">
      <c r="A827" s="4" t="s">
        <v>2212</v>
      </c>
      <c r="B827" s="5" t="s">
        <v>2213</v>
      </c>
      <c r="C827" s="5" t="s">
        <v>18</v>
      </c>
      <c r="D827" s="5" t="s">
        <v>19</v>
      </c>
      <c r="E827" s="5" t="s">
        <v>1289</v>
      </c>
      <c r="F827" s="9">
        <v>72</v>
      </c>
      <c r="G827" s="9">
        <v>888</v>
      </c>
      <c r="H827" s="5" t="s">
        <v>21</v>
      </c>
      <c r="I827" s="5" t="s">
        <v>2214</v>
      </c>
      <c r="J827" s="12" t="str">
        <f>HYPERLINK("https://www.boe.es/gazeta/dias/1802/09/03/pdfs/GMD-1802-72.pdf#page=8","Abrir facsímil")</f>
        <v>Abrir facsímil</v>
      </c>
      <c r="K827" s="15" t="s">
        <v>23</v>
      </c>
    </row>
    <row r="828" spans="1:11" ht="42" customHeight="1">
      <c r="A828" s="4" t="s">
        <v>2215</v>
      </c>
      <c r="B828" s="5" t="s">
        <v>2216</v>
      </c>
      <c r="C828" s="5" t="s">
        <v>160</v>
      </c>
      <c r="D828" s="5" t="s">
        <v>91</v>
      </c>
      <c r="E828" s="5" t="s">
        <v>481</v>
      </c>
      <c r="F828" s="9">
        <v>79</v>
      </c>
      <c r="G828" s="9">
        <v>975</v>
      </c>
      <c r="H828" s="5" t="s">
        <v>21</v>
      </c>
      <c r="I828" s="5" t="s">
        <v>2217</v>
      </c>
      <c r="J828" s="12" t="str">
        <f>HYPERLINK("https://www.boe.es/gazeta/dias/1802/09/28/pdfs/GMD-1802-79.pdf#page=11","Abrir facsímil")</f>
        <v>Abrir facsímil</v>
      </c>
      <c r="K828" s="15" t="s">
        <v>23</v>
      </c>
    </row>
    <row r="829" spans="1:11" ht="42" customHeight="1">
      <c r="A829" s="4" t="s">
        <v>2218</v>
      </c>
      <c r="B829" s="5" t="s">
        <v>2218</v>
      </c>
      <c r="C829" s="5" t="s">
        <v>18</v>
      </c>
      <c r="D829" s="5" t="s">
        <v>19</v>
      </c>
      <c r="E829" s="5" t="s">
        <v>25</v>
      </c>
      <c r="F829" s="9">
        <v>44</v>
      </c>
      <c r="G829" s="9">
        <v>527</v>
      </c>
      <c r="H829" s="5" t="s">
        <v>21</v>
      </c>
      <c r="I829" s="5" t="s">
        <v>2219</v>
      </c>
      <c r="J829" s="12" t="str">
        <f>HYPERLINK("https://www.boe.es/gazeta/dias/1802/06/01/pdfs/GMD-1802-44.pdf#page=3","Abrir facsímil")</f>
        <v>Abrir facsímil</v>
      </c>
      <c r="K829" s="15" t="s">
        <v>23</v>
      </c>
    </row>
    <row r="830" spans="1:11" ht="42" customHeight="1">
      <c r="A830" s="4" t="s">
        <v>2220</v>
      </c>
      <c r="B830" s="5" t="s">
        <v>2221</v>
      </c>
      <c r="C830" s="5" t="s">
        <v>29</v>
      </c>
      <c r="D830" s="5" t="s">
        <v>30</v>
      </c>
      <c r="E830" s="5" t="s">
        <v>1332</v>
      </c>
      <c r="F830" s="9">
        <v>4</v>
      </c>
      <c r="G830" s="9">
        <v>37</v>
      </c>
      <c r="H830" s="5" t="s">
        <v>21</v>
      </c>
      <c r="I830" s="5" t="s">
        <v>2222</v>
      </c>
      <c r="J830" s="12" t="str">
        <f>HYPERLINK("https://www.boe.es/gazeta/dias/1802/01/12/pdfs/GMD-1802-4.pdf#page=9","Abrir facsímil")</f>
        <v>Abrir facsímil</v>
      </c>
      <c r="K830" s="15" t="s">
        <v>23</v>
      </c>
    </row>
    <row r="831" spans="1:11" ht="42" customHeight="1">
      <c r="A831" s="4" t="s">
        <v>2223</v>
      </c>
      <c r="B831" s="5" t="s">
        <v>2224</v>
      </c>
      <c r="C831" s="5" t="s">
        <v>18</v>
      </c>
      <c r="D831" s="5" t="s">
        <v>19</v>
      </c>
      <c r="E831" s="5" t="s">
        <v>206</v>
      </c>
      <c r="F831" s="9">
        <v>22</v>
      </c>
      <c r="G831" s="9">
        <v>240</v>
      </c>
      <c r="H831" s="5" t="s">
        <v>21</v>
      </c>
      <c r="I831" s="5" t="s">
        <v>2225</v>
      </c>
      <c r="J831" s="12" t="str">
        <f>HYPERLINK("https://www.boe.es/gazeta/dias/1802/03/16/pdfs/GMD-1802-22.pdf#page=8","Abrir facsímil")</f>
        <v>Abrir facsímil</v>
      </c>
      <c r="K831" s="15" t="s">
        <v>23</v>
      </c>
    </row>
    <row r="832" spans="1:11" ht="42" customHeight="1">
      <c r="A832" s="4" t="s">
        <v>2226</v>
      </c>
      <c r="B832" s="5" t="s">
        <v>2227</v>
      </c>
      <c r="C832" s="5" t="s">
        <v>90</v>
      </c>
      <c r="D832" s="5" t="s">
        <v>91</v>
      </c>
      <c r="E832" s="5" t="s">
        <v>102</v>
      </c>
      <c r="F832" s="9">
        <v>73</v>
      </c>
      <c r="G832" s="9">
        <v>901</v>
      </c>
      <c r="H832" s="5" t="s">
        <v>21</v>
      </c>
      <c r="I832" s="5" t="s">
        <v>2228</v>
      </c>
      <c r="J832" s="12" t="str">
        <f>HYPERLINK("https://www.boe.es/gazeta/dias/1802/09/07/pdfs/GMD-1802-73.pdf#page=9","Abrir facsímil")</f>
        <v>Abrir facsímil</v>
      </c>
      <c r="K832" s="15" t="s">
        <v>23</v>
      </c>
    </row>
    <row r="833" spans="1:11" ht="42" customHeight="1">
      <c r="A833" s="4" t="s">
        <v>2229</v>
      </c>
      <c r="B833" s="5" t="s">
        <v>2230</v>
      </c>
      <c r="C833" s="5" t="s">
        <v>90</v>
      </c>
      <c r="D833" s="5" t="s">
        <v>91</v>
      </c>
      <c r="E833" s="5" t="s">
        <v>60</v>
      </c>
      <c r="F833" s="9">
        <v>5</v>
      </c>
      <c r="G833" s="9">
        <v>50</v>
      </c>
      <c r="H833" s="5" t="s">
        <v>21</v>
      </c>
      <c r="I833" s="5" t="s">
        <v>2231</v>
      </c>
      <c r="J833" s="12" t="str">
        <f>HYPERLINK("https://www.boe.es/gazeta/dias/1802/01/15/pdfs/GMD-1802-5.pdf#page=6","Abrir facsímil")</f>
        <v>Abrir facsímil</v>
      </c>
      <c r="K833" s="15" t="s">
        <v>23</v>
      </c>
    </row>
    <row r="834" spans="1:11" ht="42" customHeight="1">
      <c r="A834" s="4" t="s">
        <v>2232</v>
      </c>
      <c r="B834" s="5" t="s">
        <v>2232</v>
      </c>
      <c r="C834" s="5" t="s">
        <v>29</v>
      </c>
      <c r="D834" s="5" t="s">
        <v>30</v>
      </c>
      <c r="E834" s="5" t="s">
        <v>92</v>
      </c>
      <c r="F834" s="9">
        <v>29</v>
      </c>
      <c r="G834" s="9">
        <v>335</v>
      </c>
      <c r="H834" s="5" t="s">
        <v>21</v>
      </c>
      <c r="I834" s="5" t="s">
        <v>2233</v>
      </c>
      <c r="J834" s="12" t="str">
        <f>HYPERLINK("https://www.boe.es/gazeta/dias/1802/04/09/pdfs/GMD-1802-29.pdf#page=3","Abrir facsímil")</f>
        <v>Abrir facsímil</v>
      </c>
      <c r="K834" s="15" t="s">
        <v>23</v>
      </c>
    </row>
    <row r="835" spans="1:11" ht="42" customHeight="1">
      <c r="A835" s="4" t="s">
        <v>2234</v>
      </c>
      <c r="B835" s="5" t="s">
        <v>2235</v>
      </c>
      <c r="C835" s="5" t="s">
        <v>18</v>
      </c>
      <c r="D835" s="5" t="s">
        <v>19</v>
      </c>
      <c r="E835" s="5" t="s">
        <v>152</v>
      </c>
      <c r="F835" s="9">
        <v>25</v>
      </c>
      <c r="G835" s="9">
        <v>279</v>
      </c>
      <c r="H835" s="5" t="s">
        <v>21</v>
      </c>
      <c r="I835" s="5" t="s">
        <v>2236</v>
      </c>
      <c r="J835" s="12" t="str">
        <f>HYPERLINK("https://www.boe.es/gazeta/dias/1802/03/26/pdfs/GMD-1802-25.pdf#page=3","Abrir facsímil")</f>
        <v>Abrir facsímil</v>
      </c>
      <c r="K835" s="15" t="s">
        <v>23</v>
      </c>
    </row>
    <row r="836" spans="1:11" ht="42" customHeight="1">
      <c r="A836" s="4" t="s">
        <v>2237</v>
      </c>
      <c r="B836" s="5" t="s">
        <v>2238</v>
      </c>
      <c r="C836" s="5" t="s">
        <v>55</v>
      </c>
      <c r="D836" s="5" t="s">
        <v>56</v>
      </c>
      <c r="E836" s="5" t="s">
        <v>114</v>
      </c>
      <c r="F836" s="9">
        <v>82</v>
      </c>
      <c r="G836" s="9">
        <v>1011</v>
      </c>
      <c r="H836" s="5" t="s">
        <v>21</v>
      </c>
      <c r="I836" s="5" t="s">
        <v>2239</v>
      </c>
      <c r="J836" s="12" t="str">
        <f>HYPERLINK("https://www.boe.es/gazeta/dias/1802/10/08/pdfs/GMD-1802-82.pdf#page=11","Abrir facsímil")</f>
        <v>Abrir facsímil</v>
      </c>
      <c r="K836" s="15" t="s">
        <v>23</v>
      </c>
    </row>
    <row r="837" spans="1:11" ht="42" customHeight="1">
      <c r="A837" s="4" t="s">
        <v>2240</v>
      </c>
      <c r="B837" s="5" t="s">
        <v>2241</v>
      </c>
      <c r="C837" s="5" t="s">
        <v>90</v>
      </c>
      <c r="D837" s="5" t="s">
        <v>91</v>
      </c>
      <c r="E837" s="5" t="s">
        <v>436</v>
      </c>
      <c r="F837" s="9">
        <v>58</v>
      </c>
      <c r="G837" s="9">
        <v>695</v>
      </c>
      <c r="H837" s="5" t="s">
        <v>21</v>
      </c>
      <c r="I837" s="5" t="s">
        <v>2242</v>
      </c>
      <c r="J837" s="12" t="str">
        <f>HYPERLINK("https://www.boe.es/gazeta/dias/1802/07/20/pdfs/GMD-1802-58.pdf#page=3","Abrir facsímil")</f>
        <v>Abrir facsímil</v>
      </c>
      <c r="K837" s="15" t="s">
        <v>23</v>
      </c>
    </row>
    <row r="838" spans="1:11" ht="42" customHeight="1">
      <c r="A838" s="4" t="s">
        <v>2243</v>
      </c>
      <c r="B838" s="5" t="s">
        <v>2243</v>
      </c>
      <c r="C838" s="5" t="s">
        <v>35</v>
      </c>
      <c r="D838" s="5" t="s">
        <v>36</v>
      </c>
      <c r="E838" s="5" t="s">
        <v>590</v>
      </c>
      <c r="F838" s="9">
        <v>38</v>
      </c>
      <c r="G838" s="9">
        <v>452</v>
      </c>
      <c r="H838" s="5" t="s">
        <v>21</v>
      </c>
      <c r="I838" s="5" t="s">
        <v>2244</v>
      </c>
      <c r="J838" s="12" t="str">
        <f>HYPERLINK("https://www.boe.es/gazeta/dias/1802/05/11/pdfs/GMD-1802-38.pdf#page=8","Abrir facsímil")</f>
        <v>Abrir facsímil</v>
      </c>
      <c r="K838" s="15" t="s">
        <v>23</v>
      </c>
    </row>
    <row r="839" spans="1:11" ht="42" customHeight="1">
      <c r="A839" s="4" t="s">
        <v>2243</v>
      </c>
      <c r="B839" s="5" t="s">
        <v>2243</v>
      </c>
      <c r="C839" s="5" t="s">
        <v>18</v>
      </c>
      <c r="D839" s="5" t="s">
        <v>19</v>
      </c>
      <c r="E839" s="5" t="s">
        <v>192</v>
      </c>
      <c r="F839" s="9">
        <v>53</v>
      </c>
      <c r="G839" s="9">
        <v>641</v>
      </c>
      <c r="H839" s="5" t="s">
        <v>21</v>
      </c>
      <c r="I839" s="5" t="s">
        <v>2245</v>
      </c>
      <c r="J839" s="12" t="str">
        <f>HYPERLINK("https://www.boe.es/gazeta/dias/1802/07/02/pdfs/GMD-1802-53.pdf#page=9","Abrir facsímil")</f>
        <v>Abrir facsímil</v>
      </c>
      <c r="K839" s="15" t="s">
        <v>23</v>
      </c>
    </row>
    <row r="840" spans="1:11" ht="42" customHeight="1">
      <c r="A840" s="4" t="s">
        <v>2246</v>
      </c>
      <c r="B840" s="5" t="s">
        <v>2247</v>
      </c>
      <c r="C840" s="5" t="s">
        <v>55</v>
      </c>
      <c r="D840" s="5" t="s">
        <v>56</v>
      </c>
      <c r="E840" s="5" t="s">
        <v>49</v>
      </c>
      <c r="F840" s="9">
        <v>83</v>
      </c>
      <c r="G840" s="9">
        <v>1021</v>
      </c>
      <c r="H840" s="5" t="s">
        <v>21</v>
      </c>
      <c r="I840" s="5" t="s">
        <v>2248</v>
      </c>
      <c r="J840" s="12" t="str">
        <f>HYPERLINK("https://www.boe.es/gazeta/dias/1802/10/12/pdfs/GMD-1802-83.pdf#page=9","Abrir facsímil")</f>
        <v>Abrir facsímil</v>
      </c>
      <c r="K840" s="15" t="s">
        <v>23</v>
      </c>
    </row>
    <row r="841" spans="1:11" ht="42" customHeight="1">
      <c r="A841" s="4" t="s">
        <v>2249</v>
      </c>
      <c r="B841" s="5" t="s">
        <v>2249</v>
      </c>
      <c r="C841" s="5" t="s">
        <v>18</v>
      </c>
      <c r="D841" s="5" t="s">
        <v>19</v>
      </c>
      <c r="E841" s="5" t="s">
        <v>436</v>
      </c>
      <c r="F841" s="9">
        <v>58</v>
      </c>
      <c r="G841" s="9">
        <v>700</v>
      </c>
      <c r="H841" s="5" t="s">
        <v>21</v>
      </c>
      <c r="I841" s="5" t="s">
        <v>2250</v>
      </c>
      <c r="J841" s="12" t="str">
        <f>HYPERLINK("https://www.boe.es/gazeta/dias/1802/07/20/pdfs/GMD-1802-58.pdf#page=8","Abrir facsímil")</f>
        <v>Abrir facsímil</v>
      </c>
      <c r="K841" s="15" t="s">
        <v>23</v>
      </c>
    </row>
    <row r="842" spans="1:11" ht="42" customHeight="1">
      <c r="A842" s="4" t="s">
        <v>2249</v>
      </c>
      <c r="B842" s="5" t="s">
        <v>2249</v>
      </c>
      <c r="C842" s="5" t="s">
        <v>55</v>
      </c>
      <c r="D842" s="5" t="s">
        <v>56</v>
      </c>
      <c r="E842" s="5" t="s">
        <v>1749</v>
      </c>
      <c r="F842" s="9">
        <v>60</v>
      </c>
      <c r="G842" s="9">
        <v>725</v>
      </c>
      <c r="H842" s="5" t="s">
        <v>21</v>
      </c>
      <c r="I842" s="5" t="s">
        <v>2251</v>
      </c>
      <c r="J842" s="12" t="str">
        <f>HYPERLINK("https://www.boe.es/gazeta/dias/1802/07/23/pdfs/GMD-1802-60.pdf#page=9","Abrir facsímil")</f>
        <v>Abrir facsímil</v>
      </c>
      <c r="K842" s="15" t="s">
        <v>23</v>
      </c>
    </row>
    <row r="843" spans="1:11" ht="42" customHeight="1">
      <c r="A843" s="4" t="s">
        <v>2249</v>
      </c>
      <c r="B843" s="5" t="s">
        <v>2249</v>
      </c>
      <c r="C843" s="5" t="s">
        <v>35</v>
      </c>
      <c r="D843" s="5" t="s">
        <v>36</v>
      </c>
      <c r="E843" s="5" t="s">
        <v>1374</v>
      </c>
      <c r="F843" s="9">
        <v>71</v>
      </c>
      <c r="G843" s="9">
        <v>866</v>
      </c>
      <c r="H843" s="5" t="s">
        <v>21</v>
      </c>
      <c r="I843" s="5" t="s">
        <v>2252</v>
      </c>
      <c r="J843" s="12" t="str">
        <f>HYPERLINK("https://www.boe.es/gazeta/dias/1802/08/31/pdfs/GMD-1802-71.pdf#page=2","Abrir facsímil")</f>
        <v>Abrir facsímil</v>
      </c>
      <c r="K843" s="15" t="s">
        <v>23</v>
      </c>
    </row>
    <row r="844" spans="1:11" ht="42" customHeight="1">
      <c r="A844" s="4" t="s">
        <v>2253</v>
      </c>
      <c r="B844" s="5" t="s">
        <v>2254</v>
      </c>
      <c r="C844" s="5" t="s">
        <v>90</v>
      </c>
      <c r="D844" s="5" t="s">
        <v>91</v>
      </c>
      <c r="E844" s="5" t="s">
        <v>92</v>
      </c>
      <c r="F844" s="9">
        <v>29</v>
      </c>
      <c r="G844" s="9">
        <v>336</v>
      </c>
      <c r="H844" s="5" t="s">
        <v>21</v>
      </c>
      <c r="I844" s="5" t="s">
        <v>2255</v>
      </c>
      <c r="J844" s="12" t="str">
        <f>HYPERLINK("https://www.boe.es/gazeta/dias/1802/04/09/pdfs/GMD-1802-29.pdf#page=4","Abrir facsímil")</f>
        <v>Abrir facsímil</v>
      </c>
      <c r="K844" s="15" t="s">
        <v>23</v>
      </c>
    </row>
    <row r="845" spans="1:11" ht="42" customHeight="1">
      <c r="A845" s="4" t="s">
        <v>2256</v>
      </c>
      <c r="B845" s="5" t="s">
        <v>2257</v>
      </c>
      <c r="C845" s="5" t="s">
        <v>90</v>
      </c>
      <c r="D845" s="5" t="s">
        <v>91</v>
      </c>
      <c r="E845" s="5" t="s">
        <v>183</v>
      </c>
      <c r="F845" s="9">
        <v>56</v>
      </c>
      <c r="G845" s="9">
        <v>678</v>
      </c>
      <c r="H845" s="5" t="s">
        <v>21</v>
      </c>
      <c r="I845" s="5" t="s">
        <v>2258</v>
      </c>
      <c r="J845" s="12" t="str">
        <f>HYPERLINK("https://www.boe.es/gazeta/dias/1802/07/13/pdfs/GMD-1802-56.pdf#page=10","Abrir facsímil")</f>
        <v>Abrir facsímil</v>
      </c>
      <c r="K845" s="15" t="s">
        <v>23</v>
      </c>
    </row>
    <row r="846" spans="1:11" ht="42" customHeight="1">
      <c r="A846" s="4" t="s">
        <v>2259</v>
      </c>
      <c r="B846" s="5" t="s">
        <v>2260</v>
      </c>
      <c r="C846" s="5" t="s">
        <v>18</v>
      </c>
      <c r="D846" s="5" t="s">
        <v>19</v>
      </c>
      <c r="E846" s="5" t="s">
        <v>49</v>
      </c>
      <c r="F846" s="9">
        <v>83</v>
      </c>
      <c r="G846" s="9">
        <v>1023</v>
      </c>
      <c r="H846" s="5" t="s">
        <v>21</v>
      </c>
      <c r="I846" s="5" t="s">
        <v>2261</v>
      </c>
      <c r="J846" s="12" t="str">
        <f>HYPERLINK("https://www.boe.es/gazeta/dias/1802/10/12/pdfs/GMD-1802-83.pdf#page=11","Abrir facsímil")</f>
        <v>Abrir facsímil</v>
      </c>
      <c r="K846" s="15" t="s">
        <v>23</v>
      </c>
    </row>
    <row r="847" spans="1:11" ht="42" customHeight="1">
      <c r="A847" s="4" t="s">
        <v>2262</v>
      </c>
      <c r="B847" s="5" t="s">
        <v>2263</v>
      </c>
      <c r="C847" s="5" t="s">
        <v>42</v>
      </c>
      <c r="D847" s="5" t="s">
        <v>43</v>
      </c>
      <c r="E847" s="5" t="s">
        <v>44</v>
      </c>
      <c r="F847" s="9">
        <v>99</v>
      </c>
      <c r="G847" s="9" t="s">
        <v>78</v>
      </c>
      <c r="H847" s="5" t="s">
        <v>21</v>
      </c>
      <c r="I847" s="5" t="s">
        <v>2264</v>
      </c>
      <c r="J847" s="12" t="str">
        <f>HYPERLINK("https://www.boe.es/gazeta/dias/1802/12/07/pdfs/GMD-D-1802-99.pdf#page=15","Abrir facsímil")</f>
        <v>Abrir facsímil</v>
      </c>
      <c r="K847" s="15" t="s">
        <v>23</v>
      </c>
    </row>
    <row r="848" spans="1:11" ht="42" customHeight="1">
      <c r="A848" s="4" t="s">
        <v>2265</v>
      </c>
      <c r="B848" s="5" t="s">
        <v>2266</v>
      </c>
      <c r="C848" s="5" t="s">
        <v>29</v>
      </c>
      <c r="D848" s="5" t="s">
        <v>30</v>
      </c>
      <c r="E848" s="5" t="s">
        <v>751</v>
      </c>
      <c r="F848" s="9">
        <v>98</v>
      </c>
      <c r="G848" s="9">
        <v>1214</v>
      </c>
      <c r="H848" s="5" t="s">
        <v>21</v>
      </c>
      <c r="I848" s="5" t="s">
        <v>2267</v>
      </c>
      <c r="J848" s="12" t="str">
        <f>HYPERLINK("https://www.boe.es/gazeta/dias/1802/12/03/pdfs/GMD-1802-98.pdf#page=10","Abrir facsímil")</f>
        <v>Abrir facsímil</v>
      </c>
      <c r="K848" s="15" t="s">
        <v>23</v>
      </c>
    </row>
    <row r="849" spans="1:11" ht="42" customHeight="1">
      <c r="A849" s="4" t="s">
        <v>2268</v>
      </c>
      <c r="B849" s="5" t="s">
        <v>2269</v>
      </c>
      <c r="C849" s="5" t="s">
        <v>35</v>
      </c>
      <c r="D849" s="5" t="s">
        <v>36</v>
      </c>
      <c r="E849" s="5" t="s">
        <v>429</v>
      </c>
      <c r="F849" s="9">
        <v>91</v>
      </c>
      <c r="G849" s="9">
        <v>1129</v>
      </c>
      <c r="H849" s="5" t="s">
        <v>21</v>
      </c>
      <c r="I849" s="5" t="s">
        <v>2270</v>
      </c>
      <c r="J849" s="12" t="str">
        <f>HYPERLINK("https://www.boe.es/gazeta/dias/1802/11/09/pdfs/GMD-1802-91.pdf#page=9","Abrir facsímil")</f>
        <v>Abrir facsímil</v>
      </c>
      <c r="K849" s="15" t="s">
        <v>23</v>
      </c>
    </row>
    <row r="850" spans="1:11" ht="42" customHeight="1">
      <c r="A850" s="4" t="s">
        <v>2271</v>
      </c>
      <c r="B850" s="5" t="s">
        <v>2272</v>
      </c>
      <c r="C850" s="5" t="s">
        <v>18</v>
      </c>
      <c r="D850" s="5" t="s">
        <v>19</v>
      </c>
      <c r="E850" s="5" t="s">
        <v>20</v>
      </c>
      <c r="F850" s="9">
        <v>84</v>
      </c>
      <c r="G850" s="9">
        <v>1046</v>
      </c>
      <c r="H850" s="5" t="s">
        <v>21</v>
      </c>
      <c r="I850" s="5" t="s">
        <v>2273</v>
      </c>
      <c r="J850" s="12" t="str">
        <f>HYPERLINK("https://www.boe.es/gazeta/dias/1802/10/15/pdfs/GMD-1802-84.pdf#page=14","Abrir facsímil")</f>
        <v>Abrir facsímil</v>
      </c>
      <c r="K850" s="15" t="s">
        <v>23</v>
      </c>
    </row>
    <row r="851" spans="1:11" ht="42" customHeight="1">
      <c r="A851" s="4" t="s">
        <v>2274</v>
      </c>
      <c r="B851" s="5" t="s">
        <v>2275</v>
      </c>
      <c r="C851" s="5" t="s">
        <v>18</v>
      </c>
      <c r="D851" s="5" t="s">
        <v>19</v>
      </c>
      <c r="E851" s="5" t="s">
        <v>20</v>
      </c>
      <c r="F851" s="9">
        <v>84</v>
      </c>
      <c r="G851" s="9">
        <v>1044</v>
      </c>
      <c r="H851" s="5" t="s">
        <v>21</v>
      </c>
      <c r="I851" s="5" t="s">
        <v>2276</v>
      </c>
      <c r="J851" s="12" t="str">
        <f>HYPERLINK("https://www.boe.es/gazeta/dias/1802/10/15/pdfs/GMD-1802-84.pdf#page=12","Abrir facsímil")</f>
        <v>Abrir facsímil</v>
      </c>
      <c r="K851" s="15" t="s">
        <v>23</v>
      </c>
    </row>
    <row r="852" spans="1:11" ht="42" customHeight="1">
      <c r="A852" s="4" t="s">
        <v>2277</v>
      </c>
      <c r="B852" s="5" t="s">
        <v>2278</v>
      </c>
      <c r="C852" s="5" t="s">
        <v>18</v>
      </c>
      <c r="D852" s="5" t="s">
        <v>19</v>
      </c>
      <c r="E852" s="5" t="s">
        <v>20</v>
      </c>
      <c r="F852" s="9">
        <v>84</v>
      </c>
      <c r="G852" s="9">
        <v>1040</v>
      </c>
      <c r="H852" s="5" t="s">
        <v>21</v>
      </c>
      <c r="I852" s="5" t="s">
        <v>2279</v>
      </c>
      <c r="J852" s="12" t="str">
        <f>HYPERLINK("https://www.boe.es/gazeta/dias/1802/10/15/pdfs/GMD-1802-84.pdf#page=8","Abrir facsímil")</f>
        <v>Abrir facsímil</v>
      </c>
      <c r="K852" s="15" t="s">
        <v>23</v>
      </c>
    </row>
    <row r="853" spans="1:11" ht="42" customHeight="1">
      <c r="A853" s="4" t="s">
        <v>2280</v>
      </c>
      <c r="B853" s="5" t="s">
        <v>2281</v>
      </c>
      <c r="C853" s="5" t="s">
        <v>29</v>
      </c>
      <c r="D853" s="5" t="s">
        <v>30</v>
      </c>
      <c r="E853" s="5" t="s">
        <v>328</v>
      </c>
      <c r="F853" s="9">
        <v>45</v>
      </c>
      <c r="G853" s="9">
        <v>545</v>
      </c>
      <c r="H853" s="5" t="s">
        <v>21</v>
      </c>
      <c r="I853" s="5" t="s">
        <v>2282</v>
      </c>
      <c r="J853" s="12" t="str">
        <f>HYPERLINK("https://www.boe.es/gazeta/dias/1802/06/04/pdfs/GMD-1802-45.pdf#page=9","Abrir facsímil")</f>
        <v>Abrir facsímil</v>
      </c>
      <c r="K853" s="15" t="s">
        <v>23</v>
      </c>
    </row>
    <row r="854" spans="1:11" ht="42" customHeight="1">
      <c r="A854" s="4" t="s">
        <v>2283</v>
      </c>
      <c r="B854" s="5" t="s">
        <v>2284</v>
      </c>
      <c r="C854" s="5" t="s">
        <v>18</v>
      </c>
      <c r="D854" s="5" t="s">
        <v>19</v>
      </c>
      <c r="E854" s="5" t="s">
        <v>20</v>
      </c>
      <c r="F854" s="9">
        <v>84</v>
      </c>
      <c r="G854" s="9">
        <v>1040</v>
      </c>
      <c r="H854" s="5" t="s">
        <v>21</v>
      </c>
      <c r="I854" s="5" t="s">
        <v>2285</v>
      </c>
      <c r="J854" s="12" t="str">
        <f>HYPERLINK("https://www.boe.es/gazeta/dias/1802/10/15/pdfs/GMD-1802-84.pdf#page=8","Abrir facsímil")</f>
        <v>Abrir facsímil</v>
      </c>
      <c r="K854" s="15" t="s">
        <v>23</v>
      </c>
    </row>
    <row r="855" spans="1:11" ht="42" customHeight="1">
      <c r="A855" s="4" t="s">
        <v>2286</v>
      </c>
      <c r="B855" s="5" t="s">
        <v>2287</v>
      </c>
      <c r="C855" s="5" t="s">
        <v>18</v>
      </c>
      <c r="D855" s="5" t="s">
        <v>19</v>
      </c>
      <c r="E855" s="5" t="s">
        <v>31</v>
      </c>
      <c r="F855" s="9">
        <v>27</v>
      </c>
      <c r="G855" s="9">
        <v>318</v>
      </c>
      <c r="H855" s="5" t="s">
        <v>21</v>
      </c>
      <c r="I855" s="5" t="s">
        <v>2288</v>
      </c>
      <c r="J855" s="12" t="str">
        <f>HYPERLINK("https://www.boe.es/gazeta/dias/1802/04/02/pdfs/GMD-1802-27.pdf#page=14","Abrir facsímil")</f>
        <v>Abrir facsímil</v>
      </c>
      <c r="K855" s="15" t="s">
        <v>23</v>
      </c>
    </row>
    <row r="856" spans="1:11" ht="42" customHeight="1">
      <c r="A856" s="4" t="s">
        <v>2289</v>
      </c>
      <c r="B856" s="5" t="s">
        <v>2289</v>
      </c>
      <c r="C856" s="5" t="s">
        <v>35</v>
      </c>
      <c r="D856" s="5" t="s">
        <v>36</v>
      </c>
      <c r="E856" s="5" t="s">
        <v>99</v>
      </c>
      <c r="F856" s="9">
        <v>86</v>
      </c>
      <c r="G856" s="9">
        <v>1065</v>
      </c>
      <c r="H856" s="5" t="s">
        <v>21</v>
      </c>
      <c r="I856" s="5" t="s">
        <v>2290</v>
      </c>
      <c r="J856" s="12" t="str">
        <f>HYPERLINK("https://www.boe.es/gazeta/dias/1802/10/22/pdfs/GMD-1802-86.pdf#page=5","Abrir facsímil")</f>
        <v>Abrir facsímil</v>
      </c>
      <c r="K856" s="15" t="s">
        <v>23</v>
      </c>
    </row>
    <row r="857" spans="1:11" ht="42" customHeight="1">
      <c r="A857" s="4" t="s">
        <v>2291</v>
      </c>
      <c r="B857" s="5" t="s">
        <v>2292</v>
      </c>
      <c r="C857" s="5" t="s">
        <v>18</v>
      </c>
      <c r="D857" s="5" t="s">
        <v>19</v>
      </c>
      <c r="E857" s="5" t="s">
        <v>20</v>
      </c>
      <c r="F857" s="9">
        <v>84</v>
      </c>
      <c r="G857" s="9">
        <v>1043</v>
      </c>
      <c r="H857" s="5" t="s">
        <v>21</v>
      </c>
      <c r="I857" s="5" t="s">
        <v>2293</v>
      </c>
      <c r="J857" s="12" t="str">
        <f>HYPERLINK("https://www.boe.es/gazeta/dias/1802/10/15/pdfs/GMD-1802-84.pdf#page=11","Abrir facsímil")</f>
        <v>Abrir facsímil</v>
      </c>
      <c r="K857" s="15" t="s">
        <v>23</v>
      </c>
    </row>
    <row r="858" spans="1:11" ht="42" customHeight="1">
      <c r="A858" s="4" t="s">
        <v>2294</v>
      </c>
      <c r="B858" s="5" t="s">
        <v>2295</v>
      </c>
      <c r="C858" s="5" t="s">
        <v>160</v>
      </c>
      <c r="D858" s="5" t="s">
        <v>91</v>
      </c>
      <c r="E858" s="5" t="s">
        <v>20</v>
      </c>
      <c r="F858" s="9">
        <v>84</v>
      </c>
      <c r="G858" s="9">
        <v>1043</v>
      </c>
      <c r="H858" s="5" t="s">
        <v>21</v>
      </c>
      <c r="I858" s="5" t="s">
        <v>2296</v>
      </c>
      <c r="J858" s="12" t="str">
        <f>HYPERLINK("https://www.boe.es/gazeta/dias/1802/10/15/pdfs/GMD-1802-84.pdf#page=11","Abrir facsímil")</f>
        <v>Abrir facsímil</v>
      </c>
      <c r="K858" s="15" t="s">
        <v>23</v>
      </c>
    </row>
    <row r="859" spans="1:11" ht="42" customHeight="1">
      <c r="A859" s="4" t="s">
        <v>2297</v>
      </c>
      <c r="B859" s="5" t="s">
        <v>2298</v>
      </c>
      <c r="C859" s="5" t="s">
        <v>29</v>
      </c>
      <c r="D859" s="5" t="s">
        <v>30</v>
      </c>
      <c r="E859" s="5" t="s">
        <v>31</v>
      </c>
      <c r="F859" s="9">
        <v>27</v>
      </c>
      <c r="G859" s="9">
        <v>317</v>
      </c>
      <c r="H859" s="5" t="s">
        <v>21</v>
      </c>
      <c r="I859" s="5" t="s">
        <v>2299</v>
      </c>
      <c r="J859" s="12" t="str">
        <f>HYPERLINK("https://www.boe.es/gazeta/dias/1802/04/02/pdfs/GMD-1802-27.pdf#page=13","Abrir facsímil")</f>
        <v>Abrir facsímil</v>
      </c>
      <c r="K859" s="15" t="s">
        <v>23</v>
      </c>
    </row>
    <row r="860" spans="1:11" ht="42" customHeight="1">
      <c r="A860" s="4" t="s">
        <v>2300</v>
      </c>
      <c r="B860" s="5" t="s">
        <v>2301</v>
      </c>
      <c r="C860" s="5" t="s">
        <v>572</v>
      </c>
      <c r="D860" s="5" t="s">
        <v>573</v>
      </c>
      <c r="E860" s="5" t="s">
        <v>574</v>
      </c>
      <c r="F860" s="9" t="s">
        <v>575</v>
      </c>
      <c r="G860" s="9">
        <v>710</v>
      </c>
      <c r="H860" s="5" t="s">
        <v>21</v>
      </c>
      <c r="I860" s="5" t="s">
        <v>2302</v>
      </c>
      <c r="J860" s="12" t="str">
        <f>HYPERLINK("https://www.boe.es/gazeta/dias/1802/07/21/pdfs/GMD-1802-59E.pdf#page=6","Abrir facsímil")</f>
        <v>Abrir facsímil</v>
      </c>
      <c r="K860" s="15" t="s">
        <v>23</v>
      </c>
    </row>
    <row r="861" spans="1:11" ht="42" customHeight="1">
      <c r="A861" s="4" t="s">
        <v>2303</v>
      </c>
      <c r="B861" s="5" t="s">
        <v>2303</v>
      </c>
      <c r="C861" s="5" t="s">
        <v>160</v>
      </c>
      <c r="D861" s="5" t="s">
        <v>91</v>
      </c>
      <c r="E861" s="5" t="s">
        <v>381</v>
      </c>
      <c r="F861" s="9">
        <v>13</v>
      </c>
      <c r="G861" s="9">
        <v>130</v>
      </c>
      <c r="H861" s="5" t="s">
        <v>21</v>
      </c>
      <c r="I861" s="5" t="s">
        <v>2304</v>
      </c>
      <c r="J861" s="12" t="str">
        <f>HYPERLINK("https://www.boe.es/gazeta/dias/1802/02/12/pdfs/GMD-1802-13.pdf#page=6","Abrir facsímil")</f>
        <v>Abrir facsímil</v>
      </c>
      <c r="K861" s="15" t="s">
        <v>23</v>
      </c>
    </row>
    <row r="862" spans="1:11" ht="42" customHeight="1">
      <c r="A862" s="4" t="s">
        <v>2305</v>
      </c>
      <c r="B862" s="5" t="s">
        <v>2306</v>
      </c>
      <c r="C862" s="5" t="s">
        <v>18</v>
      </c>
      <c r="D862" s="5" t="s">
        <v>19</v>
      </c>
      <c r="E862" s="5" t="s">
        <v>20</v>
      </c>
      <c r="F862" s="9">
        <v>84</v>
      </c>
      <c r="G862" s="9">
        <v>1043</v>
      </c>
      <c r="H862" s="5" t="s">
        <v>21</v>
      </c>
      <c r="I862" s="5" t="s">
        <v>2307</v>
      </c>
      <c r="J862" s="12" t="str">
        <f>HYPERLINK("https://www.boe.es/gazeta/dias/1802/10/15/pdfs/GMD-1802-84.pdf#page=11","Abrir facsímil")</f>
        <v>Abrir facsímil</v>
      </c>
      <c r="K862" s="15" t="s">
        <v>23</v>
      </c>
    </row>
    <row r="863" spans="1:11" ht="42" customHeight="1">
      <c r="A863" s="4" t="s">
        <v>2308</v>
      </c>
      <c r="B863" s="5" t="s">
        <v>2309</v>
      </c>
      <c r="C863" s="5" t="s">
        <v>29</v>
      </c>
      <c r="D863" s="5" t="s">
        <v>30</v>
      </c>
      <c r="E863" s="5" t="s">
        <v>152</v>
      </c>
      <c r="F863" s="9">
        <v>25</v>
      </c>
      <c r="G863" s="9">
        <v>285</v>
      </c>
      <c r="H863" s="5" t="s">
        <v>21</v>
      </c>
      <c r="I863" s="5" t="s">
        <v>2310</v>
      </c>
      <c r="J863" s="12" t="str">
        <f>HYPERLINK("https://www.boe.es/gazeta/dias/1802/03/26/pdfs/GMD-1802-25.pdf#page=9","Abrir facsímil")</f>
        <v>Abrir facsímil</v>
      </c>
      <c r="K863" s="15" t="s">
        <v>23</v>
      </c>
    </row>
    <row r="864" spans="1:11" ht="42" customHeight="1">
      <c r="A864" s="4" t="s">
        <v>2311</v>
      </c>
      <c r="B864" s="5" t="s">
        <v>2312</v>
      </c>
      <c r="C864" s="5" t="s">
        <v>18</v>
      </c>
      <c r="D864" s="5" t="s">
        <v>19</v>
      </c>
      <c r="E864" s="5" t="s">
        <v>49</v>
      </c>
      <c r="F864" s="9">
        <v>83</v>
      </c>
      <c r="G864" s="9">
        <v>1023</v>
      </c>
      <c r="H864" s="5" t="s">
        <v>21</v>
      </c>
      <c r="I864" s="5" t="s">
        <v>2313</v>
      </c>
      <c r="J864" s="12" t="str">
        <f>HYPERLINK("https://www.boe.es/gazeta/dias/1802/10/12/pdfs/GMD-1802-83.pdf#page=11","Abrir facsímil")</f>
        <v>Abrir facsímil</v>
      </c>
      <c r="K864" s="15" t="s">
        <v>23</v>
      </c>
    </row>
    <row r="865" spans="1:11" ht="42" customHeight="1">
      <c r="A865" s="4" t="s">
        <v>2314</v>
      </c>
      <c r="B865" s="5" t="s">
        <v>2315</v>
      </c>
      <c r="C865" s="5" t="s">
        <v>18</v>
      </c>
      <c r="D865" s="5" t="s">
        <v>19</v>
      </c>
      <c r="E865" s="5" t="s">
        <v>258</v>
      </c>
      <c r="F865" s="9">
        <v>63</v>
      </c>
      <c r="G865" s="9">
        <v>769</v>
      </c>
      <c r="H865" s="5" t="s">
        <v>21</v>
      </c>
      <c r="I865" s="5" t="s">
        <v>2316</v>
      </c>
      <c r="J865" s="12" t="str">
        <f>HYPERLINK("https://www.boe.es/gazeta/dias/1802/08/03/pdfs/GMD-1802-63.pdf#page=9","Abrir facsímil")</f>
        <v>Abrir facsímil</v>
      </c>
      <c r="K865" s="15" t="s">
        <v>23</v>
      </c>
    </row>
    <row r="866" spans="1:11" ht="42" customHeight="1">
      <c r="A866" s="4" t="s">
        <v>2317</v>
      </c>
      <c r="B866" s="5" t="s">
        <v>2318</v>
      </c>
      <c r="C866" s="5" t="s">
        <v>35</v>
      </c>
      <c r="D866" s="5" t="s">
        <v>36</v>
      </c>
      <c r="E866" s="5" t="s">
        <v>865</v>
      </c>
      <c r="F866" s="9">
        <v>12</v>
      </c>
      <c r="G866" s="9">
        <v>122</v>
      </c>
      <c r="H866" s="5" t="s">
        <v>21</v>
      </c>
      <c r="I866" s="5" t="s">
        <v>2319</v>
      </c>
      <c r="J866" s="12" t="str">
        <f>HYPERLINK("https://www.boe.es/gazeta/dias/1802/02/09/pdfs/GMD-1802-12.pdf#page=6","Abrir facsímil")</f>
        <v>Abrir facsímil</v>
      </c>
      <c r="K866" s="15" t="s">
        <v>23</v>
      </c>
    </row>
    <row r="867" spans="1:11" ht="42" customHeight="1">
      <c r="A867" s="4" t="s">
        <v>2317</v>
      </c>
      <c r="B867" s="5" t="s">
        <v>2318</v>
      </c>
      <c r="C867" s="5" t="s">
        <v>572</v>
      </c>
      <c r="D867" s="5" t="s">
        <v>573</v>
      </c>
      <c r="E867" s="5" t="s">
        <v>574</v>
      </c>
      <c r="F867" s="9" t="s">
        <v>575</v>
      </c>
      <c r="G867" s="9">
        <v>711</v>
      </c>
      <c r="H867" s="5" t="s">
        <v>21</v>
      </c>
      <c r="I867" s="5" t="s">
        <v>2320</v>
      </c>
      <c r="J867" s="12" t="str">
        <f>HYPERLINK("https://www.boe.es/gazeta/dias/1802/07/21/pdfs/GMD-1802-59E.pdf#page=7","Abrir facsímil")</f>
        <v>Abrir facsímil</v>
      </c>
      <c r="K867" s="15" t="s">
        <v>23</v>
      </c>
    </row>
    <row r="868" spans="1:11" ht="42" customHeight="1">
      <c r="A868" s="4" t="s">
        <v>2321</v>
      </c>
      <c r="B868" s="5" t="s">
        <v>2322</v>
      </c>
      <c r="C868" s="5" t="s">
        <v>29</v>
      </c>
      <c r="D868" s="5" t="s">
        <v>30</v>
      </c>
      <c r="E868" s="5" t="s">
        <v>49</v>
      </c>
      <c r="F868" s="9">
        <v>83</v>
      </c>
      <c r="G868" s="9">
        <v>1019</v>
      </c>
      <c r="H868" s="5" t="s">
        <v>21</v>
      </c>
      <c r="I868" s="5" t="s">
        <v>2323</v>
      </c>
      <c r="J868" s="12" t="str">
        <f>HYPERLINK("https://www.boe.es/gazeta/dias/1802/10/12/pdfs/GMD-1802-83.pdf#page=7","Abrir facsímil")</f>
        <v>Abrir facsímil</v>
      </c>
      <c r="K868" s="15" t="s">
        <v>23</v>
      </c>
    </row>
    <row r="869" spans="1:11" ht="42" customHeight="1">
      <c r="A869" s="4" t="s">
        <v>2317</v>
      </c>
      <c r="B869" s="5" t="s">
        <v>2318</v>
      </c>
      <c r="C869" s="5" t="s">
        <v>29</v>
      </c>
      <c r="D869" s="5" t="s">
        <v>30</v>
      </c>
      <c r="E869" s="5" t="s">
        <v>49</v>
      </c>
      <c r="F869" s="9">
        <v>83</v>
      </c>
      <c r="G869" s="9">
        <v>1026</v>
      </c>
      <c r="H869" s="5" t="s">
        <v>21</v>
      </c>
      <c r="I869" s="5" t="s">
        <v>2324</v>
      </c>
      <c r="J869" s="12" t="str">
        <f>HYPERLINK("https://www.boe.es/gazeta/dias/1802/10/12/pdfs/GMD-1802-83.pdf#page=14","Abrir facsímil")</f>
        <v>Abrir facsímil</v>
      </c>
      <c r="K869" s="15" t="s">
        <v>23</v>
      </c>
    </row>
    <row r="870" spans="1:11" ht="42" customHeight="1">
      <c r="A870" s="4" t="s">
        <v>2325</v>
      </c>
      <c r="B870" s="5" t="s">
        <v>2326</v>
      </c>
      <c r="C870" s="5" t="s">
        <v>42</v>
      </c>
      <c r="D870" s="5" t="s">
        <v>43</v>
      </c>
      <c r="E870" s="5" t="s">
        <v>44</v>
      </c>
      <c r="F870" s="9">
        <v>99</v>
      </c>
      <c r="G870" s="9" t="s">
        <v>272</v>
      </c>
      <c r="H870" s="5" t="s">
        <v>21</v>
      </c>
      <c r="I870" s="5" t="s">
        <v>2327</v>
      </c>
      <c r="J870" s="12" t="str">
        <f>HYPERLINK("https://www.boe.es/gazeta/dias/1802/12/07/pdfs/GMD-D-1802-99.pdf#page=3","Abrir facsímil")</f>
        <v>Abrir facsímil</v>
      </c>
      <c r="K870" s="15" t="s">
        <v>23</v>
      </c>
    </row>
    <row r="871" spans="1:11" ht="42" customHeight="1">
      <c r="A871" s="4" t="s">
        <v>2328</v>
      </c>
      <c r="B871" s="5" t="s">
        <v>2329</v>
      </c>
      <c r="C871" s="5" t="s">
        <v>18</v>
      </c>
      <c r="D871" s="5" t="s">
        <v>19</v>
      </c>
      <c r="E871" s="5" t="s">
        <v>900</v>
      </c>
      <c r="F871" s="9">
        <v>16</v>
      </c>
      <c r="G871" s="9">
        <v>169</v>
      </c>
      <c r="H871" s="5" t="s">
        <v>21</v>
      </c>
      <c r="I871" s="5" t="s">
        <v>2330</v>
      </c>
      <c r="J871" s="12" t="str">
        <f>HYPERLINK("https://www.boe.es/gazeta/dias/1802/02/23/pdfs/GMD-1802-16.pdf#page=9","Abrir facsímil")</f>
        <v>Abrir facsímil</v>
      </c>
      <c r="K871" s="15" t="s">
        <v>23</v>
      </c>
    </row>
    <row r="872" spans="1:11" ht="42" customHeight="1">
      <c r="A872" s="4" t="s">
        <v>2331</v>
      </c>
      <c r="B872" s="5" t="s">
        <v>2332</v>
      </c>
      <c r="C872" s="5" t="s">
        <v>42</v>
      </c>
      <c r="D872" s="5" t="s">
        <v>43</v>
      </c>
      <c r="E872" s="5" t="s">
        <v>44</v>
      </c>
      <c r="F872" s="9">
        <v>99</v>
      </c>
      <c r="G872" s="9" t="s">
        <v>45</v>
      </c>
      <c r="H872" s="5" t="s">
        <v>21</v>
      </c>
      <c r="I872" s="5" t="s">
        <v>2333</v>
      </c>
      <c r="J872" s="12" t="str">
        <f>HYPERLINK("https://www.boe.es/gazeta/dias/1802/12/07/pdfs/GMD-D-1802-99.pdf#page=14","Abrir facsímil")</f>
        <v>Abrir facsímil</v>
      </c>
      <c r="K872" s="15" t="s">
        <v>23</v>
      </c>
    </row>
    <row r="873" spans="1:11" ht="42" customHeight="1">
      <c r="A873" s="4" t="s">
        <v>2334</v>
      </c>
      <c r="B873" s="5" t="s">
        <v>2335</v>
      </c>
      <c r="C873" s="5" t="s">
        <v>29</v>
      </c>
      <c r="D873" s="5" t="s">
        <v>30</v>
      </c>
      <c r="E873" s="5" t="s">
        <v>1381</v>
      </c>
      <c r="F873" s="9">
        <v>17</v>
      </c>
      <c r="G873" s="9">
        <v>185</v>
      </c>
      <c r="H873" s="5" t="s">
        <v>21</v>
      </c>
      <c r="I873" s="5" t="s">
        <v>2336</v>
      </c>
      <c r="J873" s="12" t="str">
        <f>HYPERLINK("https://www.boe.es/gazeta/dias/1802/02/26/pdfs/GMD-1802-17.pdf#page=9","Abrir facsímil")</f>
        <v>Abrir facsímil</v>
      </c>
      <c r="K873" s="15" t="s">
        <v>23</v>
      </c>
    </row>
    <row r="874" spans="1:11" ht="42" customHeight="1">
      <c r="A874" s="4" t="s">
        <v>2337</v>
      </c>
      <c r="B874" s="5" t="s">
        <v>2338</v>
      </c>
      <c r="C874" s="5" t="s">
        <v>42</v>
      </c>
      <c r="D874" s="5" t="s">
        <v>43</v>
      </c>
      <c r="E874" s="5" t="s">
        <v>44</v>
      </c>
      <c r="F874" s="9">
        <v>99</v>
      </c>
      <c r="G874" s="9" t="s">
        <v>222</v>
      </c>
      <c r="H874" s="5" t="s">
        <v>21</v>
      </c>
      <c r="I874" s="5" t="s">
        <v>2339</v>
      </c>
      <c r="J874" s="12" t="str">
        <f>HYPERLINK("https://www.boe.es/gazeta/dias/1802/12/07/pdfs/GMD-D-1802-99.pdf#page=5","Abrir facsímil")</f>
        <v>Abrir facsímil</v>
      </c>
      <c r="K874" s="15" t="s">
        <v>23</v>
      </c>
    </row>
    <row r="875" spans="1:11" ht="42" customHeight="1">
      <c r="A875" s="4" t="s">
        <v>2340</v>
      </c>
      <c r="B875" s="5" t="s">
        <v>2341</v>
      </c>
      <c r="C875" s="5" t="s">
        <v>29</v>
      </c>
      <c r="D875" s="5" t="s">
        <v>30</v>
      </c>
      <c r="E875" s="5" t="s">
        <v>299</v>
      </c>
      <c r="F875" s="9">
        <v>19</v>
      </c>
      <c r="G875" s="9">
        <v>210</v>
      </c>
      <c r="H875" s="5" t="s">
        <v>21</v>
      </c>
      <c r="I875" s="5" t="s">
        <v>2342</v>
      </c>
      <c r="J875" s="12" t="str">
        <f>HYPERLINK("https://www.boe.es/gazeta/dias/1802/03/05/pdfs/GMD-1802-19.pdf#page=10","Abrir facsímil")</f>
        <v>Abrir facsímil</v>
      </c>
      <c r="K875" s="15" t="s">
        <v>23</v>
      </c>
    </row>
    <row r="876" spans="1:11" ht="42" customHeight="1">
      <c r="A876" s="4" t="s">
        <v>2343</v>
      </c>
      <c r="B876" s="5" t="s">
        <v>2343</v>
      </c>
      <c r="C876" s="5" t="s">
        <v>42</v>
      </c>
      <c r="D876" s="5" t="s">
        <v>43</v>
      </c>
      <c r="E876" s="5" t="s">
        <v>44</v>
      </c>
      <c r="F876" s="9">
        <v>99</v>
      </c>
      <c r="G876" s="9" t="s">
        <v>272</v>
      </c>
      <c r="H876" s="5" t="s">
        <v>21</v>
      </c>
      <c r="I876" s="5" t="s">
        <v>2344</v>
      </c>
      <c r="J876" s="12" t="str">
        <f>HYPERLINK("https://www.boe.es/gazeta/dias/1802/12/07/pdfs/GMD-D-1802-99.pdf#page=3","Abrir facsímil")</f>
        <v>Abrir facsímil</v>
      </c>
      <c r="K876" s="15" t="s">
        <v>23</v>
      </c>
    </row>
    <row r="877" spans="1:11" ht="42" customHeight="1">
      <c r="A877" s="4" t="s">
        <v>2345</v>
      </c>
      <c r="B877" s="5" t="s">
        <v>2346</v>
      </c>
      <c r="C877" s="5" t="s">
        <v>18</v>
      </c>
      <c r="D877" s="5" t="s">
        <v>19</v>
      </c>
      <c r="E877" s="5" t="s">
        <v>49</v>
      </c>
      <c r="F877" s="9">
        <v>83</v>
      </c>
      <c r="G877" s="9">
        <v>1023</v>
      </c>
      <c r="H877" s="5" t="s">
        <v>21</v>
      </c>
      <c r="I877" s="5" t="s">
        <v>2347</v>
      </c>
      <c r="J877" s="12" t="str">
        <f>HYPERLINK("https://www.boe.es/gazeta/dias/1802/10/12/pdfs/GMD-1802-83.pdf#page=11","Abrir facsímil")</f>
        <v>Abrir facsímil</v>
      </c>
      <c r="K877" s="15" t="s">
        <v>23</v>
      </c>
    </row>
    <row r="878" spans="1:11" ht="42" customHeight="1">
      <c r="A878" s="4" t="s">
        <v>2348</v>
      </c>
      <c r="B878" s="5" t="s">
        <v>2349</v>
      </c>
      <c r="C878" s="5" t="s">
        <v>18</v>
      </c>
      <c r="D878" s="5" t="s">
        <v>19</v>
      </c>
      <c r="E878" s="5" t="s">
        <v>635</v>
      </c>
      <c r="F878" s="9">
        <v>47</v>
      </c>
      <c r="G878" s="9">
        <v>573</v>
      </c>
      <c r="H878" s="5" t="s">
        <v>21</v>
      </c>
      <c r="I878" s="5" t="s">
        <v>2350</v>
      </c>
      <c r="J878" s="12" t="str">
        <f>HYPERLINK("https://www.boe.es/gazeta/dias/1802/06/11/pdfs/GMD-1802-47.pdf#page=9","Abrir facsímil")</f>
        <v>Abrir facsímil</v>
      </c>
      <c r="K878" s="15" t="s">
        <v>23</v>
      </c>
    </row>
    <row r="879" spans="1:11" ht="42" customHeight="1">
      <c r="A879" s="4" t="s">
        <v>2351</v>
      </c>
      <c r="B879" s="5" t="s">
        <v>2352</v>
      </c>
      <c r="C879" s="5" t="s">
        <v>18</v>
      </c>
      <c r="D879" s="5" t="s">
        <v>19</v>
      </c>
      <c r="E879" s="5" t="s">
        <v>49</v>
      </c>
      <c r="F879" s="9">
        <v>83</v>
      </c>
      <c r="G879" s="9">
        <v>1024</v>
      </c>
      <c r="H879" s="5" t="s">
        <v>21</v>
      </c>
      <c r="I879" s="5" t="s">
        <v>2353</v>
      </c>
      <c r="J879" s="12" t="str">
        <f>HYPERLINK("https://www.boe.es/gazeta/dias/1802/10/12/pdfs/GMD-1802-83.pdf#page=12","Abrir facsímil")</f>
        <v>Abrir facsímil</v>
      </c>
      <c r="K879" s="15" t="s">
        <v>23</v>
      </c>
    </row>
    <row r="880" spans="1:11" ht="42" customHeight="1">
      <c r="A880" s="4" t="s">
        <v>2354</v>
      </c>
      <c r="B880" s="5" t="s">
        <v>2355</v>
      </c>
      <c r="C880" s="5" t="s">
        <v>18</v>
      </c>
      <c r="D880" s="5" t="s">
        <v>19</v>
      </c>
      <c r="E880" s="5" t="s">
        <v>20</v>
      </c>
      <c r="F880" s="9">
        <v>84</v>
      </c>
      <c r="G880" s="9">
        <v>1046</v>
      </c>
      <c r="H880" s="5" t="s">
        <v>21</v>
      </c>
      <c r="I880" s="5" t="s">
        <v>2356</v>
      </c>
      <c r="J880" s="12" t="str">
        <f>HYPERLINK("https://www.boe.es/gazeta/dias/1802/10/15/pdfs/GMD-1802-84.pdf#page=14","Abrir facsímil")</f>
        <v>Abrir facsímil</v>
      </c>
      <c r="K880" s="15" t="s">
        <v>23</v>
      </c>
    </row>
    <row r="881" spans="1:11" ht="42" customHeight="1">
      <c r="A881" s="4" t="s">
        <v>2357</v>
      </c>
      <c r="B881" s="5" t="s">
        <v>2357</v>
      </c>
      <c r="C881" s="5" t="s">
        <v>35</v>
      </c>
      <c r="D881" s="5" t="s">
        <v>36</v>
      </c>
      <c r="E881" s="5" t="s">
        <v>109</v>
      </c>
      <c r="F881" s="9">
        <v>10</v>
      </c>
      <c r="G881" s="9">
        <v>96</v>
      </c>
      <c r="H881" s="5" t="s">
        <v>21</v>
      </c>
      <c r="I881" s="5" t="s">
        <v>2358</v>
      </c>
      <c r="J881" s="12" t="str">
        <f>HYPERLINK("https://www.boe.es/gazeta/dias/1802/02/02/pdfs/GMD-1802-10.pdf#page=4","Abrir facsímil")</f>
        <v>Abrir facsímil</v>
      </c>
      <c r="K881" s="15" t="s">
        <v>23</v>
      </c>
    </row>
    <row r="882" spans="1:11" ht="42" customHeight="1">
      <c r="A882" s="4" t="s">
        <v>2357</v>
      </c>
      <c r="B882" s="5" t="s">
        <v>2357</v>
      </c>
      <c r="C882" s="5" t="s">
        <v>18</v>
      </c>
      <c r="D882" s="5" t="s">
        <v>19</v>
      </c>
      <c r="E882" s="5" t="s">
        <v>1749</v>
      </c>
      <c r="F882" s="9">
        <v>60</v>
      </c>
      <c r="G882" s="9">
        <v>724</v>
      </c>
      <c r="H882" s="5" t="s">
        <v>21</v>
      </c>
      <c r="I882" s="5" t="s">
        <v>2359</v>
      </c>
      <c r="J882" s="12" t="str">
        <f>HYPERLINK("https://www.boe.es/gazeta/dias/1802/07/23/pdfs/GMD-1802-60.pdf#page=8","Abrir facsímil")</f>
        <v>Abrir facsímil</v>
      </c>
      <c r="K882" s="15" t="s">
        <v>23</v>
      </c>
    </row>
    <row r="883" spans="1:11" ht="42" customHeight="1">
      <c r="A883" s="4" t="s">
        <v>2360</v>
      </c>
      <c r="B883" s="5" t="s">
        <v>2360</v>
      </c>
      <c r="C883" s="5" t="s">
        <v>29</v>
      </c>
      <c r="D883" s="5" t="s">
        <v>30</v>
      </c>
      <c r="E883" s="5" t="s">
        <v>188</v>
      </c>
      <c r="F883" s="9">
        <v>49</v>
      </c>
      <c r="G883" s="9">
        <v>592</v>
      </c>
      <c r="H883" s="5" t="s">
        <v>21</v>
      </c>
      <c r="I883" s="5" t="s">
        <v>2361</v>
      </c>
      <c r="J883" s="12" t="str">
        <f>HYPERLINK("https://www.boe.es/gazeta/dias/1802/06/18/pdfs/GMD-1802-49.pdf#page=4","Abrir facsímil")</f>
        <v>Abrir facsímil</v>
      </c>
      <c r="K883" s="15" t="s">
        <v>23</v>
      </c>
    </row>
    <row r="884" spans="1:11" ht="42" customHeight="1">
      <c r="A884" s="4" t="s">
        <v>2362</v>
      </c>
      <c r="B884" s="5" t="s">
        <v>2363</v>
      </c>
      <c r="C884" s="5" t="s">
        <v>18</v>
      </c>
      <c r="D884" s="5" t="s">
        <v>19</v>
      </c>
      <c r="E884" s="5" t="s">
        <v>49</v>
      </c>
      <c r="F884" s="9">
        <v>83</v>
      </c>
      <c r="G884" s="9">
        <v>1025</v>
      </c>
      <c r="H884" s="5" t="s">
        <v>21</v>
      </c>
      <c r="I884" s="5" t="s">
        <v>2364</v>
      </c>
      <c r="J884" s="12" t="str">
        <f>HYPERLINK("https://www.boe.es/gazeta/dias/1802/10/12/pdfs/GMD-1802-83.pdf#page=13","Abrir facsímil")</f>
        <v>Abrir facsímil</v>
      </c>
      <c r="K884" s="15" t="s">
        <v>23</v>
      </c>
    </row>
    <row r="885" spans="1:11" ht="42" customHeight="1">
      <c r="A885" s="4" t="s">
        <v>2365</v>
      </c>
      <c r="B885" s="5" t="s">
        <v>2366</v>
      </c>
      <c r="C885" s="5" t="s">
        <v>55</v>
      </c>
      <c r="D885" s="5" t="s">
        <v>56</v>
      </c>
      <c r="E885" s="5" t="s">
        <v>1829</v>
      </c>
      <c r="F885" s="9">
        <v>32</v>
      </c>
      <c r="G885" s="9">
        <v>380</v>
      </c>
      <c r="H885" s="5" t="s">
        <v>21</v>
      </c>
      <c r="I885" s="5" t="s">
        <v>2367</v>
      </c>
      <c r="J885" s="12" t="str">
        <f>HYPERLINK("https://www.boe.es/gazeta/dias/1802/04/20/pdfs/GMD-1802-32.pdf#page=12","Abrir facsímil")</f>
        <v>Abrir facsímil</v>
      </c>
      <c r="K885" s="15" t="s">
        <v>23</v>
      </c>
    </row>
    <row r="886" spans="1:11" ht="42" customHeight="1">
      <c r="A886" s="4" t="s">
        <v>2368</v>
      </c>
      <c r="B886" s="5" t="s">
        <v>2369</v>
      </c>
      <c r="C886" s="5" t="s">
        <v>18</v>
      </c>
      <c r="D886" s="5" t="s">
        <v>19</v>
      </c>
      <c r="E886" s="5" t="s">
        <v>20</v>
      </c>
      <c r="F886" s="9">
        <v>84</v>
      </c>
      <c r="G886" s="9">
        <v>1043</v>
      </c>
      <c r="H886" s="5" t="s">
        <v>21</v>
      </c>
      <c r="I886" s="5" t="s">
        <v>2370</v>
      </c>
      <c r="J886" s="12" t="str">
        <f>HYPERLINK("https://www.boe.es/gazeta/dias/1802/10/15/pdfs/GMD-1802-84.pdf#page=11","Abrir facsímil")</f>
        <v>Abrir facsímil</v>
      </c>
      <c r="K886" s="15" t="s">
        <v>23</v>
      </c>
    </row>
    <row r="887" spans="1:11" ht="42" customHeight="1">
      <c r="A887" s="4" t="s">
        <v>2371</v>
      </c>
      <c r="B887" s="5" t="s">
        <v>2372</v>
      </c>
      <c r="C887" s="5" t="s">
        <v>160</v>
      </c>
      <c r="D887" s="5" t="s">
        <v>91</v>
      </c>
      <c r="E887" s="5" t="s">
        <v>60</v>
      </c>
      <c r="F887" s="9">
        <v>5</v>
      </c>
      <c r="G887" s="9">
        <v>51</v>
      </c>
      <c r="H887" s="5" t="s">
        <v>21</v>
      </c>
      <c r="I887" s="5" t="s">
        <v>2373</v>
      </c>
      <c r="J887" s="12" t="str">
        <f>HYPERLINK("https://www.boe.es/gazeta/dias/1802/01/15/pdfs/GMD-1802-5.pdf#page=7","Abrir facsímil")</f>
        <v>Abrir facsímil</v>
      </c>
      <c r="K887" s="15" t="s">
        <v>23</v>
      </c>
    </row>
    <row r="888" spans="1:11" ht="42" customHeight="1">
      <c r="A888" s="4" t="s">
        <v>2374</v>
      </c>
      <c r="B888" s="5" t="s">
        <v>2374</v>
      </c>
      <c r="C888" s="5" t="s">
        <v>29</v>
      </c>
      <c r="D888" s="5" t="s">
        <v>30</v>
      </c>
      <c r="E888" s="5" t="s">
        <v>1332</v>
      </c>
      <c r="F888" s="9">
        <v>4</v>
      </c>
      <c r="G888" s="9">
        <v>36</v>
      </c>
      <c r="H888" s="5" t="s">
        <v>21</v>
      </c>
      <c r="I888" s="5" t="s">
        <v>2375</v>
      </c>
      <c r="J888" s="12" t="str">
        <f>HYPERLINK("https://www.boe.es/gazeta/dias/1802/01/12/pdfs/GMD-1802-4.pdf#page=8","Abrir facsímil")</f>
        <v>Abrir facsímil</v>
      </c>
      <c r="K888" s="15" t="s">
        <v>23</v>
      </c>
    </row>
    <row r="889" spans="1:11" ht="42" customHeight="1">
      <c r="A889" s="4" t="s">
        <v>2376</v>
      </c>
      <c r="B889" s="5" t="s">
        <v>2377</v>
      </c>
      <c r="C889" s="5" t="s">
        <v>18</v>
      </c>
      <c r="D889" s="5" t="s">
        <v>19</v>
      </c>
      <c r="E889" s="5" t="s">
        <v>20</v>
      </c>
      <c r="F889" s="9">
        <v>84</v>
      </c>
      <c r="G889" s="9">
        <v>1042</v>
      </c>
      <c r="H889" s="5" t="s">
        <v>21</v>
      </c>
      <c r="I889" s="5" t="s">
        <v>2378</v>
      </c>
      <c r="J889" s="12" t="str">
        <f>HYPERLINK("https://www.boe.es/gazeta/dias/1802/10/15/pdfs/GMD-1802-84.pdf#page=10","Abrir facsímil")</f>
        <v>Abrir facsímil</v>
      </c>
      <c r="K889" s="15" t="s">
        <v>23</v>
      </c>
    </row>
    <row r="890" spans="1:11" ht="42" customHeight="1">
      <c r="A890" s="4" t="s">
        <v>2379</v>
      </c>
      <c r="B890" s="5" t="s">
        <v>2380</v>
      </c>
      <c r="C890" s="5" t="s">
        <v>90</v>
      </c>
      <c r="D890" s="5" t="s">
        <v>91</v>
      </c>
      <c r="E890" s="5" t="s">
        <v>1264</v>
      </c>
      <c r="F890" s="9">
        <v>105</v>
      </c>
      <c r="G890" s="9">
        <v>1286</v>
      </c>
      <c r="H890" s="5" t="s">
        <v>21</v>
      </c>
      <c r="I890" s="5" t="s">
        <v>2381</v>
      </c>
      <c r="J890" s="12" t="str">
        <f>HYPERLINK("https://www.boe.es/gazeta/dias/1802/12/28/pdfs/GMD-1802-105.pdf#page=10","Abrir facsímil")</f>
        <v>Abrir facsímil</v>
      </c>
      <c r="K890" s="15" t="s">
        <v>23</v>
      </c>
    </row>
    <row r="891" spans="1:11" ht="42" customHeight="1">
      <c r="A891" s="4" t="s">
        <v>2382</v>
      </c>
      <c r="B891" s="5" t="s">
        <v>2383</v>
      </c>
      <c r="C891" s="5" t="s">
        <v>55</v>
      </c>
      <c r="D891" s="5" t="s">
        <v>56</v>
      </c>
      <c r="E891" s="5" t="s">
        <v>49</v>
      </c>
      <c r="F891" s="9">
        <v>83</v>
      </c>
      <c r="G891" s="9">
        <v>1021</v>
      </c>
      <c r="H891" s="5" t="s">
        <v>21</v>
      </c>
      <c r="I891" s="5" t="s">
        <v>2384</v>
      </c>
      <c r="J891" s="12" t="str">
        <f>HYPERLINK("https://www.boe.es/gazeta/dias/1802/10/12/pdfs/GMD-1802-83.pdf#page=9","Abrir facsímil")</f>
        <v>Abrir facsímil</v>
      </c>
      <c r="K891" s="15" t="s">
        <v>23</v>
      </c>
    </row>
    <row r="892" spans="1:11" ht="42" customHeight="1">
      <c r="A892" s="4" t="s">
        <v>2385</v>
      </c>
      <c r="B892" s="5" t="s">
        <v>2386</v>
      </c>
      <c r="C892" s="5" t="s">
        <v>90</v>
      </c>
      <c r="D892" s="5" t="s">
        <v>91</v>
      </c>
      <c r="E892" s="5" t="s">
        <v>481</v>
      </c>
      <c r="F892" s="9">
        <v>79</v>
      </c>
      <c r="G892" s="9">
        <v>974</v>
      </c>
      <c r="H892" s="5" t="s">
        <v>21</v>
      </c>
      <c r="I892" s="5" t="s">
        <v>2387</v>
      </c>
      <c r="J892" s="12" t="str">
        <f>HYPERLINK("https://www.boe.es/gazeta/dias/1802/09/28/pdfs/GMD-1802-79.pdf#page=10","Abrir facsímil")</f>
        <v>Abrir facsímil</v>
      </c>
      <c r="K892" s="15" t="s">
        <v>23</v>
      </c>
    </row>
    <row r="893" spans="1:11" ht="42" customHeight="1">
      <c r="A893" s="4" t="s">
        <v>2388</v>
      </c>
      <c r="B893" s="5" t="s">
        <v>2389</v>
      </c>
      <c r="C893" s="5" t="s">
        <v>29</v>
      </c>
      <c r="D893" s="5" t="s">
        <v>30</v>
      </c>
      <c r="E893" s="5" t="s">
        <v>49</v>
      </c>
      <c r="F893" s="9">
        <v>83</v>
      </c>
      <c r="G893" s="9">
        <v>1020</v>
      </c>
      <c r="H893" s="5" t="s">
        <v>21</v>
      </c>
      <c r="I893" s="5" t="s">
        <v>2390</v>
      </c>
      <c r="J893" s="12" t="str">
        <f>HYPERLINK("https://www.boe.es/gazeta/dias/1802/10/12/pdfs/GMD-1802-83.pdf#page=8","Abrir facsímil")</f>
        <v>Abrir facsímil</v>
      </c>
      <c r="K893" s="15" t="s">
        <v>23</v>
      </c>
    </row>
    <row r="894" spans="1:11" ht="42" customHeight="1">
      <c r="A894" s="4" t="s">
        <v>2391</v>
      </c>
      <c r="B894" s="5" t="s">
        <v>2392</v>
      </c>
      <c r="C894" s="5" t="s">
        <v>29</v>
      </c>
      <c r="D894" s="5" t="s">
        <v>30</v>
      </c>
      <c r="E894" s="5" t="s">
        <v>71</v>
      </c>
      <c r="F894" s="9">
        <v>21</v>
      </c>
      <c r="G894" s="9">
        <v>234</v>
      </c>
      <c r="H894" s="5" t="s">
        <v>21</v>
      </c>
      <c r="I894" s="5" t="s">
        <v>2393</v>
      </c>
      <c r="J894" s="12" t="str">
        <f>HYPERLINK("https://www.boe.es/gazeta/dias/1802/03/12/pdfs/GMD-1802-21.pdf#page=10","Abrir facsímil")</f>
        <v>Abrir facsímil</v>
      </c>
      <c r="K894" s="15" t="s">
        <v>23</v>
      </c>
    </row>
    <row r="895" spans="1:11" ht="42" customHeight="1">
      <c r="A895" s="4" t="s">
        <v>2391</v>
      </c>
      <c r="B895" s="5" t="s">
        <v>2392</v>
      </c>
      <c r="C895" s="5" t="s">
        <v>29</v>
      </c>
      <c r="D895" s="5" t="s">
        <v>30</v>
      </c>
      <c r="E895" s="5" t="s">
        <v>20</v>
      </c>
      <c r="F895" s="9">
        <v>84</v>
      </c>
      <c r="G895" s="9">
        <v>1040</v>
      </c>
      <c r="H895" s="5" t="s">
        <v>21</v>
      </c>
      <c r="I895" s="5" t="s">
        <v>2394</v>
      </c>
      <c r="J895" s="12" t="str">
        <f>HYPERLINK("https://www.boe.es/gazeta/dias/1802/10/15/pdfs/GMD-1802-84.pdf#page=8","Abrir facsímil")</f>
        <v>Abrir facsímil</v>
      </c>
      <c r="K895" s="15" t="s">
        <v>23</v>
      </c>
    </row>
    <row r="896" spans="1:11" ht="42" customHeight="1">
      <c r="A896" s="4" t="s">
        <v>2395</v>
      </c>
      <c r="B896" s="5" t="s">
        <v>2396</v>
      </c>
      <c r="C896" s="5" t="s">
        <v>29</v>
      </c>
      <c r="D896" s="5" t="s">
        <v>30</v>
      </c>
      <c r="E896" s="5" t="s">
        <v>1381</v>
      </c>
      <c r="F896" s="9">
        <v>17</v>
      </c>
      <c r="G896" s="9">
        <v>185</v>
      </c>
      <c r="H896" s="5" t="s">
        <v>21</v>
      </c>
      <c r="I896" s="5" t="s">
        <v>2397</v>
      </c>
      <c r="J896" s="12" t="str">
        <f>HYPERLINK("https://www.boe.es/gazeta/dias/1802/02/26/pdfs/GMD-1802-17.pdf#page=9","Abrir facsímil")</f>
        <v>Abrir facsímil</v>
      </c>
      <c r="K896" s="15" t="s">
        <v>23</v>
      </c>
    </row>
    <row r="897" spans="1:11" ht="42" customHeight="1">
      <c r="A897" s="4" t="s">
        <v>2398</v>
      </c>
      <c r="B897" s="5" t="s">
        <v>2399</v>
      </c>
      <c r="C897" s="5" t="s">
        <v>42</v>
      </c>
      <c r="D897" s="5" t="s">
        <v>43</v>
      </c>
      <c r="E897" s="5" t="s">
        <v>44</v>
      </c>
      <c r="F897" s="9">
        <v>99</v>
      </c>
      <c r="G897" s="9" t="s">
        <v>548</v>
      </c>
      <c r="H897" s="5" t="s">
        <v>21</v>
      </c>
      <c r="I897" s="5" t="s">
        <v>2400</v>
      </c>
      <c r="J897" s="12" t="str">
        <f>HYPERLINK("https://www.boe.es/gazeta/dias/1802/12/07/pdfs/GMD-D-1802-99.pdf#page=12","Abrir facsímil")</f>
        <v>Abrir facsímil</v>
      </c>
      <c r="K897" s="15" t="s">
        <v>23</v>
      </c>
    </row>
    <row r="898" spans="1:11" ht="42" customHeight="1">
      <c r="A898" s="4" t="s">
        <v>2401</v>
      </c>
      <c r="B898" s="5" t="s">
        <v>2402</v>
      </c>
      <c r="C898" s="5" t="s">
        <v>29</v>
      </c>
      <c r="D898" s="5" t="s">
        <v>30</v>
      </c>
      <c r="E898" s="5" t="s">
        <v>86</v>
      </c>
      <c r="F898" s="9">
        <v>26</v>
      </c>
      <c r="G898" s="9">
        <v>298</v>
      </c>
      <c r="H898" s="5" t="s">
        <v>21</v>
      </c>
      <c r="I898" s="5" t="s">
        <v>2403</v>
      </c>
      <c r="J898" s="12" t="str">
        <f>HYPERLINK("https://www.boe.es/gazeta/dias/1802/03/30/pdfs/GMD-1802-26.pdf#page=10","Abrir facsímil")</f>
        <v>Abrir facsímil</v>
      </c>
      <c r="K898" s="15" t="s">
        <v>23</v>
      </c>
    </row>
    <row r="899" spans="1:11" ht="42" customHeight="1">
      <c r="A899" s="4" t="s">
        <v>2404</v>
      </c>
      <c r="B899" s="5" t="s">
        <v>2405</v>
      </c>
      <c r="C899" s="5" t="s">
        <v>35</v>
      </c>
      <c r="D899" s="5" t="s">
        <v>36</v>
      </c>
      <c r="E899" s="5" t="s">
        <v>247</v>
      </c>
      <c r="F899" s="9">
        <v>14</v>
      </c>
      <c r="G899" s="9">
        <v>143</v>
      </c>
      <c r="H899" s="5" t="s">
        <v>21</v>
      </c>
      <c r="I899" s="5" t="s">
        <v>2406</v>
      </c>
      <c r="J899" s="12" t="str">
        <f>HYPERLINK("https://www.boe.es/gazeta/dias/1802/02/16/pdfs/GMD-1802-14.pdf#page=7","Abrir facsímil")</f>
        <v>Abrir facsímil</v>
      </c>
      <c r="K899" s="15" t="s">
        <v>23</v>
      </c>
    </row>
    <row r="900" spans="1:11" ht="42" customHeight="1">
      <c r="A900" s="4" t="s">
        <v>2407</v>
      </c>
      <c r="B900" s="5" t="s">
        <v>2407</v>
      </c>
      <c r="C900" s="5" t="s">
        <v>29</v>
      </c>
      <c r="D900" s="5" t="s">
        <v>30</v>
      </c>
      <c r="E900" s="5" t="s">
        <v>670</v>
      </c>
      <c r="F900" s="9">
        <v>40</v>
      </c>
      <c r="G900" s="9">
        <v>481</v>
      </c>
      <c r="H900" s="5" t="s">
        <v>21</v>
      </c>
      <c r="I900" s="5" t="s">
        <v>2408</v>
      </c>
      <c r="J900" s="12" t="str">
        <f>HYPERLINK("https://www.boe.es/gazeta/dias/1802/05/18/pdfs/GMD-1802-40.pdf#page=9","Abrir facsímil")</f>
        <v>Abrir facsímil</v>
      </c>
      <c r="K900" s="15" t="s">
        <v>23</v>
      </c>
    </row>
    <row r="901" spans="1:11" ht="42" customHeight="1">
      <c r="A901" s="4" t="s">
        <v>2409</v>
      </c>
      <c r="B901" s="5" t="s">
        <v>2410</v>
      </c>
      <c r="C901" s="5" t="s">
        <v>35</v>
      </c>
      <c r="D901" s="5" t="s">
        <v>36</v>
      </c>
      <c r="E901" s="5" t="s">
        <v>146</v>
      </c>
      <c r="F901" s="9">
        <v>42</v>
      </c>
      <c r="G901" s="9">
        <v>503</v>
      </c>
      <c r="H901" s="5" t="s">
        <v>21</v>
      </c>
      <c r="I901" s="5" t="s">
        <v>2411</v>
      </c>
      <c r="J901" s="12" t="str">
        <f>HYPERLINK("https://www.boe.es/gazeta/dias/1802/05/25/pdfs/GMD-1802-42.pdf#page=7","Abrir facsímil")</f>
        <v>Abrir facsímil</v>
      </c>
      <c r="K901" s="15" t="s">
        <v>23</v>
      </c>
    </row>
    <row r="902" spans="1:11" ht="42" customHeight="1">
      <c r="A902" s="4" t="s">
        <v>2412</v>
      </c>
      <c r="B902" s="5" t="s">
        <v>2413</v>
      </c>
      <c r="C902" s="5" t="s">
        <v>35</v>
      </c>
      <c r="D902" s="5" t="s">
        <v>36</v>
      </c>
      <c r="E902" s="5" t="s">
        <v>823</v>
      </c>
      <c r="F902" s="9">
        <v>94</v>
      </c>
      <c r="G902" s="9">
        <v>1163</v>
      </c>
      <c r="H902" s="5" t="s">
        <v>21</v>
      </c>
      <c r="I902" s="5" t="s">
        <v>2414</v>
      </c>
      <c r="J902" s="12" t="str">
        <f>HYPERLINK("https://www.boe.es/gazeta/dias/1802/11/19/pdfs/GMD-1802-94.pdf#page=11","Abrir facsímil")</f>
        <v>Abrir facsímil</v>
      </c>
      <c r="K902" s="15" t="s">
        <v>23</v>
      </c>
    </row>
    <row r="903" spans="1:11" ht="42" customHeight="1">
      <c r="A903" s="4" t="s">
        <v>2415</v>
      </c>
      <c r="B903" s="5" t="s">
        <v>2416</v>
      </c>
      <c r="C903" s="5" t="s">
        <v>2417</v>
      </c>
      <c r="D903" s="5" t="s">
        <v>2418</v>
      </c>
      <c r="E903" s="5" t="s">
        <v>206</v>
      </c>
      <c r="F903" s="9">
        <v>22</v>
      </c>
      <c r="G903" s="9">
        <v>246</v>
      </c>
      <c r="H903" s="5" t="s">
        <v>21</v>
      </c>
      <c r="I903" s="5" t="s">
        <v>2419</v>
      </c>
      <c r="J903" s="12" t="str">
        <f>HYPERLINK("https://www.boe.es/gazeta/dias/1802/03/16/pdfs/GMD-C-1802-22.pdf#page=2","Abrir facsímil")</f>
        <v>Abrir facsímil</v>
      </c>
      <c r="K903" s="15" t="s">
        <v>23</v>
      </c>
    </row>
    <row r="904" spans="1:11" ht="42" customHeight="1">
      <c r="A904" s="4" t="s">
        <v>2415</v>
      </c>
      <c r="B904" s="5" t="s">
        <v>2416</v>
      </c>
      <c r="C904" s="5" t="s">
        <v>18</v>
      </c>
      <c r="D904" s="5" t="s">
        <v>19</v>
      </c>
      <c r="E904" s="5" t="s">
        <v>167</v>
      </c>
      <c r="F904" s="9">
        <v>23</v>
      </c>
      <c r="G904" s="9">
        <v>260</v>
      </c>
      <c r="H904" s="5" t="s">
        <v>21</v>
      </c>
      <c r="I904" s="5" t="s">
        <v>2420</v>
      </c>
      <c r="J904" s="12" t="str">
        <f>HYPERLINK("https://www.boe.es/gazeta/dias/1802/03/19/pdfs/GMD-1802-23.pdf#page=8","Abrir facsímil")</f>
        <v>Abrir facsímil</v>
      </c>
      <c r="K904" s="15" t="s">
        <v>23</v>
      </c>
    </row>
    <row r="905" spans="1:11" ht="42" customHeight="1">
      <c r="A905" s="4" t="s">
        <v>2415</v>
      </c>
      <c r="B905" s="5" t="s">
        <v>2416</v>
      </c>
      <c r="C905" s="5" t="s">
        <v>18</v>
      </c>
      <c r="D905" s="5" t="s">
        <v>19</v>
      </c>
      <c r="E905" s="5" t="s">
        <v>332</v>
      </c>
      <c r="F905" s="9">
        <v>24</v>
      </c>
      <c r="G905" s="9">
        <v>273</v>
      </c>
      <c r="H905" s="5" t="s">
        <v>21</v>
      </c>
      <c r="I905" s="5" t="s">
        <v>2421</v>
      </c>
      <c r="J905" s="12" t="str">
        <f>HYPERLINK("https://www.boe.es/gazeta/dias/1802/03/23/pdfs/GMD-1802-24.pdf#page=9","Abrir facsímil")</f>
        <v>Abrir facsímil</v>
      </c>
      <c r="K905" s="15" t="s">
        <v>23</v>
      </c>
    </row>
    <row r="906" spans="1:11" ht="42" customHeight="1">
      <c r="A906" s="4" t="s">
        <v>2415</v>
      </c>
      <c r="B906" s="5" t="s">
        <v>2416</v>
      </c>
      <c r="C906" s="5" t="s">
        <v>18</v>
      </c>
      <c r="D906" s="5" t="s">
        <v>19</v>
      </c>
      <c r="E906" s="5" t="s">
        <v>1749</v>
      </c>
      <c r="F906" s="9">
        <v>60</v>
      </c>
      <c r="G906" s="9">
        <v>730</v>
      </c>
      <c r="H906" s="5" t="s">
        <v>21</v>
      </c>
      <c r="I906" s="5" t="s">
        <v>2422</v>
      </c>
      <c r="J906" s="12" t="str">
        <f>HYPERLINK("https://www.boe.es/gazeta/dias/1802/07/23/pdfs/GMD-1802-60.pdf#page=14","Abrir facsímil")</f>
        <v>Abrir facsímil</v>
      </c>
      <c r="K906" s="15" t="s">
        <v>23</v>
      </c>
    </row>
    <row r="907" spans="1:11" ht="42" customHeight="1">
      <c r="A907" s="4" t="s">
        <v>2415</v>
      </c>
      <c r="B907" s="5" t="s">
        <v>2416</v>
      </c>
      <c r="C907" s="5" t="s">
        <v>18</v>
      </c>
      <c r="D907" s="5" t="s">
        <v>19</v>
      </c>
      <c r="E907" s="5" t="s">
        <v>517</v>
      </c>
      <c r="F907" s="9">
        <v>61</v>
      </c>
      <c r="G907" s="9">
        <v>742</v>
      </c>
      <c r="H907" s="5" t="s">
        <v>21</v>
      </c>
      <c r="I907" s="5" t="s">
        <v>2423</v>
      </c>
      <c r="J907" s="12" t="str">
        <f>HYPERLINK("https://www.boe.es/gazeta/dias/1802/07/27/pdfs/GMD-1802-61.pdf#page=10","Abrir facsímil")</f>
        <v>Abrir facsímil</v>
      </c>
      <c r="K907" s="15" t="s">
        <v>23</v>
      </c>
    </row>
    <row r="908" spans="1:11" ht="42" customHeight="1">
      <c r="A908" s="4" t="s">
        <v>2415</v>
      </c>
      <c r="B908" s="5" t="s">
        <v>2416</v>
      </c>
      <c r="C908" s="5" t="s">
        <v>18</v>
      </c>
      <c r="D908" s="5" t="s">
        <v>19</v>
      </c>
      <c r="E908" s="5" t="s">
        <v>1185</v>
      </c>
      <c r="F908" s="9">
        <v>93</v>
      </c>
      <c r="G908" s="9">
        <v>1151</v>
      </c>
      <c r="H908" s="5" t="s">
        <v>21</v>
      </c>
      <c r="I908" s="5" t="s">
        <v>2424</v>
      </c>
      <c r="J908" s="12" t="str">
        <f>HYPERLINK("https://www.boe.es/gazeta/dias/1802/11/16/pdfs/GMD-1802-93.pdf#page=11","Abrir facsímil")</f>
        <v>Abrir facsímil</v>
      </c>
      <c r="K908" s="15" t="s">
        <v>23</v>
      </c>
    </row>
    <row r="909" spans="1:11" ht="42" customHeight="1">
      <c r="A909" s="4" t="s">
        <v>2425</v>
      </c>
      <c r="B909" s="5" t="s">
        <v>2426</v>
      </c>
      <c r="C909" s="5" t="s">
        <v>29</v>
      </c>
      <c r="D909" s="5" t="s">
        <v>30</v>
      </c>
      <c r="E909" s="5" t="s">
        <v>453</v>
      </c>
      <c r="F909" s="9">
        <v>52</v>
      </c>
      <c r="G909" s="9">
        <v>631</v>
      </c>
      <c r="H909" s="5" t="s">
        <v>21</v>
      </c>
      <c r="I909" s="5" t="s">
        <v>2427</v>
      </c>
      <c r="J909" s="12" t="str">
        <f>HYPERLINK("https://www.boe.es/gazeta/dias/1802/06/29/pdfs/GMD-1802-52.pdf#page=7","Abrir facsímil")</f>
        <v>Abrir facsímil</v>
      </c>
      <c r="K909" s="15" t="s">
        <v>23</v>
      </c>
    </row>
    <row r="910" spans="1:11" ht="42" customHeight="1">
      <c r="A910" s="4" t="s">
        <v>2428</v>
      </c>
      <c r="B910" s="5" t="s">
        <v>2429</v>
      </c>
      <c r="C910" s="5" t="s">
        <v>42</v>
      </c>
      <c r="D910" s="5" t="s">
        <v>43</v>
      </c>
      <c r="E910" s="5" t="s">
        <v>44</v>
      </c>
      <c r="F910" s="9">
        <v>99</v>
      </c>
      <c r="G910" s="9" t="s">
        <v>537</v>
      </c>
      <c r="H910" s="5" t="s">
        <v>21</v>
      </c>
      <c r="I910" s="5" t="s">
        <v>2430</v>
      </c>
      <c r="J910" s="12" t="str">
        <f>HYPERLINK("https://www.boe.es/gazeta/dias/1802/12/07/pdfs/GMD-D-1802-99.pdf#page=9","Abrir facsímil")</f>
        <v>Abrir facsímil</v>
      </c>
      <c r="K910" s="15" t="s">
        <v>23</v>
      </c>
    </row>
    <row r="911" spans="1:11" ht="42" customHeight="1">
      <c r="A911" s="4" t="s">
        <v>2431</v>
      </c>
      <c r="B911" s="5" t="s">
        <v>2432</v>
      </c>
      <c r="C911" s="5" t="s">
        <v>18</v>
      </c>
      <c r="D911" s="5" t="s">
        <v>19</v>
      </c>
      <c r="E911" s="5" t="s">
        <v>900</v>
      </c>
      <c r="F911" s="9">
        <v>16</v>
      </c>
      <c r="G911" s="9">
        <v>169</v>
      </c>
      <c r="H911" s="5" t="s">
        <v>21</v>
      </c>
      <c r="I911" s="5" t="s">
        <v>2433</v>
      </c>
      <c r="J911" s="12" t="str">
        <f>HYPERLINK("https://www.boe.es/gazeta/dias/1802/02/23/pdfs/GMD-1802-16.pdf#page=9","Abrir facsímil")</f>
        <v>Abrir facsímil</v>
      </c>
      <c r="K911" s="15" t="s">
        <v>23</v>
      </c>
    </row>
    <row r="912" spans="1:11" ht="42" customHeight="1">
      <c r="A912" s="4" t="s">
        <v>2434</v>
      </c>
      <c r="B912" s="5" t="s">
        <v>2435</v>
      </c>
      <c r="C912" s="5" t="s">
        <v>18</v>
      </c>
      <c r="D912" s="5" t="s">
        <v>19</v>
      </c>
      <c r="E912" s="5" t="s">
        <v>20</v>
      </c>
      <c r="F912" s="9">
        <v>84</v>
      </c>
      <c r="G912" s="9">
        <v>1043</v>
      </c>
      <c r="H912" s="5" t="s">
        <v>21</v>
      </c>
      <c r="I912" s="5" t="s">
        <v>2436</v>
      </c>
      <c r="J912" s="12" t="str">
        <f>HYPERLINK("https://www.boe.es/gazeta/dias/1802/10/15/pdfs/GMD-1802-84.pdf#page=11","Abrir facsímil")</f>
        <v>Abrir facsímil</v>
      </c>
      <c r="K912" s="15" t="s">
        <v>23</v>
      </c>
    </row>
    <row r="913" spans="1:11" ht="42" customHeight="1">
      <c r="A913" s="4" t="s">
        <v>2437</v>
      </c>
      <c r="B913" s="5" t="s">
        <v>2438</v>
      </c>
      <c r="C913" s="5" t="s">
        <v>18</v>
      </c>
      <c r="D913" s="5" t="s">
        <v>19</v>
      </c>
      <c r="E913" s="5" t="s">
        <v>20</v>
      </c>
      <c r="F913" s="9">
        <v>84</v>
      </c>
      <c r="G913" s="9">
        <v>1043</v>
      </c>
      <c r="H913" s="5" t="s">
        <v>21</v>
      </c>
      <c r="I913" s="5" t="s">
        <v>2439</v>
      </c>
      <c r="J913" s="12" t="str">
        <f>HYPERLINK("https://www.boe.es/gazeta/dias/1802/10/15/pdfs/GMD-1802-84.pdf#page=11","Abrir facsímil")</f>
        <v>Abrir facsímil</v>
      </c>
      <c r="K913" s="15" t="s">
        <v>23</v>
      </c>
    </row>
    <row r="914" spans="1:11" ht="42" customHeight="1">
      <c r="A914" s="4" t="s">
        <v>2440</v>
      </c>
      <c r="B914" s="5" t="s">
        <v>2441</v>
      </c>
      <c r="C914" s="5" t="s">
        <v>29</v>
      </c>
      <c r="D914" s="5" t="s">
        <v>30</v>
      </c>
      <c r="E914" s="5" t="s">
        <v>381</v>
      </c>
      <c r="F914" s="9">
        <v>13</v>
      </c>
      <c r="G914" s="9">
        <v>130</v>
      </c>
      <c r="H914" s="5" t="s">
        <v>21</v>
      </c>
      <c r="I914" s="5" t="s">
        <v>2442</v>
      </c>
      <c r="J914" s="12" t="str">
        <f>HYPERLINK("https://www.boe.es/gazeta/dias/1802/02/12/pdfs/GMD-1802-13.pdf#page=6","Abrir facsímil")</f>
        <v>Abrir facsímil</v>
      </c>
      <c r="K914" s="15" t="s">
        <v>23</v>
      </c>
    </row>
    <row r="915" spans="1:11" ht="42" customHeight="1">
      <c r="A915" s="4" t="s">
        <v>2443</v>
      </c>
      <c r="B915" s="5" t="s">
        <v>2444</v>
      </c>
      <c r="C915" s="5" t="s">
        <v>18</v>
      </c>
      <c r="D915" s="5" t="s">
        <v>19</v>
      </c>
      <c r="E915" s="5" t="s">
        <v>20</v>
      </c>
      <c r="F915" s="9">
        <v>84</v>
      </c>
      <c r="G915" s="9">
        <v>1047</v>
      </c>
      <c r="H915" s="5" t="s">
        <v>21</v>
      </c>
      <c r="I915" s="5" t="s">
        <v>2445</v>
      </c>
      <c r="J915" s="12" t="str">
        <f>HYPERLINK("https://www.boe.es/gazeta/dias/1802/10/15/pdfs/GMD-1802-84.pdf#page=15","Abrir facsímil")</f>
        <v>Abrir facsímil</v>
      </c>
      <c r="K915" s="15" t="s">
        <v>23</v>
      </c>
    </row>
    <row r="916" spans="1:11" ht="42" customHeight="1">
      <c r="A916" s="4" t="s">
        <v>2446</v>
      </c>
      <c r="B916" s="5" t="s">
        <v>2447</v>
      </c>
      <c r="C916" s="5" t="s">
        <v>18</v>
      </c>
      <c r="D916" s="5" t="s">
        <v>19</v>
      </c>
      <c r="E916" s="5" t="s">
        <v>49</v>
      </c>
      <c r="F916" s="9">
        <v>83</v>
      </c>
      <c r="G916" s="9">
        <v>1025</v>
      </c>
      <c r="H916" s="5" t="s">
        <v>21</v>
      </c>
      <c r="I916" s="5" t="s">
        <v>2448</v>
      </c>
      <c r="J916" s="12" t="str">
        <f>HYPERLINK("https://www.boe.es/gazeta/dias/1802/10/12/pdfs/GMD-1802-83.pdf#page=13","Abrir facsímil")</f>
        <v>Abrir facsímil</v>
      </c>
      <c r="K916" s="15" t="s">
        <v>23</v>
      </c>
    </row>
    <row r="917" spans="1:11" ht="42" customHeight="1">
      <c r="A917" s="4" t="s">
        <v>2449</v>
      </c>
      <c r="B917" s="5" t="s">
        <v>2450</v>
      </c>
      <c r="C917" s="5" t="s">
        <v>29</v>
      </c>
      <c r="D917" s="5" t="s">
        <v>30</v>
      </c>
      <c r="E917" s="5" t="s">
        <v>86</v>
      </c>
      <c r="F917" s="9">
        <v>26</v>
      </c>
      <c r="G917" s="9">
        <v>298</v>
      </c>
      <c r="H917" s="5" t="s">
        <v>21</v>
      </c>
      <c r="I917" s="5" t="s">
        <v>2451</v>
      </c>
      <c r="J917" s="12" t="str">
        <f>HYPERLINK("https://www.boe.es/gazeta/dias/1802/03/30/pdfs/GMD-1802-26.pdf#page=10","Abrir facsímil")</f>
        <v>Abrir facsímil</v>
      </c>
      <c r="K917" s="15" t="s">
        <v>23</v>
      </c>
    </row>
    <row r="918" spans="1:11" ht="42" customHeight="1">
      <c r="A918" s="4" t="s">
        <v>2452</v>
      </c>
      <c r="B918" s="5" t="s">
        <v>2453</v>
      </c>
      <c r="C918" s="5" t="s">
        <v>18</v>
      </c>
      <c r="D918" s="5" t="s">
        <v>19</v>
      </c>
      <c r="E918" s="5" t="s">
        <v>49</v>
      </c>
      <c r="F918" s="9">
        <v>83</v>
      </c>
      <c r="G918" s="9">
        <v>1024</v>
      </c>
      <c r="H918" s="5" t="s">
        <v>21</v>
      </c>
      <c r="I918" s="5" t="s">
        <v>2454</v>
      </c>
      <c r="J918" s="12" t="str">
        <f>HYPERLINK("https://www.boe.es/gazeta/dias/1802/10/12/pdfs/GMD-1802-83.pdf#page=12","Abrir facsímil")</f>
        <v>Abrir facsímil</v>
      </c>
      <c r="K918" s="15" t="s">
        <v>23</v>
      </c>
    </row>
    <row r="919" spans="1:11" ht="42" customHeight="1">
      <c r="A919" s="4" t="s">
        <v>2455</v>
      </c>
      <c r="B919" s="5" t="s">
        <v>2456</v>
      </c>
      <c r="C919" s="5" t="s">
        <v>42</v>
      </c>
      <c r="D919" s="5" t="s">
        <v>43</v>
      </c>
      <c r="E919" s="5" t="s">
        <v>44</v>
      </c>
      <c r="F919" s="9">
        <v>99</v>
      </c>
      <c r="G919" s="9" t="s">
        <v>222</v>
      </c>
      <c r="H919" s="5" t="s">
        <v>21</v>
      </c>
      <c r="I919" s="5" t="s">
        <v>2457</v>
      </c>
      <c r="J919" s="12" t="str">
        <f>HYPERLINK("https://www.boe.es/gazeta/dias/1802/12/07/pdfs/GMD-D-1802-99.pdf#page=5","Abrir facsímil")</f>
        <v>Abrir facsímil</v>
      </c>
      <c r="K919" s="15" t="s">
        <v>23</v>
      </c>
    </row>
    <row r="920" spans="1:11" ht="42" customHeight="1">
      <c r="A920" s="4" t="s">
        <v>2458</v>
      </c>
      <c r="B920" s="5" t="s">
        <v>2459</v>
      </c>
      <c r="C920" s="5" t="s">
        <v>42</v>
      </c>
      <c r="D920" s="5" t="s">
        <v>43</v>
      </c>
      <c r="E920" s="5" t="s">
        <v>44</v>
      </c>
      <c r="F920" s="9">
        <v>99</v>
      </c>
      <c r="G920" s="9" t="s">
        <v>251</v>
      </c>
      <c r="H920" s="5" t="s">
        <v>21</v>
      </c>
      <c r="I920" s="5" t="s">
        <v>2460</v>
      </c>
      <c r="J920" s="12" t="str">
        <f>HYPERLINK("https://www.boe.es/gazeta/dias/1802/12/07/pdfs/GMD-D-1802-99.pdf#page=6","Abrir facsímil")</f>
        <v>Abrir facsímil</v>
      </c>
      <c r="K920" s="15" t="s">
        <v>23</v>
      </c>
    </row>
    <row r="921" spans="1:11" ht="42" customHeight="1">
      <c r="A921" s="4" t="s">
        <v>2461</v>
      </c>
      <c r="B921" s="5" t="s">
        <v>2462</v>
      </c>
      <c r="C921" s="5" t="s">
        <v>160</v>
      </c>
      <c r="D921" s="5" t="s">
        <v>91</v>
      </c>
      <c r="E921" s="5" t="s">
        <v>481</v>
      </c>
      <c r="F921" s="9">
        <v>79</v>
      </c>
      <c r="G921" s="9">
        <v>975</v>
      </c>
      <c r="H921" s="5" t="s">
        <v>21</v>
      </c>
      <c r="I921" s="5" t="s">
        <v>2463</v>
      </c>
      <c r="J921" s="12" t="str">
        <f>HYPERLINK("https://www.boe.es/gazeta/dias/1802/09/28/pdfs/GMD-1802-79.pdf#page=11","Abrir facsímil")</f>
        <v>Abrir facsímil</v>
      </c>
      <c r="K921" s="15" t="s">
        <v>23</v>
      </c>
    </row>
    <row r="922" spans="1:11" ht="42" customHeight="1">
      <c r="A922" s="4" t="s">
        <v>2464</v>
      </c>
      <c r="B922" s="5" t="s">
        <v>2465</v>
      </c>
      <c r="C922" s="5" t="s">
        <v>18</v>
      </c>
      <c r="D922" s="5" t="s">
        <v>19</v>
      </c>
      <c r="E922" s="5" t="s">
        <v>20</v>
      </c>
      <c r="F922" s="9">
        <v>84</v>
      </c>
      <c r="G922" s="9">
        <v>1045</v>
      </c>
      <c r="H922" s="5" t="s">
        <v>21</v>
      </c>
      <c r="I922" s="5" t="s">
        <v>2466</v>
      </c>
      <c r="J922" s="12" t="str">
        <f>HYPERLINK("https://www.boe.es/gazeta/dias/1802/10/15/pdfs/GMD-1802-84.pdf#page=13","Abrir facsímil")</f>
        <v>Abrir facsímil</v>
      </c>
      <c r="K922" s="15" t="s">
        <v>23</v>
      </c>
    </row>
    <row r="923" spans="1:11" ht="42" customHeight="1">
      <c r="A923" s="4" t="s">
        <v>2467</v>
      </c>
      <c r="B923" s="5" t="s">
        <v>2468</v>
      </c>
      <c r="C923" s="5" t="s">
        <v>18</v>
      </c>
      <c r="D923" s="5" t="s">
        <v>19</v>
      </c>
      <c r="E923" s="5" t="s">
        <v>49</v>
      </c>
      <c r="F923" s="9">
        <v>83</v>
      </c>
      <c r="G923" s="9">
        <v>1024</v>
      </c>
      <c r="H923" s="5" t="s">
        <v>21</v>
      </c>
      <c r="I923" s="5" t="s">
        <v>2469</v>
      </c>
      <c r="J923" s="12" t="str">
        <f>HYPERLINK("https://www.boe.es/gazeta/dias/1802/10/12/pdfs/GMD-1802-83.pdf#page=12","Abrir facsímil")</f>
        <v>Abrir facsímil</v>
      </c>
      <c r="K923" s="15" t="s">
        <v>23</v>
      </c>
    </row>
    <row r="924" spans="1:11" ht="42" customHeight="1">
      <c r="A924" s="4" t="s">
        <v>2470</v>
      </c>
      <c r="B924" s="5" t="s">
        <v>2470</v>
      </c>
      <c r="C924" s="5" t="s">
        <v>29</v>
      </c>
      <c r="D924" s="5" t="s">
        <v>30</v>
      </c>
      <c r="E924" s="5" t="s">
        <v>611</v>
      </c>
      <c r="F924" s="9">
        <v>68</v>
      </c>
      <c r="G924" s="9">
        <v>831</v>
      </c>
      <c r="H924" s="5" t="s">
        <v>21</v>
      </c>
      <c r="I924" s="5" t="s">
        <v>2471</v>
      </c>
      <c r="J924" s="12" t="str">
        <f>HYPERLINK("https://www.boe.es/gazeta/dias/1802/08/20/pdfs/GMD-1802-68.pdf#page=7","Abrir facsímil")</f>
        <v>Abrir facsímil</v>
      </c>
      <c r="K924" s="15" t="s">
        <v>23</v>
      </c>
    </row>
    <row r="925" spans="1:11" ht="42" customHeight="1">
      <c r="A925" s="4" t="s">
        <v>2472</v>
      </c>
      <c r="B925" s="5" t="s">
        <v>2472</v>
      </c>
      <c r="C925" s="5" t="s">
        <v>18</v>
      </c>
      <c r="D925" s="5" t="s">
        <v>19</v>
      </c>
      <c r="E925" s="5" t="s">
        <v>49</v>
      </c>
      <c r="F925" s="9">
        <v>83</v>
      </c>
      <c r="G925" s="9">
        <v>1024</v>
      </c>
      <c r="H925" s="5" t="s">
        <v>21</v>
      </c>
      <c r="I925" s="5" t="s">
        <v>2473</v>
      </c>
      <c r="J925" s="12" t="str">
        <f>HYPERLINK("https://www.boe.es/gazeta/dias/1802/10/12/pdfs/GMD-1802-83.pdf#page=12","Abrir facsímil")</f>
        <v>Abrir facsímil</v>
      </c>
      <c r="K925" s="15" t="s">
        <v>23</v>
      </c>
    </row>
    <row r="926" spans="1:11" ht="42" customHeight="1">
      <c r="A926" s="4" t="s">
        <v>2474</v>
      </c>
      <c r="B926" s="5" t="s">
        <v>2475</v>
      </c>
      <c r="C926" s="5" t="s">
        <v>160</v>
      </c>
      <c r="D926" s="5" t="s">
        <v>91</v>
      </c>
      <c r="E926" s="5" t="s">
        <v>20</v>
      </c>
      <c r="F926" s="9">
        <v>84</v>
      </c>
      <c r="G926" s="9">
        <v>1042</v>
      </c>
      <c r="H926" s="5" t="s">
        <v>21</v>
      </c>
      <c r="I926" s="5" t="s">
        <v>2476</v>
      </c>
      <c r="J926" s="12" t="str">
        <f>HYPERLINK("https://www.boe.es/gazeta/dias/1802/10/15/pdfs/GMD-1802-84.pdf#page=10","Abrir facsímil")</f>
        <v>Abrir facsímil</v>
      </c>
      <c r="K926" s="15" t="s">
        <v>23</v>
      </c>
    </row>
    <row r="927" spans="1:11" ht="42" customHeight="1">
      <c r="A927" s="4" t="s">
        <v>2477</v>
      </c>
      <c r="B927" s="5" t="s">
        <v>2478</v>
      </c>
      <c r="C927" s="5" t="s">
        <v>35</v>
      </c>
      <c r="D927" s="5" t="s">
        <v>36</v>
      </c>
      <c r="E927" s="5" t="s">
        <v>131</v>
      </c>
      <c r="F927" s="9">
        <v>11</v>
      </c>
      <c r="G927" s="9">
        <v>108</v>
      </c>
      <c r="H927" s="5" t="s">
        <v>21</v>
      </c>
      <c r="I927" s="5" t="s">
        <v>2479</v>
      </c>
      <c r="J927" s="12" t="str">
        <f>HYPERLINK("https://www.boe.es/gazeta/dias/1802/02/05/pdfs/GMD-1802-11.pdf#page=4","Abrir facsímil")</f>
        <v>Abrir facsímil</v>
      </c>
      <c r="K927" s="15" t="s">
        <v>23</v>
      </c>
    </row>
    <row r="928" spans="1:11" ht="42" customHeight="1">
      <c r="A928" s="4" t="s">
        <v>2477</v>
      </c>
      <c r="B928" s="5" t="s">
        <v>2478</v>
      </c>
      <c r="C928" s="5" t="s">
        <v>35</v>
      </c>
      <c r="D928" s="5" t="s">
        <v>36</v>
      </c>
      <c r="E928" s="5" t="s">
        <v>1588</v>
      </c>
      <c r="F928" s="9">
        <v>18</v>
      </c>
      <c r="G928" s="9">
        <v>190</v>
      </c>
      <c r="H928" s="5" t="s">
        <v>21</v>
      </c>
      <c r="I928" s="5" t="s">
        <v>2480</v>
      </c>
      <c r="J928" s="12" t="str">
        <f>HYPERLINK("https://www.boe.es/gazeta/dias/1802/03/02/pdfs/GMD-1802-18.pdf#page=2","Abrir facsímil")</f>
        <v>Abrir facsímil</v>
      </c>
      <c r="K928" s="15" t="s">
        <v>23</v>
      </c>
    </row>
    <row r="929" spans="1:11" ht="42" customHeight="1">
      <c r="A929" s="4" t="s">
        <v>2477</v>
      </c>
      <c r="B929" s="5" t="s">
        <v>2478</v>
      </c>
      <c r="C929" s="5" t="s">
        <v>35</v>
      </c>
      <c r="D929" s="5" t="s">
        <v>36</v>
      </c>
      <c r="E929" s="5" t="s">
        <v>206</v>
      </c>
      <c r="F929" s="9">
        <v>22</v>
      </c>
      <c r="G929" s="9">
        <v>236</v>
      </c>
      <c r="H929" s="5" t="s">
        <v>21</v>
      </c>
      <c r="I929" s="5" t="s">
        <v>2481</v>
      </c>
      <c r="J929" s="12" t="str">
        <f>HYPERLINK("https://www.boe.es/gazeta/dias/1802/03/16/pdfs/GMD-1802-22.pdf#page=4","Abrir facsímil")</f>
        <v>Abrir facsímil</v>
      </c>
      <c r="K929" s="15" t="s">
        <v>23</v>
      </c>
    </row>
    <row r="930" spans="1:11" ht="42" customHeight="1">
      <c r="A930" s="4" t="s">
        <v>2477</v>
      </c>
      <c r="B930" s="5" t="s">
        <v>2478</v>
      </c>
      <c r="C930" s="5" t="s">
        <v>35</v>
      </c>
      <c r="D930" s="5" t="s">
        <v>36</v>
      </c>
      <c r="E930" s="5" t="s">
        <v>332</v>
      </c>
      <c r="F930" s="9">
        <v>24</v>
      </c>
      <c r="G930" s="9">
        <v>269</v>
      </c>
      <c r="H930" s="5" t="s">
        <v>21</v>
      </c>
      <c r="I930" s="5" t="s">
        <v>2482</v>
      </c>
      <c r="J930" s="12" t="str">
        <f>HYPERLINK("https://www.boe.es/gazeta/dias/1802/03/23/pdfs/GMD-1802-24.pdf#page=5","Abrir facsímil")</f>
        <v>Abrir facsímil</v>
      </c>
      <c r="K930" s="15" t="s">
        <v>23</v>
      </c>
    </row>
    <row r="931" spans="1:11" ht="42" customHeight="1">
      <c r="A931" s="4" t="s">
        <v>2477</v>
      </c>
      <c r="B931" s="5" t="s">
        <v>2478</v>
      </c>
      <c r="C931" s="5" t="s">
        <v>29</v>
      </c>
      <c r="D931" s="5" t="s">
        <v>30</v>
      </c>
      <c r="E931" s="5" t="s">
        <v>530</v>
      </c>
      <c r="F931" s="9">
        <v>48</v>
      </c>
      <c r="G931" s="9">
        <v>580</v>
      </c>
      <c r="H931" s="5" t="s">
        <v>21</v>
      </c>
      <c r="I931" s="5" t="s">
        <v>2483</v>
      </c>
      <c r="J931" s="12" t="str">
        <f>HYPERLINK("https://www.boe.es/gazeta/dias/1802/06/15/pdfs/GMD-1802-48.pdf#page=4","Abrir facsímil")</f>
        <v>Abrir facsímil</v>
      </c>
      <c r="K931" s="15" t="s">
        <v>23</v>
      </c>
    </row>
    <row r="932" spans="1:11" ht="42" customHeight="1">
      <c r="A932" s="4" t="s">
        <v>2484</v>
      </c>
      <c r="B932" s="5" t="s">
        <v>2485</v>
      </c>
      <c r="C932" s="5" t="s">
        <v>18</v>
      </c>
      <c r="D932" s="5" t="s">
        <v>19</v>
      </c>
      <c r="E932" s="5" t="s">
        <v>31</v>
      </c>
      <c r="F932" s="9">
        <v>27</v>
      </c>
      <c r="G932" s="9">
        <v>318</v>
      </c>
      <c r="H932" s="5" t="s">
        <v>21</v>
      </c>
      <c r="I932" s="5" t="s">
        <v>2486</v>
      </c>
      <c r="J932" s="12" t="str">
        <f>HYPERLINK("https://www.boe.es/gazeta/dias/1802/04/02/pdfs/GMD-1802-27.pdf#page=14","Abrir facsímil")</f>
        <v>Abrir facsímil</v>
      </c>
      <c r="K932" s="15" t="s">
        <v>23</v>
      </c>
    </row>
    <row r="933" spans="1:11" ht="42" customHeight="1">
      <c r="A933" s="4" t="s">
        <v>2487</v>
      </c>
      <c r="B933" s="5" t="s">
        <v>2488</v>
      </c>
      <c r="C933" s="5" t="s">
        <v>29</v>
      </c>
      <c r="D933" s="5" t="s">
        <v>30</v>
      </c>
      <c r="E933" s="5" t="s">
        <v>299</v>
      </c>
      <c r="F933" s="9">
        <v>19</v>
      </c>
      <c r="G933" s="9">
        <v>210</v>
      </c>
      <c r="H933" s="5" t="s">
        <v>21</v>
      </c>
      <c r="I933" s="5" t="s">
        <v>2489</v>
      </c>
      <c r="J933" s="12" t="str">
        <f>HYPERLINK("https://www.boe.es/gazeta/dias/1802/03/05/pdfs/GMD-1802-19.pdf#page=10","Abrir facsímil")</f>
        <v>Abrir facsímil</v>
      </c>
      <c r="K933" s="15" t="s">
        <v>23</v>
      </c>
    </row>
    <row r="934" spans="1:11" ht="42" customHeight="1">
      <c r="A934" s="4" t="s">
        <v>2487</v>
      </c>
      <c r="B934" s="5" t="s">
        <v>2488</v>
      </c>
      <c r="C934" s="5" t="s">
        <v>18</v>
      </c>
      <c r="D934" s="5" t="s">
        <v>19</v>
      </c>
      <c r="E934" s="5" t="s">
        <v>49</v>
      </c>
      <c r="F934" s="9">
        <v>83</v>
      </c>
      <c r="G934" s="9">
        <v>1025</v>
      </c>
      <c r="H934" s="5" t="s">
        <v>21</v>
      </c>
      <c r="I934" s="5" t="s">
        <v>2490</v>
      </c>
      <c r="J934" s="12" t="str">
        <f>HYPERLINK("https://www.boe.es/gazeta/dias/1802/10/12/pdfs/GMD-1802-83.pdf#page=13","Abrir facsímil")</f>
        <v>Abrir facsímil</v>
      </c>
      <c r="K934" s="15" t="s">
        <v>23</v>
      </c>
    </row>
    <row r="935" spans="1:11" ht="42" customHeight="1">
      <c r="A935" s="4" t="s">
        <v>2491</v>
      </c>
      <c r="B935" s="5" t="s">
        <v>2492</v>
      </c>
      <c r="C935" s="5" t="s">
        <v>29</v>
      </c>
      <c r="D935" s="5" t="s">
        <v>30</v>
      </c>
      <c r="E935" s="5" t="s">
        <v>133</v>
      </c>
      <c r="F935" s="9">
        <v>33</v>
      </c>
      <c r="G935" s="9">
        <v>387</v>
      </c>
      <c r="H935" s="5" t="s">
        <v>21</v>
      </c>
      <c r="I935" s="5" t="s">
        <v>2493</v>
      </c>
      <c r="J935" s="12" t="str">
        <f>HYPERLINK("https://www.boe.es/gazeta/dias/1802/04/23/pdfs/GMD-1802-33.pdf#page=7","Abrir facsímil")</f>
        <v>Abrir facsímil</v>
      </c>
      <c r="K935" s="15" t="s">
        <v>23</v>
      </c>
    </row>
    <row r="936" spans="1:11" ht="42" customHeight="1">
      <c r="A936" s="4" t="s">
        <v>2494</v>
      </c>
      <c r="B936" s="5" t="s">
        <v>2495</v>
      </c>
      <c r="C936" s="5" t="s">
        <v>29</v>
      </c>
      <c r="D936" s="5" t="s">
        <v>30</v>
      </c>
      <c r="E936" s="5" t="s">
        <v>181</v>
      </c>
      <c r="F936" s="9">
        <v>55</v>
      </c>
      <c r="G936" s="9">
        <v>668</v>
      </c>
      <c r="H936" s="5" t="s">
        <v>21</v>
      </c>
      <c r="I936" s="5" t="s">
        <v>2496</v>
      </c>
      <c r="J936" s="12" t="str">
        <f>HYPERLINK("https://www.boe.es/gazeta/dias/1802/07/09/pdfs/GMD-1802-55.pdf#page=12","Abrir facsímil")</f>
        <v>Abrir facsímil</v>
      </c>
      <c r="K936" s="15" t="s">
        <v>23</v>
      </c>
    </row>
    <row r="937" spans="1:11" ht="42" customHeight="1">
      <c r="A937" s="4" t="s">
        <v>2497</v>
      </c>
      <c r="B937" s="5" t="s">
        <v>2498</v>
      </c>
      <c r="C937" s="5" t="s">
        <v>29</v>
      </c>
      <c r="D937" s="5" t="s">
        <v>30</v>
      </c>
      <c r="E937" s="5" t="s">
        <v>299</v>
      </c>
      <c r="F937" s="9">
        <v>19</v>
      </c>
      <c r="G937" s="9">
        <v>211</v>
      </c>
      <c r="H937" s="5" t="s">
        <v>21</v>
      </c>
      <c r="I937" s="5" t="s">
        <v>2499</v>
      </c>
      <c r="J937" s="12" t="str">
        <f>HYPERLINK("https://www.boe.es/gazeta/dias/1802/03/05/pdfs/GMD-1802-19.pdf#page=11","Abrir facsímil")</f>
        <v>Abrir facsímil</v>
      </c>
      <c r="K937" s="15" t="s">
        <v>23</v>
      </c>
    </row>
    <row r="938" spans="1:11" ht="42" customHeight="1">
      <c r="A938" s="4" t="s">
        <v>2500</v>
      </c>
      <c r="B938" s="5" t="s">
        <v>2501</v>
      </c>
      <c r="C938" s="5" t="s">
        <v>18</v>
      </c>
      <c r="D938" s="5" t="s">
        <v>19</v>
      </c>
      <c r="E938" s="5" t="s">
        <v>49</v>
      </c>
      <c r="F938" s="9">
        <v>83</v>
      </c>
      <c r="G938" s="9">
        <v>1026</v>
      </c>
      <c r="H938" s="5" t="s">
        <v>21</v>
      </c>
      <c r="I938" s="5" t="s">
        <v>2502</v>
      </c>
      <c r="J938" s="12" t="str">
        <f>HYPERLINK("https://www.boe.es/gazeta/dias/1802/10/12/pdfs/GMD-1802-83.pdf#page=14","Abrir facsímil")</f>
        <v>Abrir facsímil</v>
      </c>
      <c r="K938" s="15" t="s">
        <v>23</v>
      </c>
    </row>
    <row r="939" spans="1:11" ht="42" customHeight="1">
      <c r="A939" s="4" t="s">
        <v>2503</v>
      </c>
      <c r="B939" s="5" t="s">
        <v>2504</v>
      </c>
      <c r="C939" s="5" t="s">
        <v>29</v>
      </c>
      <c r="D939" s="5" t="s">
        <v>30</v>
      </c>
      <c r="E939" s="5" t="s">
        <v>299</v>
      </c>
      <c r="F939" s="9">
        <v>19</v>
      </c>
      <c r="G939" s="9">
        <v>210</v>
      </c>
      <c r="H939" s="5" t="s">
        <v>21</v>
      </c>
      <c r="I939" s="5" t="s">
        <v>2505</v>
      </c>
      <c r="J939" s="12" t="str">
        <f>HYPERLINK("https://www.boe.es/gazeta/dias/1802/03/05/pdfs/GMD-1802-19.pdf#page=10","Abrir facsímil")</f>
        <v>Abrir facsímil</v>
      </c>
      <c r="K939" s="15" t="s">
        <v>23</v>
      </c>
    </row>
    <row r="940" spans="1:11" ht="42" customHeight="1">
      <c r="A940" s="4" t="s">
        <v>2506</v>
      </c>
      <c r="B940" s="5" t="s">
        <v>2507</v>
      </c>
      <c r="C940" s="5" t="s">
        <v>18</v>
      </c>
      <c r="D940" s="5" t="s">
        <v>19</v>
      </c>
      <c r="E940" s="5" t="s">
        <v>192</v>
      </c>
      <c r="F940" s="9">
        <v>53</v>
      </c>
      <c r="G940" s="9">
        <v>644</v>
      </c>
      <c r="H940" s="5" t="s">
        <v>21</v>
      </c>
      <c r="I940" s="5" t="s">
        <v>2508</v>
      </c>
      <c r="J940" s="12" t="str">
        <f>HYPERLINK("https://www.boe.es/gazeta/dias/1802/07/02/pdfs/GMD-1802-53.pdf#page=12","Abrir facsímil")</f>
        <v>Abrir facsímil</v>
      </c>
      <c r="K940" s="15" t="s">
        <v>23</v>
      </c>
    </row>
    <row r="941" spans="1:11" ht="42" customHeight="1">
      <c r="A941" s="4" t="s">
        <v>2509</v>
      </c>
      <c r="B941" s="5" t="s">
        <v>2510</v>
      </c>
      <c r="C941" s="5" t="s">
        <v>42</v>
      </c>
      <c r="D941" s="5" t="s">
        <v>43</v>
      </c>
      <c r="E941" s="5" t="s">
        <v>44</v>
      </c>
      <c r="F941" s="9">
        <v>99</v>
      </c>
      <c r="G941" s="9" t="s">
        <v>537</v>
      </c>
      <c r="H941" s="5" t="s">
        <v>21</v>
      </c>
      <c r="I941" s="5" t="s">
        <v>2511</v>
      </c>
      <c r="J941" s="12" t="str">
        <f>HYPERLINK("https://www.boe.es/gazeta/dias/1802/12/07/pdfs/GMD-D-1802-99.pdf#page=9","Abrir facsímil")</f>
        <v>Abrir facsímil</v>
      </c>
      <c r="K941" s="15" t="s">
        <v>23</v>
      </c>
    </row>
    <row r="942" spans="1:11" ht="42" customHeight="1">
      <c r="A942" s="4" t="s">
        <v>2512</v>
      </c>
      <c r="B942" s="5" t="s">
        <v>2513</v>
      </c>
      <c r="C942" s="5" t="s">
        <v>35</v>
      </c>
      <c r="D942" s="5" t="s">
        <v>36</v>
      </c>
      <c r="E942" s="5" t="s">
        <v>706</v>
      </c>
      <c r="F942" s="9">
        <v>80</v>
      </c>
      <c r="G942" s="9">
        <v>981</v>
      </c>
      <c r="H942" s="5" t="s">
        <v>21</v>
      </c>
      <c r="I942" s="5" t="s">
        <v>2514</v>
      </c>
      <c r="J942" s="12" t="str">
        <f>HYPERLINK("https://www.boe.es/gazeta/dias/1802/10/01/pdfs/GMD-1802-80.pdf#page=5","Abrir facsímil")</f>
        <v>Abrir facsímil</v>
      </c>
      <c r="K942" s="15" t="s">
        <v>23</v>
      </c>
    </row>
    <row r="943" spans="1:11" ht="42" customHeight="1">
      <c r="A943" s="4" t="s">
        <v>2512</v>
      </c>
      <c r="B943" s="5" t="s">
        <v>2513</v>
      </c>
      <c r="C943" s="5" t="s">
        <v>35</v>
      </c>
      <c r="D943" s="5" t="s">
        <v>36</v>
      </c>
      <c r="E943" s="5" t="s">
        <v>325</v>
      </c>
      <c r="F943" s="9">
        <v>90</v>
      </c>
      <c r="G943" s="9">
        <v>1112</v>
      </c>
      <c r="H943" s="5" t="s">
        <v>21</v>
      </c>
      <c r="I943" s="5" t="s">
        <v>2515</v>
      </c>
      <c r="J943" s="12" t="str">
        <f>HYPERLINK("https://www.boe.es/gazeta/dias/1802/11/05/pdfs/GMD-1802-90.pdf#page=4","Abrir facsímil")</f>
        <v>Abrir facsímil</v>
      </c>
      <c r="K943" s="15" t="s">
        <v>23</v>
      </c>
    </row>
    <row r="944" spans="1:11" ht="42" customHeight="1">
      <c r="A944" s="4" t="s">
        <v>2516</v>
      </c>
      <c r="B944" s="5" t="s">
        <v>2517</v>
      </c>
      <c r="C944" s="5" t="s">
        <v>35</v>
      </c>
      <c r="D944" s="5" t="s">
        <v>36</v>
      </c>
      <c r="E944" s="5" t="s">
        <v>31</v>
      </c>
      <c r="F944" s="9">
        <v>27</v>
      </c>
      <c r="G944" s="9">
        <v>311</v>
      </c>
      <c r="H944" s="5" t="s">
        <v>21</v>
      </c>
      <c r="I944" s="5" t="s">
        <v>2518</v>
      </c>
      <c r="J944" s="12" t="str">
        <f>HYPERLINK("https://www.boe.es/gazeta/dias/1802/04/02/pdfs/GMD-1802-27.pdf#page=7","Abrir facsímil")</f>
        <v>Abrir facsímil</v>
      </c>
      <c r="K944" s="15" t="s">
        <v>23</v>
      </c>
    </row>
    <row r="945" spans="1:11" ht="42" customHeight="1">
      <c r="A945" s="4" t="s">
        <v>2519</v>
      </c>
      <c r="B945" s="5" t="s">
        <v>2519</v>
      </c>
      <c r="C945" s="5" t="s">
        <v>18</v>
      </c>
      <c r="D945" s="5" t="s">
        <v>19</v>
      </c>
      <c r="E945" s="5" t="s">
        <v>20</v>
      </c>
      <c r="F945" s="9">
        <v>84</v>
      </c>
      <c r="G945" s="9">
        <v>1043</v>
      </c>
      <c r="H945" s="5" t="s">
        <v>21</v>
      </c>
      <c r="I945" s="5" t="s">
        <v>2520</v>
      </c>
      <c r="J945" s="12" t="str">
        <f>HYPERLINK("https://www.boe.es/gazeta/dias/1802/10/15/pdfs/GMD-1802-84.pdf#page=11","Abrir facsímil")</f>
        <v>Abrir facsímil</v>
      </c>
      <c r="K945" s="15" t="s">
        <v>23</v>
      </c>
    </row>
    <row r="946" spans="1:11" ht="42" customHeight="1">
      <c r="A946" s="4" t="s">
        <v>2521</v>
      </c>
      <c r="B946" s="5" t="s">
        <v>2521</v>
      </c>
      <c r="C946" s="5" t="s">
        <v>18</v>
      </c>
      <c r="D946" s="5" t="s">
        <v>19</v>
      </c>
      <c r="E946" s="5" t="s">
        <v>49</v>
      </c>
      <c r="F946" s="9">
        <v>83</v>
      </c>
      <c r="G946" s="9">
        <v>1023</v>
      </c>
      <c r="H946" s="5" t="s">
        <v>21</v>
      </c>
      <c r="I946" s="5" t="s">
        <v>2522</v>
      </c>
      <c r="J946" s="12" t="str">
        <f>HYPERLINK("https://www.boe.es/gazeta/dias/1802/10/12/pdfs/GMD-1802-83.pdf#page=11","Abrir facsímil")</f>
        <v>Abrir facsímil</v>
      </c>
      <c r="K946" s="15" t="s">
        <v>23</v>
      </c>
    </row>
    <row r="947" spans="1:11" ht="42" customHeight="1">
      <c r="A947" s="4" t="s">
        <v>2523</v>
      </c>
      <c r="B947" s="5" t="s">
        <v>2523</v>
      </c>
      <c r="C947" s="5" t="s">
        <v>18</v>
      </c>
      <c r="D947" s="5" t="s">
        <v>19</v>
      </c>
      <c r="E947" s="5" t="s">
        <v>745</v>
      </c>
      <c r="F947" s="9">
        <v>92</v>
      </c>
      <c r="G947" s="9">
        <v>1140</v>
      </c>
      <c r="H947" s="5" t="s">
        <v>21</v>
      </c>
      <c r="I947" s="5" t="s">
        <v>2524</v>
      </c>
      <c r="J947" s="12" t="str">
        <f>HYPERLINK("https://www.boe.es/gazeta/dias/1802/11/12/pdfs/GMD-1802-92.pdf#page=8","Abrir facsímil")</f>
        <v>Abrir facsímil</v>
      </c>
      <c r="K947" s="15" t="s">
        <v>23</v>
      </c>
    </row>
    <row r="948" spans="1:11" ht="42" customHeight="1">
      <c r="A948" s="4" t="s">
        <v>2525</v>
      </c>
      <c r="B948" s="5" t="s">
        <v>2526</v>
      </c>
      <c r="C948" s="5" t="s">
        <v>18</v>
      </c>
      <c r="D948" s="5" t="s">
        <v>19</v>
      </c>
      <c r="E948" s="5" t="s">
        <v>20</v>
      </c>
      <c r="F948" s="9">
        <v>84</v>
      </c>
      <c r="G948" s="9">
        <v>1039</v>
      </c>
      <c r="H948" s="5" t="s">
        <v>21</v>
      </c>
      <c r="I948" s="5" t="s">
        <v>2527</v>
      </c>
      <c r="J948" s="12" t="str">
        <f>HYPERLINK("https://www.boe.es/gazeta/dias/1802/10/15/pdfs/GMD-1802-84.pdf#page=7","Abrir facsímil")</f>
        <v>Abrir facsímil</v>
      </c>
      <c r="K948" s="15" t="s">
        <v>23</v>
      </c>
    </row>
    <row r="949" spans="1:11" ht="42" customHeight="1">
      <c r="A949" s="4" t="s">
        <v>2528</v>
      </c>
      <c r="B949" s="5" t="s">
        <v>2529</v>
      </c>
      <c r="C949" s="5" t="s">
        <v>18</v>
      </c>
      <c r="D949" s="5" t="s">
        <v>19</v>
      </c>
      <c r="E949" s="5" t="s">
        <v>49</v>
      </c>
      <c r="F949" s="9">
        <v>83</v>
      </c>
      <c r="G949" s="9">
        <v>1024</v>
      </c>
      <c r="H949" s="5" t="s">
        <v>21</v>
      </c>
      <c r="I949" s="5" t="s">
        <v>2530</v>
      </c>
      <c r="J949" s="12" t="str">
        <f>HYPERLINK("https://www.boe.es/gazeta/dias/1802/10/12/pdfs/GMD-1802-83.pdf#page=12","Abrir facsímil")</f>
        <v>Abrir facsímil</v>
      </c>
      <c r="K949" s="15" t="s">
        <v>23</v>
      </c>
    </row>
    <row r="950" spans="1:11" ht="42" customHeight="1">
      <c r="A950" s="4" t="s">
        <v>2531</v>
      </c>
      <c r="B950" s="5" t="s">
        <v>2532</v>
      </c>
      <c r="C950" s="5" t="s">
        <v>90</v>
      </c>
      <c r="D950" s="5" t="s">
        <v>91</v>
      </c>
      <c r="E950" s="5" t="s">
        <v>678</v>
      </c>
      <c r="F950" s="9">
        <v>15</v>
      </c>
      <c r="G950" s="9">
        <v>158</v>
      </c>
      <c r="H950" s="5" t="s">
        <v>21</v>
      </c>
      <c r="I950" s="5" t="s">
        <v>2533</v>
      </c>
      <c r="J950" s="12" t="str">
        <f>HYPERLINK("https://www.boe.es/gazeta/dias/1802/02/19/pdfs/GMD-1802-15.pdf#page=10","Abrir facsímil")</f>
        <v>Abrir facsímil</v>
      </c>
      <c r="K950" s="15" t="s">
        <v>23</v>
      </c>
    </row>
    <row r="951" spans="1:11" ht="42" customHeight="1">
      <c r="A951" s="4" t="s">
        <v>2534</v>
      </c>
      <c r="B951" s="5" t="s">
        <v>2535</v>
      </c>
      <c r="C951" s="5" t="s">
        <v>160</v>
      </c>
      <c r="D951" s="5" t="s">
        <v>91</v>
      </c>
      <c r="E951" s="5" t="s">
        <v>886</v>
      </c>
      <c r="F951" s="9">
        <v>7</v>
      </c>
      <c r="G951" s="9">
        <v>67</v>
      </c>
      <c r="H951" s="5" t="s">
        <v>21</v>
      </c>
      <c r="I951" s="5" t="s">
        <v>2536</v>
      </c>
      <c r="J951" s="12" t="str">
        <f>HYPERLINK("https://www.boe.es/gazeta/dias/1802/01/22/pdfs/GMD-1802-7.pdf#page=7","Abrir facsímil")</f>
        <v>Abrir facsímil</v>
      </c>
      <c r="K951" s="15" t="s">
        <v>23</v>
      </c>
    </row>
    <row r="952" spans="1:11" ht="42" customHeight="1">
      <c r="A952" s="4" t="s">
        <v>2537</v>
      </c>
      <c r="B952" s="5" t="s">
        <v>2538</v>
      </c>
      <c r="C952" s="5" t="s">
        <v>18</v>
      </c>
      <c r="D952" s="5" t="s">
        <v>19</v>
      </c>
      <c r="E952" s="5" t="s">
        <v>206</v>
      </c>
      <c r="F952" s="9">
        <v>22</v>
      </c>
      <c r="G952" s="9">
        <v>240</v>
      </c>
      <c r="H952" s="5" t="s">
        <v>21</v>
      </c>
      <c r="I952" s="5" t="s">
        <v>2539</v>
      </c>
      <c r="J952" s="12" t="str">
        <f>HYPERLINK("https://www.boe.es/gazeta/dias/1802/03/16/pdfs/GMD-1802-22.pdf#page=8","Abrir facsímil")</f>
        <v>Abrir facsímil</v>
      </c>
      <c r="K952" s="15" t="s">
        <v>23</v>
      </c>
    </row>
    <row r="953" spans="1:11" ht="42" customHeight="1">
      <c r="A953" s="4" t="s">
        <v>2540</v>
      </c>
      <c r="B953" s="5" t="s">
        <v>2540</v>
      </c>
      <c r="C953" s="5" t="s">
        <v>35</v>
      </c>
      <c r="D953" s="5" t="s">
        <v>36</v>
      </c>
      <c r="E953" s="5" t="s">
        <v>71</v>
      </c>
      <c r="F953" s="9">
        <v>21</v>
      </c>
      <c r="G953" s="9">
        <v>226</v>
      </c>
      <c r="H953" s="5" t="s">
        <v>21</v>
      </c>
      <c r="I953" s="5" t="s">
        <v>2541</v>
      </c>
      <c r="J953" s="12" t="str">
        <f>HYPERLINK("https://www.boe.es/gazeta/dias/1802/03/12/pdfs/GMD-1802-21.pdf#page=2","Abrir facsímil")</f>
        <v>Abrir facsímil</v>
      </c>
      <c r="K953" s="15" t="s">
        <v>23</v>
      </c>
    </row>
    <row r="954" spans="1:11" ht="42" customHeight="1">
      <c r="A954" s="4" t="s">
        <v>2542</v>
      </c>
      <c r="B954" s="5" t="s">
        <v>2543</v>
      </c>
      <c r="C954" s="5" t="s">
        <v>29</v>
      </c>
      <c r="D954" s="5" t="s">
        <v>30</v>
      </c>
      <c r="E954" s="5" t="s">
        <v>328</v>
      </c>
      <c r="F954" s="9">
        <v>45</v>
      </c>
      <c r="G954" s="9">
        <v>545</v>
      </c>
      <c r="H954" s="5" t="s">
        <v>21</v>
      </c>
      <c r="I954" s="5" t="s">
        <v>2544</v>
      </c>
      <c r="J954" s="12" t="str">
        <f>HYPERLINK("https://www.boe.es/gazeta/dias/1802/06/04/pdfs/GMD-1802-45.pdf#page=9","Abrir facsímil")</f>
        <v>Abrir facsímil</v>
      </c>
      <c r="K954" s="15" t="s">
        <v>23</v>
      </c>
    </row>
    <row r="955" spans="1:11" ht="42" customHeight="1">
      <c r="A955" s="4" t="s">
        <v>2542</v>
      </c>
      <c r="B955" s="5" t="s">
        <v>2543</v>
      </c>
      <c r="C955" s="5" t="s">
        <v>29</v>
      </c>
      <c r="D955" s="5" t="s">
        <v>30</v>
      </c>
      <c r="E955" s="5" t="s">
        <v>436</v>
      </c>
      <c r="F955" s="9">
        <v>58</v>
      </c>
      <c r="G955" s="9">
        <v>701</v>
      </c>
      <c r="H955" s="5" t="s">
        <v>21</v>
      </c>
      <c r="I955" s="5" t="s">
        <v>2545</v>
      </c>
      <c r="J955" s="12" t="str">
        <f>HYPERLINK("https://www.boe.es/gazeta/dias/1802/07/20/pdfs/GMD-1802-58.pdf#page=9","Abrir facsímil")</f>
        <v>Abrir facsímil</v>
      </c>
      <c r="K955" s="15" t="s">
        <v>23</v>
      </c>
    </row>
    <row r="956" spans="1:11" ht="42" customHeight="1">
      <c r="A956" s="4" t="s">
        <v>2542</v>
      </c>
      <c r="B956" s="5" t="s">
        <v>2543</v>
      </c>
      <c r="C956" s="5" t="s">
        <v>18</v>
      </c>
      <c r="D956" s="5" t="s">
        <v>19</v>
      </c>
      <c r="E956" s="5" t="s">
        <v>611</v>
      </c>
      <c r="F956" s="9">
        <v>68</v>
      </c>
      <c r="G956" s="9">
        <v>834</v>
      </c>
      <c r="H956" s="5" t="s">
        <v>21</v>
      </c>
      <c r="I956" s="5" t="s">
        <v>2546</v>
      </c>
      <c r="J956" s="12" t="str">
        <f>HYPERLINK("https://www.boe.es/gazeta/dias/1802/08/20/pdfs/GMD-1802-68.pdf#page=10","Abrir facsímil")</f>
        <v>Abrir facsímil</v>
      </c>
      <c r="K956" s="15" t="s">
        <v>23</v>
      </c>
    </row>
    <row r="957" spans="1:11" ht="42" customHeight="1">
      <c r="A957" s="4" t="s">
        <v>2542</v>
      </c>
      <c r="B957" s="5" t="s">
        <v>2543</v>
      </c>
      <c r="C957" s="5" t="s">
        <v>18</v>
      </c>
      <c r="D957" s="5" t="s">
        <v>19</v>
      </c>
      <c r="E957" s="5" t="s">
        <v>439</v>
      </c>
      <c r="F957" s="9">
        <v>76</v>
      </c>
      <c r="G957" s="9">
        <v>939</v>
      </c>
      <c r="H957" s="5" t="s">
        <v>21</v>
      </c>
      <c r="I957" s="5" t="s">
        <v>2547</v>
      </c>
      <c r="J957" s="12" t="str">
        <f>HYPERLINK("https://www.boe.es/gazeta/dias/1802/09/17/pdfs/GMD-1802-76.pdf#page=11","Abrir facsímil")</f>
        <v>Abrir facsímil</v>
      </c>
      <c r="K957" s="15" t="s">
        <v>23</v>
      </c>
    </row>
    <row r="958" spans="1:11" ht="42" customHeight="1">
      <c r="A958" s="4" t="s">
        <v>2548</v>
      </c>
      <c r="B958" s="5" t="s">
        <v>2549</v>
      </c>
      <c r="C958" s="5" t="s">
        <v>29</v>
      </c>
      <c r="D958" s="5" t="s">
        <v>30</v>
      </c>
      <c r="E958" s="5" t="s">
        <v>86</v>
      </c>
      <c r="F958" s="9">
        <v>26</v>
      </c>
      <c r="G958" s="9">
        <v>297</v>
      </c>
      <c r="H958" s="5" t="s">
        <v>21</v>
      </c>
      <c r="I958" s="5" t="s">
        <v>2550</v>
      </c>
      <c r="J958" s="12" t="str">
        <f>HYPERLINK("https://www.boe.es/gazeta/dias/1802/03/30/pdfs/GMD-1802-26.pdf#page=9","Abrir facsímil")</f>
        <v>Abrir facsímil</v>
      </c>
      <c r="K958" s="15" t="s">
        <v>23</v>
      </c>
    </row>
    <row r="959" spans="1:11" ht="42" customHeight="1">
      <c r="A959" s="4" t="s">
        <v>2551</v>
      </c>
      <c r="B959" s="5" t="s">
        <v>2552</v>
      </c>
      <c r="C959" s="5" t="s">
        <v>42</v>
      </c>
      <c r="D959" s="5" t="s">
        <v>43</v>
      </c>
      <c r="E959" s="5" t="s">
        <v>44</v>
      </c>
      <c r="F959" s="9">
        <v>99</v>
      </c>
      <c r="G959" s="9" t="s">
        <v>779</v>
      </c>
      <c r="H959" s="5" t="s">
        <v>21</v>
      </c>
      <c r="I959" s="5" t="s">
        <v>2553</v>
      </c>
      <c r="J959" s="12" t="str">
        <f>HYPERLINK("https://www.boe.es/gazeta/dias/1802/12/07/pdfs/GMD-D-1802-99.pdf#page=13","Abrir facsímil")</f>
        <v>Abrir facsímil</v>
      </c>
      <c r="K959" s="15" t="s">
        <v>23</v>
      </c>
    </row>
    <row r="960" spans="1:11" ht="42" customHeight="1">
      <c r="A960" s="4" t="s">
        <v>2554</v>
      </c>
      <c r="B960" s="5" t="s">
        <v>2555</v>
      </c>
      <c r="C960" s="5" t="s">
        <v>90</v>
      </c>
      <c r="D960" s="5" t="s">
        <v>91</v>
      </c>
      <c r="E960" s="5" t="s">
        <v>183</v>
      </c>
      <c r="F960" s="9">
        <v>56</v>
      </c>
      <c r="G960" s="9">
        <v>678</v>
      </c>
      <c r="H960" s="5" t="s">
        <v>21</v>
      </c>
      <c r="I960" s="5" t="s">
        <v>2556</v>
      </c>
      <c r="J960" s="12" t="str">
        <f>HYPERLINK("https://www.boe.es/gazeta/dias/1802/07/13/pdfs/GMD-1802-56.pdf#page=10","Abrir facsímil")</f>
        <v>Abrir facsímil</v>
      </c>
      <c r="K960" s="15" t="s">
        <v>23</v>
      </c>
    </row>
    <row r="961" spans="1:11" ht="42" customHeight="1">
      <c r="A961" s="4" t="s">
        <v>2557</v>
      </c>
      <c r="B961" s="5" t="s">
        <v>2558</v>
      </c>
      <c r="C961" s="5" t="s">
        <v>18</v>
      </c>
      <c r="D961" s="5" t="s">
        <v>19</v>
      </c>
      <c r="E961" s="5" t="s">
        <v>49</v>
      </c>
      <c r="F961" s="9">
        <v>83</v>
      </c>
      <c r="G961" s="9">
        <v>1025</v>
      </c>
      <c r="H961" s="5" t="s">
        <v>21</v>
      </c>
      <c r="I961" s="5" t="s">
        <v>2559</v>
      </c>
      <c r="J961" s="12" t="str">
        <f>HYPERLINK("https://www.boe.es/gazeta/dias/1802/10/12/pdfs/GMD-1802-83.pdf#page=13","Abrir facsímil")</f>
        <v>Abrir facsímil</v>
      </c>
      <c r="K961" s="15" t="s">
        <v>23</v>
      </c>
    </row>
    <row r="962" spans="1:11" ht="42" customHeight="1">
      <c r="A962" s="4" t="s">
        <v>2560</v>
      </c>
      <c r="B962" s="5" t="s">
        <v>2561</v>
      </c>
      <c r="C962" s="5" t="s">
        <v>29</v>
      </c>
      <c r="D962" s="5" t="s">
        <v>30</v>
      </c>
      <c r="E962" s="5" t="s">
        <v>1381</v>
      </c>
      <c r="F962" s="9">
        <v>17</v>
      </c>
      <c r="G962" s="9">
        <v>184</v>
      </c>
      <c r="H962" s="5" t="s">
        <v>21</v>
      </c>
      <c r="I962" s="5" t="s">
        <v>2562</v>
      </c>
      <c r="J962" s="12" t="str">
        <f>HYPERLINK("https://www.boe.es/gazeta/dias/1802/02/26/pdfs/GMD-1802-17.pdf#page=8","Abrir facsímil")</f>
        <v>Abrir facsímil</v>
      </c>
      <c r="K962" s="15" t="s">
        <v>23</v>
      </c>
    </row>
    <row r="963" spans="1:11" ht="42" customHeight="1">
      <c r="A963" s="4" t="s">
        <v>2563</v>
      </c>
      <c r="B963" s="5" t="s">
        <v>2564</v>
      </c>
      <c r="C963" s="5" t="s">
        <v>42</v>
      </c>
      <c r="D963" s="5" t="s">
        <v>43</v>
      </c>
      <c r="E963" s="5" t="s">
        <v>44</v>
      </c>
      <c r="F963" s="9">
        <v>99</v>
      </c>
      <c r="G963" s="9" t="s">
        <v>548</v>
      </c>
      <c r="H963" s="5" t="s">
        <v>21</v>
      </c>
      <c r="I963" s="5" t="s">
        <v>2565</v>
      </c>
      <c r="J963" s="12" t="str">
        <f>HYPERLINK("https://www.boe.es/gazeta/dias/1802/12/07/pdfs/GMD-D-1802-99.pdf#page=12","Abrir facsímil")</f>
        <v>Abrir facsímil</v>
      </c>
      <c r="K963" s="15" t="s">
        <v>23</v>
      </c>
    </row>
    <row r="964" spans="1:11" ht="42" customHeight="1">
      <c r="A964" s="4" t="s">
        <v>2566</v>
      </c>
      <c r="B964" s="5" t="s">
        <v>2567</v>
      </c>
      <c r="C964" s="5" t="s">
        <v>29</v>
      </c>
      <c r="D964" s="5" t="s">
        <v>30</v>
      </c>
      <c r="E964" s="5" t="s">
        <v>92</v>
      </c>
      <c r="F964" s="9">
        <v>29</v>
      </c>
      <c r="G964" s="9">
        <v>343</v>
      </c>
      <c r="H964" s="5" t="s">
        <v>21</v>
      </c>
      <c r="I964" s="5" t="s">
        <v>2568</v>
      </c>
      <c r="J964" s="12" t="str">
        <f>HYPERLINK("https://www.boe.es/gazeta/dias/1802/04/09/pdfs/GMD-1802-29.pdf#page=11","Abrir facsímil")</f>
        <v>Abrir facsímil</v>
      </c>
      <c r="K964" s="15" t="s">
        <v>23</v>
      </c>
    </row>
    <row r="965" spans="1:11" ht="42" customHeight="1">
      <c r="A965" s="4" t="s">
        <v>2569</v>
      </c>
      <c r="B965" s="5" t="s">
        <v>2570</v>
      </c>
      <c r="C965" s="5" t="s">
        <v>42</v>
      </c>
      <c r="D965" s="5" t="s">
        <v>43</v>
      </c>
      <c r="E965" s="5" t="s">
        <v>44</v>
      </c>
      <c r="F965" s="9">
        <v>99</v>
      </c>
      <c r="G965" s="9" t="s">
        <v>314</v>
      </c>
      <c r="H965" s="5" t="s">
        <v>21</v>
      </c>
      <c r="I965" s="5" t="s">
        <v>2571</v>
      </c>
      <c r="J965" s="12" t="str">
        <f>HYPERLINK("https://www.boe.es/gazeta/dias/1802/12/07/pdfs/GMD-D-1802-99.pdf#page=2","Abrir facsímil")</f>
        <v>Abrir facsímil</v>
      </c>
      <c r="K965" s="15" t="s">
        <v>23</v>
      </c>
    </row>
    <row r="966" spans="1:11" ht="42" customHeight="1">
      <c r="A966" s="4" t="s">
        <v>2572</v>
      </c>
      <c r="B966" s="5" t="s">
        <v>2573</v>
      </c>
      <c r="C966" s="5" t="s">
        <v>29</v>
      </c>
      <c r="D966" s="5" t="s">
        <v>30</v>
      </c>
      <c r="E966" s="5" t="s">
        <v>121</v>
      </c>
      <c r="F966" s="9">
        <v>87</v>
      </c>
      <c r="G966" s="9">
        <v>1081</v>
      </c>
      <c r="H966" s="5" t="s">
        <v>21</v>
      </c>
      <c r="I966" s="5" t="s">
        <v>2574</v>
      </c>
      <c r="J966" s="12" t="str">
        <f>HYPERLINK("https://www.boe.es/gazeta/dias/1802/10/26/pdfs/GMD-1802-87.pdf#page=9","Abrir facsímil")</f>
        <v>Abrir facsímil</v>
      </c>
      <c r="K966" s="15" t="s">
        <v>23</v>
      </c>
    </row>
    <row r="967" spans="1:11" ht="42" customHeight="1">
      <c r="A967" s="4" t="s">
        <v>2575</v>
      </c>
      <c r="B967" s="5" t="s">
        <v>2576</v>
      </c>
      <c r="C967" s="5" t="s">
        <v>29</v>
      </c>
      <c r="D967" s="5" t="s">
        <v>30</v>
      </c>
      <c r="E967" s="5" t="s">
        <v>1097</v>
      </c>
      <c r="F967" s="9">
        <v>20</v>
      </c>
      <c r="G967" s="9">
        <v>222</v>
      </c>
      <c r="H967" s="5" t="s">
        <v>21</v>
      </c>
      <c r="I967" s="5" t="s">
        <v>2577</v>
      </c>
      <c r="J967" s="12" t="str">
        <f>HYPERLINK("https://www.boe.es/gazeta/dias/1802/03/09/pdfs/GMD-1802-20.pdf#page=10","Abrir facsímil")</f>
        <v>Abrir facsímil</v>
      </c>
      <c r="K967" s="15" t="s">
        <v>23</v>
      </c>
    </row>
    <row r="968" spans="1:11" ht="42" customHeight="1">
      <c r="A968" s="4" t="s">
        <v>2578</v>
      </c>
      <c r="B968" s="5" t="s">
        <v>2579</v>
      </c>
      <c r="C968" s="5" t="s">
        <v>29</v>
      </c>
      <c r="D968" s="5" t="s">
        <v>30</v>
      </c>
      <c r="E968" s="5" t="s">
        <v>206</v>
      </c>
      <c r="F968" s="9">
        <v>22</v>
      </c>
      <c r="G968" s="9">
        <v>239</v>
      </c>
      <c r="H968" s="5" t="s">
        <v>21</v>
      </c>
      <c r="I968" s="5" t="s">
        <v>2580</v>
      </c>
      <c r="J968" s="12" t="str">
        <f>HYPERLINK("https://www.boe.es/gazeta/dias/1802/03/16/pdfs/GMD-1802-22.pdf#page=7","Abrir facsímil")</f>
        <v>Abrir facsímil</v>
      </c>
      <c r="K968" s="15" t="s">
        <v>23</v>
      </c>
    </row>
    <row r="969" spans="1:11" ht="42" customHeight="1">
      <c r="A969" s="4" t="s">
        <v>2578</v>
      </c>
      <c r="B969" s="5" t="s">
        <v>2579</v>
      </c>
      <c r="C969" s="5" t="s">
        <v>29</v>
      </c>
      <c r="D969" s="5" t="s">
        <v>30</v>
      </c>
      <c r="E969" s="5" t="s">
        <v>170</v>
      </c>
      <c r="F969" s="9">
        <v>28</v>
      </c>
      <c r="G969" s="9">
        <v>326</v>
      </c>
      <c r="H969" s="5" t="s">
        <v>21</v>
      </c>
      <c r="I969" s="5" t="s">
        <v>2581</v>
      </c>
      <c r="J969" s="12" t="str">
        <f>HYPERLINK("https://www.boe.es/gazeta/dias/1802/04/06/pdfs/GMD-1802-28.pdf#page=6","Abrir facsímil")</f>
        <v>Abrir facsímil</v>
      </c>
      <c r="K969" s="15" t="s">
        <v>23</v>
      </c>
    </row>
    <row r="970" spans="1:11" ht="42" customHeight="1">
      <c r="A970" s="4" t="s">
        <v>2578</v>
      </c>
      <c r="B970" s="5" t="s">
        <v>2579</v>
      </c>
      <c r="C970" s="5" t="s">
        <v>35</v>
      </c>
      <c r="D970" s="5" t="s">
        <v>36</v>
      </c>
      <c r="E970" s="5" t="s">
        <v>92</v>
      </c>
      <c r="F970" s="9">
        <v>29</v>
      </c>
      <c r="G970" s="9">
        <v>334</v>
      </c>
      <c r="H970" s="5" t="s">
        <v>21</v>
      </c>
      <c r="I970" s="5" t="s">
        <v>2582</v>
      </c>
      <c r="J970" s="12" t="str">
        <f>HYPERLINK("https://www.boe.es/gazeta/dias/1802/04/09/pdfs/GMD-1802-29.pdf#page=2","Abrir facsímil")</f>
        <v>Abrir facsímil</v>
      </c>
      <c r="K970" s="15" t="s">
        <v>23</v>
      </c>
    </row>
    <row r="971" spans="1:11" ht="42" customHeight="1">
      <c r="A971" s="4" t="s">
        <v>2578</v>
      </c>
      <c r="B971" s="5" t="s">
        <v>2579</v>
      </c>
      <c r="C971" s="5" t="s">
        <v>55</v>
      </c>
      <c r="D971" s="5" t="s">
        <v>56</v>
      </c>
      <c r="E971" s="5" t="s">
        <v>631</v>
      </c>
      <c r="F971" s="9">
        <v>36</v>
      </c>
      <c r="G971" s="9">
        <v>425</v>
      </c>
      <c r="H971" s="5" t="s">
        <v>21</v>
      </c>
      <c r="I971" s="5" t="s">
        <v>2583</v>
      </c>
      <c r="J971" s="12" t="str">
        <f>HYPERLINK("https://www.boe.es/gazeta/dias/1802/05/04/pdfs/GMD-1802-36.pdf#page=5","Abrir facsímil")</f>
        <v>Abrir facsímil</v>
      </c>
      <c r="K971" s="15" t="s">
        <v>23</v>
      </c>
    </row>
    <row r="972" spans="1:11" ht="42" customHeight="1">
      <c r="A972" s="4" t="s">
        <v>2584</v>
      </c>
      <c r="B972" s="5" t="s">
        <v>2585</v>
      </c>
      <c r="C972" s="5" t="s">
        <v>29</v>
      </c>
      <c r="D972" s="5" t="s">
        <v>30</v>
      </c>
      <c r="E972" s="5" t="s">
        <v>678</v>
      </c>
      <c r="F972" s="9">
        <v>15</v>
      </c>
      <c r="G972" s="9">
        <v>154</v>
      </c>
      <c r="H972" s="5" t="s">
        <v>21</v>
      </c>
      <c r="I972" s="5" t="s">
        <v>2586</v>
      </c>
      <c r="J972" s="12" t="str">
        <f>HYPERLINK("https://www.boe.es/gazeta/dias/1802/02/19/pdfs/GMD-1802-15.pdf#page=6","Abrir facsímil")</f>
        <v>Abrir facsímil</v>
      </c>
      <c r="K972" s="15" t="s">
        <v>23</v>
      </c>
    </row>
    <row r="973" spans="1:11" ht="42" customHeight="1">
      <c r="A973" s="4" t="s">
        <v>2587</v>
      </c>
      <c r="B973" s="5" t="s">
        <v>2588</v>
      </c>
      <c r="C973" s="5" t="s">
        <v>55</v>
      </c>
      <c r="D973" s="5" t="s">
        <v>56</v>
      </c>
      <c r="E973" s="5" t="s">
        <v>574</v>
      </c>
      <c r="F973" s="9" t="s">
        <v>575</v>
      </c>
      <c r="G973" s="9">
        <v>706</v>
      </c>
      <c r="H973" s="5" t="s">
        <v>21</v>
      </c>
      <c r="I973" s="5" t="s">
        <v>2589</v>
      </c>
      <c r="J973" s="12" t="str">
        <f>HYPERLINK("https://www.boe.es/gazeta/dias/1802/07/21/pdfs/GMD-1802-59E.pdf#page=2","Abrir facsímil")</f>
        <v>Abrir facsímil</v>
      </c>
      <c r="K973" s="15" t="s">
        <v>23</v>
      </c>
    </row>
    <row r="974" spans="1:11" ht="42" customHeight="1">
      <c r="A974" s="4" t="s">
        <v>2590</v>
      </c>
      <c r="B974" s="5" t="s">
        <v>2591</v>
      </c>
      <c r="C974" s="5" t="s">
        <v>18</v>
      </c>
      <c r="D974" s="5" t="s">
        <v>19</v>
      </c>
      <c r="E974" s="5" t="s">
        <v>20</v>
      </c>
      <c r="F974" s="9">
        <v>84</v>
      </c>
      <c r="G974" s="9">
        <v>1042</v>
      </c>
      <c r="H974" s="5" t="s">
        <v>21</v>
      </c>
      <c r="I974" s="5" t="s">
        <v>2592</v>
      </c>
      <c r="J974" s="12" t="str">
        <f>HYPERLINK("https://www.boe.es/gazeta/dias/1802/10/15/pdfs/GMD-1802-84.pdf#page=10","Abrir facsímil")</f>
        <v>Abrir facsímil</v>
      </c>
      <c r="K974" s="15" t="s">
        <v>23</v>
      </c>
    </row>
    <row r="975" spans="1:11" ht="42" customHeight="1">
      <c r="A975" s="4" t="s">
        <v>2593</v>
      </c>
      <c r="B975" s="5" t="s">
        <v>2594</v>
      </c>
      <c r="C975" s="5" t="s">
        <v>18</v>
      </c>
      <c r="D975" s="5" t="s">
        <v>19</v>
      </c>
      <c r="E975" s="5" t="s">
        <v>678</v>
      </c>
      <c r="F975" s="9">
        <v>15</v>
      </c>
      <c r="G975" s="9">
        <v>158</v>
      </c>
      <c r="H975" s="5" t="s">
        <v>21</v>
      </c>
      <c r="I975" s="5" t="s">
        <v>2595</v>
      </c>
      <c r="J975" s="12" t="str">
        <f>HYPERLINK("https://www.boe.es/gazeta/dias/1802/02/19/pdfs/GMD-1802-15.pdf#page=10","Abrir facsímil")</f>
        <v>Abrir facsímil</v>
      </c>
      <c r="K975" s="15" t="s">
        <v>23</v>
      </c>
    </row>
    <row r="976" spans="1:11" ht="42" customHeight="1">
      <c r="A976" s="4" t="s">
        <v>2596</v>
      </c>
      <c r="B976" s="5" t="s">
        <v>2597</v>
      </c>
      <c r="C976" s="5" t="s">
        <v>18</v>
      </c>
      <c r="D976" s="5" t="s">
        <v>19</v>
      </c>
      <c r="E976" s="5" t="s">
        <v>20</v>
      </c>
      <c r="F976" s="9">
        <v>84</v>
      </c>
      <c r="G976" s="9">
        <v>1043</v>
      </c>
      <c r="H976" s="5" t="s">
        <v>21</v>
      </c>
      <c r="I976" s="5" t="s">
        <v>2598</v>
      </c>
      <c r="J976" s="12" t="str">
        <f>HYPERLINK("https://www.boe.es/gazeta/dias/1802/10/15/pdfs/GMD-1802-84.pdf#page=11","Abrir facsímil")</f>
        <v>Abrir facsímil</v>
      </c>
      <c r="K976" s="15" t="s">
        <v>23</v>
      </c>
    </row>
    <row r="977" spans="1:11" ht="42" customHeight="1">
      <c r="A977" s="4" t="s">
        <v>2599</v>
      </c>
      <c r="B977" s="5" t="s">
        <v>2600</v>
      </c>
      <c r="C977" s="5" t="s">
        <v>42</v>
      </c>
      <c r="D977" s="5" t="s">
        <v>43</v>
      </c>
      <c r="E977" s="5" t="s">
        <v>44</v>
      </c>
      <c r="F977" s="9">
        <v>99</v>
      </c>
      <c r="G977" s="9" t="s">
        <v>272</v>
      </c>
      <c r="H977" s="5" t="s">
        <v>21</v>
      </c>
      <c r="I977" s="5" t="s">
        <v>2601</v>
      </c>
      <c r="J977" s="12" t="str">
        <f>HYPERLINK("https://www.boe.es/gazeta/dias/1802/12/07/pdfs/GMD-D-1802-99.pdf#page=3","Abrir facsímil")</f>
        <v>Abrir facsímil</v>
      </c>
      <c r="K977" s="15" t="s">
        <v>23</v>
      </c>
    </row>
    <row r="978" spans="1:11" ht="42" customHeight="1">
      <c r="A978" s="4" t="s">
        <v>2602</v>
      </c>
      <c r="B978" s="5" t="s">
        <v>2603</v>
      </c>
      <c r="C978" s="5" t="s">
        <v>42</v>
      </c>
      <c r="D978" s="5" t="s">
        <v>43</v>
      </c>
      <c r="E978" s="5" t="s">
        <v>44</v>
      </c>
      <c r="F978" s="9">
        <v>99</v>
      </c>
      <c r="G978" s="9" t="s">
        <v>537</v>
      </c>
      <c r="H978" s="5" t="s">
        <v>21</v>
      </c>
      <c r="I978" s="5" t="s">
        <v>2604</v>
      </c>
      <c r="J978" s="12" t="str">
        <f>HYPERLINK("https://www.boe.es/gazeta/dias/1802/12/07/pdfs/GMD-D-1802-99.pdf#page=9","Abrir facsímil")</f>
        <v>Abrir facsímil</v>
      </c>
      <c r="K978" s="15" t="s">
        <v>23</v>
      </c>
    </row>
    <row r="979" spans="1:11" ht="42" customHeight="1">
      <c r="A979" s="4" t="s">
        <v>2605</v>
      </c>
      <c r="B979" s="5" t="s">
        <v>2606</v>
      </c>
      <c r="C979" s="5" t="s">
        <v>42</v>
      </c>
      <c r="D979" s="5" t="s">
        <v>43</v>
      </c>
      <c r="E979" s="5" t="s">
        <v>44</v>
      </c>
      <c r="F979" s="9">
        <v>99</v>
      </c>
      <c r="G979" s="9" t="s">
        <v>251</v>
      </c>
      <c r="H979" s="5" t="s">
        <v>21</v>
      </c>
      <c r="I979" s="5" t="s">
        <v>2607</v>
      </c>
      <c r="J979" s="12" t="str">
        <f>HYPERLINK("https://www.boe.es/gazeta/dias/1802/12/07/pdfs/GMD-D-1802-99.pdf#page=6","Abrir facsímil")</f>
        <v>Abrir facsímil</v>
      </c>
      <c r="K979" s="15" t="s">
        <v>23</v>
      </c>
    </row>
    <row r="980" spans="1:11" ht="42" customHeight="1">
      <c r="A980" s="4" t="s">
        <v>2608</v>
      </c>
      <c r="B980" s="5" t="s">
        <v>2609</v>
      </c>
      <c r="C980" s="5" t="s">
        <v>42</v>
      </c>
      <c r="D980" s="5" t="s">
        <v>43</v>
      </c>
      <c r="E980" s="5" t="s">
        <v>44</v>
      </c>
      <c r="F980" s="9">
        <v>99</v>
      </c>
      <c r="G980" s="9" t="s">
        <v>548</v>
      </c>
      <c r="H980" s="5" t="s">
        <v>21</v>
      </c>
      <c r="I980" s="5" t="s">
        <v>2610</v>
      </c>
      <c r="J980" s="12" t="str">
        <f>HYPERLINK("https://www.boe.es/gazeta/dias/1802/12/07/pdfs/GMD-D-1802-99.pdf#page=12","Abrir facsímil")</f>
        <v>Abrir facsímil</v>
      </c>
      <c r="K980" s="15" t="s">
        <v>23</v>
      </c>
    </row>
    <row r="981" spans="1:11" ht="42" customHeight="1">
      <c r="A981" s="4" t="s">
        <v>2611</v>
      </c>
      <c r="B981" s="5" t="s">
        <v>2612</v>
      </c>
      <c r="C981" s="5" t="s">
        <v>29</v>
      </c>
      <c r="D981" s="5" t="s">
        <v>30</v>
      </c>
      <c r="E981" s="5" t="s">
        <v>20</v>
      </c>
      <c r="F981" s="9">
        <v>84</v>
      </c>
      <c r="G981" s="9">
        <v>1040</v>
      </c>
      <c r="H981" s="5" t="s">
        <v>21</v>
      </c>
      <c r="I981" s="5" t="s">
        <v>2613</v>
      </c>
      <c r="J981" s="12" t="str">
        <f>HYPERLINK("https://www.boe.es/gazeta/dias/1802/10/15/pdfs/GMD-1802-84.pdf#page=8","Abrir facsímil")</f>
        <v>Abrir facsímil</v>
      </c>
      <c r="K981" s="15" t="s">
        <v>23</v>
      </c>
    </row>
    <row r="982" spans="1:11" ht="42" customHeight="1">
      <c r="A982" s="4" t="s">
        <v>2614</v>
      </c>
      <c r="B982" s="5" t="s">
        <v>2615</v>
      </c>
      <c r="C982" s="5" t="s">
        <v>35</v>
      </c>
      <c r="D982" s="5" t="s">
        <v>36</v>
      </c>
      <c r="E982" s="5" t="s">
        <v>192</v>
      </c>
      <c r="F982" s="9">
        <v>53</v>
      </c>
      <c r="G982" s="9">
        <v>634</v>
      </c>
      <c r="H982" s="5" t="s">
        <v>21</v>
      </c>
      <c r="I982" s="5" t="s">
        <v>2616</v>
      </c>
      <c r="J982" s="12" t="str">
        <f>HYPERLINK("https://www.boe.es/gazeta/dias/1802/07/02/pdfs/GMD-1802-53.pdf#page=2","Abrir facsímil")</f>
        <v>Abrir facsímil</v>
      </c>
      <c r="K982" s="15" t="s">
        <v>23</v>
      </c>
    </row>
    <row r="983" spans="1:11" ht="42" customHeight="1">
      <c r="A983" s="4" t="s">
        <v>2617</v>
      </c>
      <c r="B983" s="5" t="s">
        <v>2618</v>
      </c>
      <c r="C983" s="5" t="s">
        <v>29</v>
      </c>
      <c r="D983" s="5" t="s">
        <v>30</v>
      </c>
      <c r="E983" s="5" t="s">
        <v>146</v>
      </c>
      <c r="F983" s="9">
        <v>42</v>
      </c>
      <c r="G983" s="9">
        <v>504</v>
      </c>
      <c r="H983" s="5" t="s">
        <v>21</v>
      </c>
      <c r="I983" s="5" t="s">
        <v>2619</v>
      </c>
      <c r="J983" s="12" t="str">
        <f>HYPERLINK("https://www.boe.es/gazeta/dias/1802/05/25/pdfs/GMD-1802-42.pdf#page=8","Abrir facsímil")</f>
        <v>Abrir facsímil</v>
      </c>
      <c r="K983" s="15" t="s">
        <v>23</v>
      </c>
    </row>
    <row r="984" spans="1:11" ht="42" customHeight="1">
      <c r="A984" s="4" t="s">
        <v>2620</v>
      </c>
      <c r="B984" s="5" t="s">
        <v>2620</v>
      </c>
      <c r="C984" s="5" t="s">
        <v>572</v>
      </c>
      <c r="D984" s="5" t="s">
        <v>573</v>
      </c>
      <c r="E984" s="5" t="s">
        <v>574</v>
      </c>
      <c r="F984" s="9" t="s">
        <v>575</v>
      </c>
      <c r="G984" s="9">
        <v>714</v>
      </c>
      <c r="H984" s="5" t="s">
        <v>21</v>
      </c>
      <c r="I984" s="5" t="s">
        <v>2621</v>
      </c>
      <c r="J984" s="12" t="str">
        <f>HYPERLINK("https://www.boe.es/gazeta/dias/1802/07/21/pdfs/GMD-1802-59E.pdf#page=10","Abrir facsímil")</f>
        <v>Abrir facsímil</v>
      </c>
      <c r="K984" s="15" t="s">
        <v>23</v>
      </c>
    </row>
    <row r="985" spans="1:11" ht="42" customHeight="1">
      <c r="A985" s="4" t="s">
        <v>2622</v>
      </c>
      <c r="B985" s="5" t="s">
        <v>2622</v>
      </c>
      <c r="C985" s="5" t="s">
        <v>18</v>
      </c>
      <c r="D985" s="5" t="s">
        <v>19</v>
      </c>
      <c r="E985" s="5" t="s">
        <v>20</v>
      </c>
      <c r="F985" s="9">
        <v>84</v>
      </c>
      <c r="G985" s="9">
        <v>1046</v>
      </c>
      <c r="H985" s="5" t="s">
        <v>21</v>
      </c>
      <c r="I985" s="5" t="s">
        <v>2623</v>
      </c>
      <c r="J985" s="12" t="str">
        <f>HYPERLINK("https://www.boe.es/gazeta/dias/1802/10/15/pdfs/GMD-1802-84.pdf#page=14","Abrir facsímil")</f>
        <v>Abrir facsímil</v>
      </c>
      <c r="K985" s="15" t="s">
        <v>23</v>
      </c>
    </row>
    <row r="986" spans="1:11" ht="42" customHeight="1">
      <c r="A986" s="4" t="s">
        <v>2624</v>
      </c>
      <c r="B986" s="5" t="s">
        <v>2625</v>
      </c>
      <c r="C986" s="5" t="s">
        <v>18</v>
      </c>
      <c r="D986" s="5" t="s">
        <v>19</v>
      </c>
      <c r="E986" s="5" t="s">
        <v>655</v>
      </c>
      <c r="F986" s="9">
        <v>46</v>
      </c>
      <c r="G986" s="9">
        <v>553</v>
      </c>
      <c r="H986" s="5" t="s">
        <v>21</v>
      </c>
      <c r="I986" s="5" t="s">
        <v>2626</v>
      </c>
      <c r="J986" s="12" t="str">
        <f>HYPERLINK("https://www.boe.es/gazeta/dias/1802/06/08/pdfs/GMD-1802-46.pdf#page=5","Abrir facsímil")</f>
        <v>Abrir facsímil</v>
      </c>
      <c r="K986" s="15" t="s">
        <v>23</v>
      </c>
    </row>
    <row r="987" spans="1:11" ht="42" customHeight="1">
      <c r="A987" s="4" t="s">
        <v>2627</v>
      </c>
      <c r="B987" s="5" t="s">
        <v>2627</v>
      </c>
      <c r="C987" s="5" t="s">
        <v>18</v>
      </c>
      <c r="D987" s="5" t="s">
        <v>19</v>
      </c>
      <c r="E987" s="5" t="s">
        <v>49</v>
      </c>
      <c r="F987" s="9">
        <v>83</v>
      </c>
      <c r="G987" s="9">
        <v>1021</v>
      </c>
      <c r="H987" s="5" t="s">
        <v>21</v>
      </c>
      <c r="I987" s="5" t="s">
        <v>2628</v>
      </c>
      <c r="J987" s="12" t="str">
        <f>HYPERLINK("https://www.boe.es/gazeta/dias/1802/10/12/pdfs/GMD-1802-83.pdf#page=9","Abrir facsímil")</f>
        <v>Abrir facsímil</v>
      </c>
      <c r="K987" s="15" t="s">
        <v>23</v>
      </c>
    </row>
    <row r="988" spans="1:11" ht="42" customHeight="1">
      <c r="A988" s="4" t="s">
        <v>2629</v>
      </c>
      <c r="B988" s="5" t="s">
        <v>2629</v>
      </c>
      <c r="C988" s="5" t="s">
        <v>18</v>
      </c>
      <c r="D988" s="5" t="s">
        <v>19</v>
      </c>
      <c r="E988" s="5" t="s">
        <v>86</v>
      </c>
      <c r="F988" s="9">
        <v>26</v>
      </c>
      <c r="G988" s="9">
        <v>297</v>
      </c>
      <c r="H988" s="5" t="s">
        <v>21</v>
      </c>
      <c r="I988" s="5" t="s">
        <v>2630</v>
      </c>
      <c r="J988" s="12" t="str">
        <f>HYPERLINK("https://www.boe.es/gazeta/dias/1802/03/30/pdfs/GMD-1802-26.pdf#page=9","Abrir facsímil")</f>
        <v>Abrir facsímil</v>
      </c>
      <c r="K988" s="15" t="s">
        <v>23</v>
      </c>
    </row>
    <row r="989" spans="1:11" ht="42" customHeight="1">
      <c r="A989" s="4" t="s">
        <v>2629</v>
      </c>
      <c r="B989" s="5" t="s">
        <v>2629</v>
      </c>
      <c r="C989" s="5" t="s">
        <v>572</v>
      </c>
      <c r="D989" s="5" t="s">
        <v>573</v>
      </c>
      <c r="E989" s="5" t="s">
        <v>574</v>
      </c>
      <c r="F989" s="9" t="s">
        <v>575</v>
      </c>
      <c r="G989" s="9">
        <v>711</v>
      </c>
      <c r="H989" s="5" t="s">
        <v>21</v>
      </c>
      <c r="I989" s="5" t="s">
        <v>2631</v>
      </c>
      <c r="J989" s="12" t="str">
        <f>HYPERLINK("https://www.boe.es/gazeta/dias/1802/07/21/pdfs/GMD-1802-59E.pdf#page=7","Abrir facsímil")</f>
        <v>Abrir facsímil</v>
      </c>
      <c r="K989" s="15" t="s">
        <v>23</v>
      </c>
    </row>
    <row r="990" spans="1:11" ht="42" customHeight="1">
      <c r="A990" s="4" t="s">
        <v>2629</v>
      </c>
      <c r="B990" s="5" t="s">
        <v>2629</v>
      </c>
      <c r="C990" s="5" t="s">
        <v>35</v>
      </c>
      <c r="D990" s="5" t="s">
        <v>36</v>
      </c>
      <c r="E990" s="5" t="s">
        <v>745</v>
      </c>
      <c r="F990" s="9">
        <v>92</v>
      </c>
      <c r="G990" s="9">
        <v>1138</v>
      </c>
      <c r="H990" s="5" t="s">
        <v>21</v>
      </c>
      <c r="I990" s="5" t="s">
        <v>2632</v>
      </c>
      <c r="J990" s="12" t="str">
        <f>HYPERLINK("https://www.boe.es/gazeta/dias/1802/11/12/pdfs/GMD-1802-92.pdf#page=6","Abrir facsímil")</f>
        <v>Abrir facsímil</v>
      </c>
      <c r="K990" s="15" t="s">
        <v>23</v>
      </c>
    </row>
    <row r="991" spans="1:11" ht="42" customHeight="1">
      <c r="A991" s="4" t="s">
        <v>2633</v>
      </c>
      <c r="B991" s="5" t="s">
        <v>2634</v>
      </c>
      <c r="C991" s="5" t="s">
        <v>18</v>
      </c>
      <c r="D991" s="5" t="s">
        <v>19</v>
      </c>
      <c r="E991" s="5" t="s">
        <v>163</v>
      </c>
      <c r="F991" s="9">
        <v>1</v>
      </c>
      <c r="G991" s="9">
        <v>2</v>
      </c>
      <c r="H991" s="5" t="s">
        <v>21</v>
      </c>
      <c r="I991" s="5" t="s">
        <v>2635</v>
      </c>
      <c r="J991" s="12" t="str">
        <f>HYPERLINK("https://www.boe.es/gazeta/dias/1802/01/01/pdfs/GMD-1802-1.pdf#page=2","Abrir facsímil")</f>
        <v>Abrir facsímil</v>
      </c>
      <c r="K991" s="15" t="s">
        <v>23</v>
      </c>
    </row>
    <row r="992" spans="1:11" ht="42" customHeight="1">
      <c r="A992" s="4" t="s">
        <v>2633</v>
      </c>
      <c r="B992" s="5" t="s">
        <v>2634</v>
      </c>
      <c r="C992" s="5" t="s">
        <v>29</v>
      </c>
      <c r="D992" s="5" t="s">
        <v>30</v>
      </c>
      <c r="E992" s="5" t="s">
        <v>60</v>
      </c>
      <c r="F992" s="9">
        <v>5</v>
      </c>
      <c r="G992" s="9">
        <v>46</v>
      </c>
      <c r="H992" s="5" t="s">
        <v>21</v>
      </c>
      <c r="I992" s="5" t="s">
        <v>2636</v>
      </c>
      <c r="J992" s="12" t="str">
        <f>HYPERLINK("https://www.boe.es/gazeta/dias/1802/01/15/pdfs/GMD-1802-5.pdf#page=2","Abrir facsímil")</f>
        <v>Abrir facsímil</v>
      </c>
      <c r="K992" s="15" t="s">
        <v>23</v>
      </c>
    </row>
    <row r="993" spans="1:11" ht="42" customHeight="1">
      <c r="A993" s="4" t="s">
        <v>2633</v>
      </c>
      <c r="B993" s="5" t="s">
        <v>2634</v>
      </c>
      <c r="C993" s="5" t="s">
        <v>35</v>
      </c>
      <c r="D993" s="5" t="s">
        <v>36</v>
      </c>
      <c r="E993" s="5" t="s">
        <v>1113</v>
      </c>
      <c r="F993" s="9">
        <v>6</v>
      </c>
      <c r="G993" s="9">
        <v>53</v>
      </c>
      <c r="H993" s="5" t="s">
        <v>21</v>
      </c>
      <c r="I993" s="5" t="s">
        <v>2637</v>
      </c>
      <c r="J993" s="12" t="str">
        <f>HYPERLINK("https://www.boe.es/gazeta/dias/1802/01/19/pdfs/GMD-1802-6.pdf#page=1","Abrir facsímil")</f>
        <v>Abrir facsímil</v>
      </c>
      <c r="K993" s="15" t="s">
        <v>23</v>
      </c>
    </row>
    <row r="994" spans="1:11" ht="42" customHeight="1">
      <c r="A994" s="4" t="s">
        <v>2633</v>
      </c>
      <c r="B994" s="5" t="s">
        <v>2634</v>
      </c>
      <c r="C994" s="5" t="s">
        <v>35</v>
      </c>
      <c r="D994" s="5" t="s">
        <v>36</v>
      </c>
      <c r="E994" s="5" t="s">
        <v>128</v>
      </c>
      <c r="F994" s="9">
        <v>9</v>
      </c>
      <c r="G994" s="9">
        <v>82</v>
      </c>
      <c r="H994" s="5" t="s">
        <v>21</v>
      </c>
      <c r="I994" s="5" t="s">
        <v>2638</v>
      </c>
      <c r="J994" s="12" t="str">
        <f>HYPERLINK("https://www.boe.es/gazeta/dias/1802/01/29/pdfs/GMD-1802-9.pdf#page=2","Abrir facsímil")</f>
        <v>Abrir facsímil</v>
      </c>
      <c r="K994" s="15" t="s">
        <v>23</v>
      </c>
    </row>
    <row r="995" spans="1:11" ht="42" customHeight="1">
      <c r="A995" s="4" t="s">
        <v>2633</v>
      </c>
      <c r="B995" s="5" t="s">
        <v>2634</v>
      </c>
      <c r="C995" s="5" t="s">
        <v>29</v>
      </c>
      <c r="D995" s="5" t="s">
        <v>30</v>
      </c>
      <c r="E995" s="5" t="s">
        <v>109</v>
      </c>
      <c r="F995" s="9">
        <v>10</v>
      </c>
      <c r="G995" s="9">
        <v>94</v>
      </c>
      <c r="H995" s="5" t="s">
        <v>21</v>
      </c>
      <c r="I995" s="5" t="s">
        <v>2639</v>
      </c>
      <c r="J995" s="12" t="str">
        <f>HYPERLINK("https://www.boe.es/gazeta/dias/1802/02/02/pdfs/GMD-1802-10.pdf#page=2","Abrir facsímil")</f>
        <v>Abrir facsímil</v>
      </c>
      <c r="K995" s="15" t="s">
        <v>23</v>
      </c>
    </row>
    <row r="996" spans="1:11" ht="42" customHeight="1">
      <c r="A996" s="4" t="s">
        <v>2633</v>
      </c>
      <c r="B996" s="5" t="s">
        <v>2634</v>
      </c>
      <c r="C996" s="5" t="s">
        <v>35</v>
      </c>
      <c r="D996" s="5" t="s">
        <v>36</v>
      </c>
      <c r="E996" s="5" t="s">
        <v>131</v>
      </c>
      <c r="F996" s="9">
        <v>11</v>
      </c>
      <c r="G996" s="9">
        <v>106</v>
      </c>
      <c r="H996" s="5" t="s">
        <v>21</v>
      </c>
      <c r="I996" s="5" t="s">
        <v>2640</v>
      </c>
      <c r="J996" s="12" t="str">
        <f>HYPERLINK("https://www.boe.es/gazeta/dias/1802/02/05/pdfs/GMD-1802-11.pdf#page=2","Abrir facsímil")</f>
        <v>Abrir facsímil</v>
      </c>
      <c r="K996" s="15" t="s">
        <v>23</v>
      </c>
    </row>
    <row r="997" spans="1:11" ht="42" customHeight="1">
      <c r="A997" s="4" t="s">
        <v>2633</v>
      </c>
      <c r="B997" s="5" t="s">
        <v>2634</v>
      </c>
      <c r="C997" s="5" t="s">
        <v>35</v>
      </c>
      <c r="D997" s="5" t="s">
        <v>36</v>
      </c>
      <c r="E997" s="5" t="s">
        <v>865</v>
      </c>
      <c r="F997" s="9">
        <v>12</v>
      </c>
      <c r="G997" s="9">
        <v>120</v>
      </c>
      <c r="H997" s="5" t="s">
        <v>21</v>
      </c>
      <c r="I997" s="5" t="s">
        <v>2641</v>
      </c>
      <c r="J997" s="12" t="str">
        <f>HYPERLINK("https://www.boe.es/gazeta/dias/1802/02/09/pdfs/GMD-1802-12.pdf#page=4","Abrir facsímil")</f>
        <v>Abrir facsímil</v>
      </c>
      <c r="K997" s="15" t="s">
        <v>23</v>
      </c>
    </row>
    <row r="998" spans="1:11" ht="42" customHeight="1">
      <c r="A998" s="4" t="s">
        <v>2633</v>
      </c>
      <c r="B998" s="5" t="s">
        <v>2634</v>
      </c>
      <c r="C998" s="5" t="s">
        <v>55</v>
      </c>
      <c r="D998" s="5" t="s">
        <v>56</v>
      </c>
      <c r="E998" s="5" t="s">
        <v>381</v>
      </c>
      <c r="F998" s="9">
        <v>13</v>
      </c>
      <c r="G998" s="9">
        <v>126</v>
      </c>
      <c r="H998" s="5" t="s">
        <v>21</v>
      </c>
      <c r="I998" s="5" t="s">
        <v>2642</v>
      </c>
      <c r="J998" s="12" t="str">
        <f>HYPERLINK("https://www.boe.es/gazeta/dias/1802/02/12/pdfs/GMD-1802-13.pdf#page=2","Abrir facsímil")</f>
        <v>Abrir facsímil</v>
      </c>
      <c r="K998" s="15" t="s">
        <v>23</v>
      </c>
    </row>
    <row r="999" spans="1:11" ht="42" customHeight="1">
      <c r="A999" s="4" t="s">
        <v>2633</v>
      </c>
      <c r="B999" s="5" t="s">
        <v>2634</v>
      </c>
      <c r="C999" s="5" t="s">
        <v>18</v>
      </c>
      <c r="D999" s="5" t="s">
        <v>19</v>
      </c>
      <c r="E999" s="5" t="s">
        <v>1097</v>
      </c>
      <c r="F999" s="9">
        <v>20</v>
      </c>
      <c r="G999" s="9">
        <v>215</v>
      </c>
      <c r="H999" s="5" t="s">
        <v>21</v>
      </c>
      <c r="I999" s="5" t="s">
        <v>2643</v>
      </c>
      <c r="J999" s="12" t="str">
        <f>HYPERLINK("https://www.boe.es/gazeta/dias/1802/03/09/pdfs/GMD-1802-20.pdf#page=3","Abrir facsímil")</f>
        <v>Abrir facsímil</v>
      </c>
      <c r="K999" s="15" t="s">
        <v>23</v>
      </c>
    </row>
    <row r="1000" spans="1:11" ht="42" customHeight="1">
      <c r="A1000" s="4" t="s">
        <v>2633</v>
      </c>
      <c r="B1000" s="5" t="s">
        <v>2634</v>
      </c>
      <c r="C1000" s="5" t="s">
        <v>18</v>
      </c>
      <c r="D1000" s="5" t="s">
        <v>19</v>
      </c>
      <c r="E1000" s="5" t="s">
        <v>167</v>
      </c>
      <c r="F1000" s="9">
        <v>23</v>
      </c>
      <c r="G1000" s="9">
        <v>254</v>
      </c>
      <c r="H1000" s="5" t="s">
        <v>21</v>
      </c>
      <c r="I1000" s="5" t="s">
        <v>2644</v>
      </c>
      <c r="J1000" s="12" t="str">
        <f>HYPERLINK("https://www.boe.es/gazeta/dias/1802/03/19/pdfs/GMD-1802-23.pdf#page=2","Abrir facsímil")</f>
        <v>Abrir facsímil</v>
      </c>
      <c r="K1000" s="15" t="s">
        <v>23</v>
      </c>
    </row>
    <row r="1001" spans="1:11" ht="42" customHeight="1">
      <c r="A1001" s="4" t="s">
        <v>2633</v>
      </c>
      <c r="B1001" s="5" t="s">
        <v>2634</v>
      </c>
      <c r="C1001" s="5" t="s">
        <v>35</v>
      </c>
      <c r="D1001" s="5" t="s">
        <v>36</v>
      </c>
      <c r="E1001" s="5" t="s">
        <v>170</v>
      </c>
      <c r="F1001" s="9">
        <v>28</v>
      </c>
      <c r="G1001" s="9">
        <v>322</v>
      </c>
      <c r="H1001" s="5" t="s">
        <v>21</v>
      </c>
      <c r="I1001" s="5" t="s">
        <v>2645</v>
      </c>
      <c r="J1001" s="12" t="str">
        <f>HYPERLINK("https://www.boe.es/gazeta/dias/1802/04/06/pdfs/GMD-1802-28.pdf#page=2","Abrir facsímil")</f>
        <v>Abrir facsímil</v>
      </c>
      <c r="K1001" s="15" t="s">
        <v>23</v>
      </c>
    </row>
    <row r="1002" spans="1:11" ht="42" customHeight="1">
      <c r="A1002" s="4" t="s">
        <v>2633</v>
      </c>
      <c r="B1002" s="5" t="s">
        <v>2634</v>
      </c>
      <c r="C1002" s="5" t="s">
        <v>35</v>
      </c>
      <c r="D1002" s="5" t="s">
        <v>36</v>
      </c>
      <c r="E1002" s="5" t="s">
        <v>92</v>
      </c>
      <c r="F1002" s="9">
        <v>29</v>
      </c>
      <c r="G1002" s="9">
        <v>334</v>
      </c>
      <c r="H1002" s="5" t="s">
        <v>21</v>
      </c>
      <c r="I1002" s="5" t="s">
        <v>2646</v>
      </c>
      <c r="J1002" s="12" t="str">
        <f>HYPERLINK("https://www.boe.es/gazeta/dias/1802/04/09/pdfs/GMD-1802-29.pdf#page=2","Abrir facsímil")</f>
        <v>Abrir facsímil</v>
      </c>
      <c r="K1002" s="15" t="s">
        <v>23</v>
      </c>
    </row>
    <row r="1003" spans="1:11" ht="42" customHeight="1">
      <c r="A1003" s="4" t="s">
        <v>2633</v>
      </c>
      <c r="B1003" s="5" t="s">
        <v>2634</v>
      </c>
      <c r="C1003" s="5" t="s">
        <v>29</v>
      </c>
      <c r="D1003" s="5" t="s">
        <v>30</v>
      </c>
      <c r="E1003" s="5" t="s">
        <v>133</v>
      </c>
      <c r="F1003" s="9">
        <v>33</v>
      </c>
      <c r="G1003" s="9">
        <v>382</v>
      </c>
      <c r="H1003" s="5" t="s">
        <v>21</v>
      </c>
      <c r="I1003" s="5" t="s">
        <v>2647</v>
      </c>
      <c r="J1003" s="12" t="str">
        <f>HYPERLINK("https://www.boe.es/gazeta/dias/1802/04/23/pdfs/GMD-1802-33.pdf#page=2","Abrir facsímil")</f>
        <v>Abrir facsímil</v>
      </c>
      <c r="K1003" s="15" t="s">
        <v>23</v>
      </c>
    </row>
    <row r="1004" spans="1:11" ht="42" customHeight="1">
      <c r="A1004" s="4" t="s">
        <v>2633</v>
      </c>
      <c r="B1004" s="5" t="s">
        <v>2634</v>
      </c>
      <c r="C1004" s="5" t="s">
        <v>35</v>
      </c>
      <c r="D1004" s="5" t="s">
        <v>36</v>
      </c>
      <c r="E1004" s="5" t="s">
        <v>133</v>
      </c>
      <c r="F1004" s="9">
        <v>33</v>
      </c>
      <c r="G1004" s="9">
        <v>383</v>
      </c>
      <c r="H1004" s="5" t="s">
        <v>21</v>
      </c>
      <c r="I1004" s="5" t="s">
        <v>2648</v>
      </c>
      <c r="J1004" s="12" t="str">
        <f>HYPERLINK("https://www.boe.es/gazeta/dias/1802/04/23/pdfs/GMD-1802-33.pdf#page=3","Abrir facsímil")</f>
        <v>Abrir facsímil</v>
      </c>
      <c r="K1004" s="15" t="s">
        <v>23</v>
      </c>
    </row>
    <row r="1005" spans="1:11" ht="42" customHeight="1">
      <c r="A1005" s="4" t="s">
        <v>2633</v>
      </c>
      <c r="B1005" s="5" t="s">
        <v>2634</v>
      </c>
      <c r="C1005" s="5" t="s">
        <v>29</v>
      </c>
      <c r="D1005" s="5" t="s">
        <v>30</v>
      </c>
      <c r="E1005" s="5" t="s">
        <v>172</v>
      </c>
      <c r="F1005" s="9">
        <v>35</v>
      </c>
      <c r="G1005" s="9">
        <v>405</v>
      </c>
      <c r="H1005" s="5" t="s">
        <v>21</v>
      </c>
      <c r="I1005" s="5" t="s">
        <v>2649</v>
      </c>
      <c r="J1005" s="12" t="str">
        <f>HYPERLINK("https://www.boe.es/gazeta/dias/1802/04/30/pdfs/GMD-1802-35.pdf#page=5","Abrir facsímil")</f>
        <v>Abrir facsímil</v>
      </c>
      <c r="K1005" s="15" t="s">
        <v>23</v>
      </c>
    </row>
    <row r="1006" spans="1:11" ht="42" customHeight="1">
      <c r="A1006" s="4" t="s">
        <v>2633</v>
      </c>
      <c r="B1006" s="5" t="s">
        <v>2634</v>
      </c>
      <c r="C1006" s="5" t="s">
        <v>35</v>
      </c>
      <c r="D1006" s="5" t="s">
        <v>36</v>
      </c>
      <c r="E1006" s="5" t="s">
        <v>175</v>
      </c>
      <c r="F1006" s="9">
        <v>37</v>
      </c>
      <c r="G1006" s="9">
        <v>434</v>
      </c>
      <c r="H1006" s="5" t="s">
        <v>21</v>
      </c>
      <c r="I1006" s="5" t="s">
        <v>2650</v>
      </c>
      <c r="J1006" s="12" t="str">
        <f>HYPERLINK("https://www.boe.es/gazeta/dias/1802/05/07/pdfs/GMD-1802-37.pdf#page=2","Abrir facsímil")</f>
        <v>Abrir facsímil</v>
      </c>
      <c r="K1006" s="15" t="s">
        <v>23</v>
      </c>
    </row>
    <row r="1007" spans="1:11" ht="42" customHeight="1">
      <c r="A1007" s="4" t="s">
        <v>2633</v>
      </c>
      <c r="B1007" s="5" t="s">
        <v>2634</v>
      </c>
      <c r="C1007" s="5" t="s">
        <v>29</v>
      </c>
      <c r="D1007" s="5" t="s">
        <v>30</v>
      </c>
      <c r="E1007" s="5" t="s">
        <v>175</v>
      </c>
      <c r="F1007" s="9">
        <v>37</v>
      </c>
      <c r="G1007" s="9">
        <v>437</v>
      </c>
      <c r="H1007" s="5" t="s">
        <v>21</v>
      </c>
      <c r="I1007" s="5" t="s">
        <v>2651</v>
      </c>
      <c r="J1007" s="12" t="str">
        <f>HYPERLINK("https://www.boe.es/gazeta/dias/1802/05/07/pdfs/GMD-1802-37.pdf#page=5","Abrir facsímil")</f>
        <v>Abrir facsímil</v>
      </c>
      <c r="K1007" s="15" t="s">
        <v>23</v>
      </c>
    </row>
    <row r="1008" spans="1:11" ht="42" customHeight="1">
      <c r="A1008" s="4" t="s">
        <v>2633</v>
      </c>
      <c r="B1008" s="5" t="s">
        <v>2634</v>
      </c>
      <c r="C1008" s="5" t="s">
        <v>35</v>
      </c>
      <c r="D1008" s="5" t="s">
        <v>36</v>
      </c>
      <c r="E1008" s="5" t="s">
        <v>339</v>
      </c>
      <c r="F1008" s="9">
        <v>39</v>
      </c>
      <c r="G1008" s="9">
        <v>458</v>
      </c>
      <c r="H1008" s="5" t="s">
        <v>21</v>
      </c>
      <c r="I1008" s="5" t="s">
        <v>2652</v>
      </c>
      <c r="J1008" s="12" t="str">
        <f>HYPERLINK("https://www.boe.es/gazeta/dias/1802/05/14/pdfs/GMD-1802-39.pdf#page=2","Abrir facsímil")</f>
        <v>Abrir facsímil</v>
      </c>
      <c r="K1008" s="15" t="s">
        <v>23</v>
      </c>
    </row>
    <row r="1009" spans="1:11" ht="42" customHeight="1">
      <c r="A1009" s="4" t="s">
        <v>2633</v>
      </c>
      <c r="B1009" s="5" t="s">
        <v>2634</v>
      </c>
      <c r="C1009" s="5" t="s">
        <v>29</v>
      </c>
      <c r="D1009" s="5" t="s">
        <v>30</v>
      </c>
      <c r="E1009" s="5" t="s">
        <v>670</v>
      </c>
      <c r="F1009" s="9">
        <v>40</v>
      </c>
      <c r="G1009" s="9">
        <v>474</v>
      </c>
      <c r="H1009" s="5" t="s">
        <v>21</v>
      </c>
      <c r="I1009" s="5" t="s">
        <v>2653</v>
      </c>
      <c r="J1009" s="12" t="str">
        <f>HYPERLINK("https://www.boe.es/gazeta/dias/1802/05/18/pdfs/GMD-1802-40.pdf#page=2","Abrir facsímil")</f>
        <v>Abrir facsímil</v>
      </c>
      <c r="K1009" s="15" t="s">
        <v>23</v>
      </c>
    </row>
    <row r="1010" spans="1:11" ht="42" customHeight="1">
      <c r="A1010" s="4" t="s">
        <v>2633</v>
      </c>
      <c r="B1010" s="5" t="s">
        <v>2634</v>
      </c>
      <c r="C1010" s="5" t="s">
        <v>18</v>
      </c>
      <c r="D1010" s="5" t="s">
        <v>19</v>
      </c>
      <c r="E1010" s="5" t="s">
        <v>814</v>
      </c>
      <c r="F1010" s="9">
        <v>41</v>
      </c>
      <c r="G1010" s="9">
        <v>487</v>
      </c>
      <c r="H1010" s="5" t="s">
        <v>21</v>
      </c>
      <c r="I1010" s="5" t="s">
        <v>2654</v>
      </c>
      <c r="J1010" s="12" t="str">
        <f>HYPERLINK("https://www.boe.es/gazeta/dias/1802/05/21/pdfs/GMD-1802-41.pdf#page=3","Abrir facsímil")</f>
        <v>Abrir facsímil</v>
      </c>
      <c r="K1010" s="15" t="s">
        <v>23</v>
      </c>
    </row>
    <row r="1011" spans="1:11" ht="42" customHeight="1">
      <c r="A1011" s="4" t="s">
        <v>2633</v>
      </c>
      <c r="B1011" s="5" t="s">
        <v>2634</v>
      </c>
      <c r="C1011" s="5" t="s">
        <v>18</v>
      </c>
      <c r="D1011" s="5" t="s">
        <v>19</v>
      </c>
      <c r="E1011" s="5" t="s">
        <v>328</v>
      </c>
      <c r="F1011" s="9">
        <v>45</v>
      </c>
      <c r="G1011" s="9">
        <v>538</v>
      </c>
      <c r="H1011" s="5" t="s">
        <v>21</v>
      </c>
      <c r="I1011" s="5" t="s">
        <v>2655</v>
      </c>
      <c r="J1011" s="12" t="str">
        <f>HYPERLINK("https://www.boe.es/gazeta/dias/1802/06/04/pdfs/GMD-1802-45.pdf#page=2","Abrir facsímil")</f>
        <v>Abrir facsímil</v>
      </c>
      <c r="K1011" s="15" t="s">
        <v>23</v>
      </c>
    </row>
    <row r="1012" spans="1:11" ht="42" customHeight="1">
      <c r="A1012" s="4" t="s">
        <v>2633</v>
      </c>
      <c r="B1012" s="5" t="s">
        <v>2634</v>
      </c>
      <c r="C1012" s="5" t="s">
        <v>18</v>
      </c>
      <c r="D1012" s="5" t="s">
        <v>19</v>
      </c>
      <c r="E1012" s="5" t="s">
        <v>530</v>
      </c>
      <c r="F1012" s="9">
        <v>48</v>
      </c>
      <c r="G1012" s="9">
        <v>579</v>
      </c>
      <c r="H1012" s="5" t="s">
        <v>21</v>
      </c>
      <c r="I1012" s="5" t="s">
        <v>2656</v>
      </c>
      <c r="J1012" s="12" t="str">
        <f>HYPERLINK("https://www.boe.es/gazeta/dias/1802/06/15/pdfs/GMD-1802-48.pdf#page=3","Abrir facsímil")</f>
        <v>Abrir facsímil</v>
      </c>
      <c r="K1012" s="15" t="s">
        <v>23</v>
      </c>
    </row>
    <row r="1013" spans="1:11" ht="42" customHeight="1">
      <c r="A1013" s="4" t="s">
        <v>2657</v>
      </c>
      <c r="B1013" s="5" t="s">
        <v>2658</v>
      </c>
      <c r="C1013" s="5" t="s">
        <v>29</v>
      </c>
      <c r="D1013" s="5" t="s">
        <v>30</v>
      </c>
      <c r="E1013" s="5" t="s">
        <v>921</v>
      </c>
      <c r="F1013" s="9">
        <v>50</v>
      </c>
      <c r="G1013" s="9">
        <v>602</v>
      </c>
      <c r="H1013" s="5" t="s">
        <v>21</v>
      </c>
      <c r="I1013" s="5" t="s">
        <v>2659</v>
      </c>
      <c r="J1013" s="12" t="str">
        <f>HYPERLINK("https://www.boe.es/gazeta/dias/1802/06/22/pdfs/GMD-1802-50.pdf#page=2","Abrir facsímil")</f>
        <v>Abrir facsímil</v>
      </c>
      <c r="K1013" s="15" t="s">
        <v>23</v>
      </c>
    </row>
    <row r="1014" spans="1:11" ht="42" customHeight="1">
      <c r="A1014" s="4" t="s">
        <v>2633</v>
      </c>
      <c r="B1014" s="5" t="s">
        <v>2634</v>
      </c>
      <c r="C1014" s="5" t="s">
        <v>35</v>
      </c>
      <c r="D1014" s="5" t="s">
        <v>36</v>
      </c>
      <c r="E1014" s="5" t="s">
        <v>642</v>
      </c>
      <c r="F1014" s="9">
        <v>51</v>
      </c>
      <c r="G1014" s="9">
        <v>615</v>
      </c>
      <c r="H1014" s="5" t="s">
        <v>21</v>
      </c>
      <c r="I1014" s="5" t="s">
        <v>2660</v>
      </c>
      <c r="J1014" s="12" t="str">
        <f>HYPERLINK("https://www.boe.es/gazeta/dias/1802/06/25/pdfs/GMD-1802-51.pdf#page=3","Abrir facsímil")</f>
        <v>Abrir facsímil</v>
      </c>
      <c r="K1014" s="15" t="s">
        <v>23</v>
      </c>
    </row>
    <row r="1015" spans="1:11" ht="42" customHeight="1">
      <c r="A1015" s="4" t="s">
        <v>2633</v>
      </c>
      <c r="B1015" s="5" t="s">
        <v>2634</v>
      </c>
      <c r="C1015" s="5" t="s">
        <v>35</v>
      </c>
      <c r="D1015" s="5" t="s">
        <v>36</v>
      </c>
      <c r="E1015" s="5" t="s">
        <v>642</v>
      </c>
      <c r="F1015" s="9">
        <v>51</v>
      </c>
      <c r="G1015" s="9">
        <v>620</v>
      </c>
      <c r="H1015" s="5" t="s">
        <v>21</v>
      </c>
      <c r="I1015" s="5" t="s">
        <v>2661</v>
      </c>
      <c r="J1015" s="12" t="str">
        <f>HYPERLINK("https://www.boe.es/gazeta/dias/1802/06/25/pdfs/GMD-1802-51.pdf#page=8","Abrir facsímil")</f>
        <v>Abrir facsímil</v>
      </c>
      <c r="K1015" s="15" t="s">
        <v>23</v>
      </c>
    </row>
    <row r="1016" spans="1:11" ht="42" customHeight="1">
      <c r="A1016" s="4" t="s">
        <v>2633</v>
      </c>
      <c r="B1016" s="5" t="s">
        <v>2634</v>
      </c>
      <c r="C1016" s="5" t="s">
        <v>35</v>
      </c>
      <c r="D1016" s="5" t="s">
        <v>36</v>
      </c>
      <c r="E1016" s="5" t="s">
        <v>57</v>
      </c>
      <c r="F1016" s="9">
        <v>54</v>
      </c>
      <c r="G1016" s="9">
        <v>646</v>
      </c>
      <c r="H1016" s="5" t="s">
        <v>21</v>
      </c>
      <c r="I1016" s="5" t="s">
        <v>2662</v>
      </c>
      <c r="J1016" s="12" t="str">
        <f>HYPERLINK("https://www.boe.es/gazeta/dias/1802/07/06/pdfs/GMD-1802-54.pdf#page=2","Abrir facsímil")</f>
        <v>Abrir facsímil</v>
      </c>
      <c r="K1016" s="15" t="s">
        <v>23</v>
      </c>
    </row>
    <row r="1017" spans="1:11" ht="42" customHeight="1">
      <c r="A1017" s="4" t="s">
        <v>2633</v>
      </c>
      <c r="B1017" s="5" t="s">
        <v>2634</v>
      </c>
      <c r="C1017" s="5" t="s">
        <v>29</v>
      </c>
      <c r="D1017" s="5" t="s">
        <v>30</v>
      </c>
      <c r="E1017" s="5" t="s">
        <v>183</v>
      </c>
      <c r="F1017" s="9">
        <v>56</v>
      </c>
      <c r="G1017" s="9">
        <v>672</v>
      </c>
      <c r="H1017" s="5" t="s">
        <v>21</v>
      </c>
      <c r="I1017" s="5" t="s">
        <v>2663</v>
      </c>
      <c r="J1017" s="12" t="str">
        <f>HYPERLINK("https://www.boe.es/gazeta/dias/1802/07/13/pdfs/GMD-1802-56.pdf#page=4","Abrir facsímil")</f>
        <v>Abrir facsímil</v>
      </c>
      <c r="K1017" s="15" t="s">
        <v>23</v>
      </c>
    </row>
    <row r="1018" spans="1:11" ht="42" customHeight="1">
      <c r="A1018" s="4" t="s">
        <v>2633</v>
      </c>
      <c r="B1018" s="5" t="s">
        <v>2634</v>
      </c>
      <c r="C1018" s="5" t="s">
        <v>35</v>
      </c>
      <c r="D1018" s="5" t="s">
        <v>36</v>
      </c>
      <c r="E1018" s="5" t="s">
        <v>491</v>
      </c>
      <c r="F1018" s="9">
        <v>57</v>
      </c>
      <c r="G1018" s="9">
        <v>683</v>
      </c>
      <c r="H1018" s="5" t="s">
        <v>21</v>
      </c>
      <c r="I1018" s="5" t="s">
        <v>2664</v>
      </c>
      <c r="J1018" s="12" t="str">
        <f>HYPERLINK("https://www.boe.es/gazeta/dias/1802/07/16/pdfs/GMD-1802-57.pdf#page=3","Abrir facsímil")</f>
        <v>Abrir facsímil</v>
      </c>
      <c r="K1018" s="15" t="s">
        <v>23</v>
      </c>
    </row>
    <row r="1019" spans="1:11" ht="42" customHeight="1">
      <c r="A1019" s="4" t="s">
        <v>2633</v>
      </c>
      <c r="B1019" s="5" t="s">
        <v>2634</v>
      </c>
      <c r="C1019" s="5" t="s">
        <v>55</v>
      </c>
      <c r="D1019" s="5" t="s">
        <v>56</v>
      </c>
      <c r="E1019" s="5" t="s">
        <v>1749</v>
      </c>
      <c r="F1019" s="9">
        <v>60</v>
      </c>
      <c r="G1019" s="9">
        <v>726</v>
      </c>
      <c r="H1019" s="5" t="s">
        <v>21</v>
      </c>
      <c r="I1019" s="5" t="s">
        <v>2665</v>
      </c>
      <c r="J1019" s="12" t="str">
        <f>HYPERLINK("https://www.boe.es/gazeta/dias/1802/07/23/pdfs/GMD-1802-60.pdf#page=10","Abrir facsímil")</f>
        <v>Abrir facsímil</v>
      </c>
      <c r="K1019" s="15" t="s">
        <v>23</v>
      </c>
    </row>
    <row r="1020" spans="1:11" ht="42" customHeight="1">
      <c r="A1020" s="4" t="s">
        <v>2633</v>
      </c>
      <c r="B1020" s="5" t="s">
        <v>2634</v>
      </c>
      <c r="C1020" s="5" t="s">
        <v>35</v>
      </c>
      <c r="D1020" s="5" t="s">
        <v>36</v>
      </c>
      <c r="E1020" s="5" t="s">
        <v>102</v>
      </c>
      <c r="F1020" s="9">
        <v>73</v>
      </c>
      <c r="G1020" s="9">
        <v>894</v>
      </c>
      <c r="H1020" s="5" t="s">
        <v>21</v>
      </c>
      <c r="I1020" s="5" t="s">
        <v>2666</v>
      </c>
      <c r="J1020" s="12" t="str">
        <f>HYPERLINK("https://www.boe.es/gazeta/dias/1802/09/07/pdfs/GMD-1802-73.pdf#page=2","Abrir facsímil")</f>
        <v>Abrir facsímil</v>
      </c>
      <c r="K1020" s="15" t="s">
        <v>23</v>
      </c>
    </row>
    <row r="1021" spans="1:11" ht="42" customHeight="1">
      <c r="A1021" s="4" t="s">
        <v>2633</v>
      </c>
      <c r="B1021" s="5" t="s">
        <v>2634</v>
      </c>
      <c r="C1021" s="5" t="s">
        <v>29</v>
      </c>
      <c r="D1021" s="5" t="s">
        <v>30</v>
      </c>
      <c r="E1021" s="5" t="s">
        <v>82</v>
      </c>
      <c r="F1021" s="9">
        <v>74</v>
      </c>
      <c r="G1021" s="9">
        <v>905</v>
      </c>
      <c r="H1021" s="5" t="s">
        <v>21</v>
      </c>
      <c r="I1021" s="5" t="s">
        <v>2667</v>
      </c>
      <c r="J1021" s="12" t="str">
        <f>HYPERLINK("https://www.boe.es/gazeta/dias/1802/09/10/pdfs/GMD-1802-74.pdf#page=1","Abrir facsímil")</f>
        <v>Abrir facsímil</v>
      </c>
      <c r="K1021" s="15" t="s">
        <v>23</v>
      </c>
    </row>
    <row r="1022" spans="1:11" ht="42" customHeight="1">
      <c r="A1022" s="4" t="s">
        <v>2633</v>
      </c>
      <c r="B1022" s="5" t="s">
        <v>2634</v>
      </c>
      <c r="C1022" s="5" t="s">
        <v>35</v>
      </c>
      <c r="D1022" s="5" t="s">
        <v>36</v>
      </c>
      <c r="E1022" s="5" t="s">
        <v>443</v>
      </c>
      <c r="F1022" s="9">
        <v>78</v>
      </c>
      <c r="G1022" s="9">
        <v>954</v>
      </c>
      <c r="H1022" s="5" t="s">
        <v>21</v>
      </c>
      <c r="I1022" s="5" t="s">
        <v>2668</v>
      </c>
      <c r="J1022" s="12" t="str">
        <f>HYPERLINK("https://www.boe.es/gazeta/dias/1802/09/24/pdfs/GMD-1802-78.pdf#page=2","Abrir facsímil")</f>
        <v>Abrir facsímil</v>
      </c>
      <c r="K1022" s="15" t="s">
        <v>23</v>
      </c>
    </row>
    <row r="1023" spans="1:11" ht="42" customHeight="1">
      <c r="A1023" s="4" t="s">
        <v>2633</v>
      </c>
      <c r="B1023" s="5" t="s">
        <v>2634</v>
      </c>
      <c r="C1023" s="5" t="s">
        <v>35</v>
      </c>
      <c r="D1023" s="5" t="s">
        <v>36</v>
      </c>
      <c r="E1023" s="5" t="s">
        <v>481</v>
      </c>
      <c r="F1023" s="9">
        <v>79</v>
      </c>
      <c r="G1023" s="9">
        <v>966</v>
      </c>
      <c r="H1023" s="5" t="s">
        <v>21</v>
      </c>
      <c r="I1023" s="5" t="s">
        <v>2669</v>
      </c>
      <c r="J1023" s="12" t="str">
        <f>HYPERLINK("https://www.boe.es/gazeta/dias/1802/09/28/pdfs/GMD-1802-79.pdf#page=2","Abrir facsímil")</f>
        <v>Abrir facsímil</v>
      </c>
      <c r="K1023" s="15" t="s">
        <v>23</v>
      </c>
    </row>
    <row r="1024" spans="1:11" ht="42" customHeight="1">
      <c r="A1024" s="4" t="s">
        <v>2633</v>
      </c>
      <c r="B1024" s="5" t="s">
        <v>2634</v>
      </c>
      <c r="C1024" s="5" t="s">
        <v>35</v>
      </c>
      <c r="D1024" s="5" t="s">
        <v>36</v>
      </c>
      <c r="E1024" s="5" t="s">
        <v>219</v>
      </c>
      <c r="F1024" s="9">
        <v>81</v>
      </c>
      <c r="G1024" s="9">
        <v>989</v>
      </c>
      <c r="H1024" s="5" t="s">
        <v>21</v>
      </c>
      <c r="I1024" s="5" t="s">
        <v>2670</v>
      </c>
      <c r="J1024" s="12" t="str">
        <f>HYPERLINK("https://www.boe.es/gazeta/dias/1802/10/05/pdfs/GMD-1802-81.pdf#page=1","Abrir facsímil")</f>
        <v>Abrir facsímil</v>
      </c>
      <c r="K1024" s="15" t="s">
        <v>23</v>
      </c>
    </row>
    <row r="1025" spans="1:11" ht="42" customHeight="1">
      <c r="A1025" s="4" t="s">
        <v>2633</v>
      </c>
      <c r="B1025" s="5" t="s">
        <v>2634</v>
      </c>
      <c r="C1025" s="5" t="s">
        <v>29</v>
      </c>
      <c r="D1025" s="5" t="s">
        <v>30</v>
      </c>
      <c r="E1025" s="5" t="s">
        <v>429</v>
      </c>
      <c r="F1025" s="9">
        <v>91</v>
      </c>
      <c r="G1025" s="9">
        <v>1122</v>
      </c>
      <c r="H1025" s="5" t="s">
        <v>21</v>
      </c>
      <c r="I1025" s="5" t="s">
        <v>2671</v>
      </c>
      <c r="J1025" s="12" t="str">
        <f>HYPERLINK("https://www.boe.es/gazeta/dias/1802/11/09/pdfs/GMD-1802-91.pdf#page=2","Abrir facsímil")</f>
        <v>Abrir facsímil</v>
      </c>
      <c r="K1025" s="15" t="s">
        <v>23</v>
      </c>
    </row>
    <row r="1026" spans="1:11" ht="42" customHeight="1">
      <c r="A1026" s="4" t="s">
        <v>2633</v>
      </c>
      <c r="B1026" s="5" t="s">
        <v>2634</v>
      </c>
      <c r="C1026" s="5" t="s">
        <v>29</v>
      </c>
      <c r="D1026" s="5" t="s">
        <v>30</v>
      </c>
      <c r="E1026" s="5" t="s">
        <v>823</v>
      </c>
      <c r="F1026" s="9">
        <v>94</v>
      </c>
      <c r="G1026" s="9">
        <v>1154</v>
      </c>
      <c r="H1026" s="5" t="s">
        <v>21</v>
      </c>
      <c r="I1026" s="5" t="s">
        <v>2672</v>
      </c>
      <c r="J1026" s="12" t="str">
        <f>HYPERLINK("https://www.boe.es/gazeta/dias/1802/11/19/pdfs/GMD-1802-94.pdf#page=2","Abrir facsímil")</f>
        <v>Abrir facsímil</v>
      </c>
      <c r="K1026" s="15" t="s">
        <v>23</v>
      </c>
    </row>
    <row r="1027" spans="1:11" ht="42" customHeight="1">
      <c r="A1027" s="4" t="s">
        <v>2633</v>
      </c>
      <c r="B1027" s="5" t="s">
        <v>2634</v>
      </c>
      <c r="C1027" s="5" t="s">
        <v>35</v>
      </c>
      <c r="D1027" s="5" t="s">
        <v>36</v>
      </c>
      <c r="E1027" s="5" t="s">
        <v>604</v>
      </c>
      <c r="F1027" s="9">
        <v>100</v>
      </c>
      <c r="G1027" s="9">
        <v>1229</v>
      </c>
      <c r="H1027" s="5" t="s">
        <v>21</v>
      </c>
      <c r="I1027" s="5" t="s">
        <v>2673</v>
      </c>
      <c r="J1027" s="12" t="str">
        <f>HYPERLINK("https://www.boe.es/gazeta/dias/1802/12/10/pdfs/GMD-1802-100.pdf#page=1","Abrir facsímil")</f>
        <v>Abrir facsímil</v>
      </c>
      <c r="K1027" s="15" t="s">
        <v>23</v>
      </c>
    </row>
    <row r="1028" spans="1:11" ht="42" customHeight="1">
      <c r="A1028" s="4" t="s">
        <v>2633</v>
      </c>
      <c r="B1028" s="5" t="s">
        <v>2634</v>
      </c>
      <c r="C1028" s="5" t="s">
        <v>35</v>
      </c>
      <c r="D1028" s="5" t="s">
        <v>36</v>
      </c>
      <c r="E1028" s="5" t="s">
        <v>1264</v>
      </c>
      <c r="F1028" s="9">
        <v>105</v>
      </c>
      <c r="G1028" s="9">
        <v>1278</v>
      </c>
      <c r="H1028" s="5" t="s">
        <v>21</v>
      </c>
      <c r="I1028" s="5" t="s">
        <v>2674</v>
      </c>
      <c r="J1028" s="12" t="str">
        <f>HYPERLINK("https://www.boe.es/gazeta/dias/1802/12/28/pdfs/GMD-1802-105.pdf#page=2","Abrir facsímil")</f>
        <v>Abrir facsímil</v>
      </c>
      <c r="K1028" s="15" t="s">
        <v>23</v>
      </c>
    </row>
    <row r="1029" spans="1:11" ht="42" customHeight="1">
      <c r="A1029" s="4" t="s">
        <v>2675</v>
      </c>
      <c r="B1029" s="5" t="s">
        <v>2676</v>
      </c>
      <c r="C1029" s="5" t="s">
        <v>90</v>
      </c>
      <c r="D1029" s="5" t="s">
        <v>91</v>
      </c>
      <c r="E1029" s="5" t="s">
        <v>678</v>
      </c>
      <c r="F1029" s="9">
        <v>15</v>
      </c>
      <c r="G1029" s="9">
        <v>150</v>
      </c>
      <c r="H1029" s="5" t="s">
        <v>21</v>
      </c>
      <c r="I1029" s="5" t="s">
        <v>2677</v>
      </c>
      <c r="J1029" s="12" t="str">
        <f>HYPERLINK("https://www.boe.es/gazeta/dias/1802/02/19/pdfs/GMD-1802-15.pdf#page=2","Abrir facsímil")</f>
        <v>Abrir facsímil</v>
      </c>
      <c r="K1029" s="15" t="s">
        <v>23</v>
      </c>
    </row>
    <row r="1030" spans="1:11" ht="42" customHeight="1">
      <c r="A1030" s="4" t="s">
        <v>2678</v>
      </c>
      <c r="B1030" s="5" t="s">
        <v>2679</v>
      </c>
      <c r="C1030" s="5" t="s">
        <v>90</v>
      </c>
      <c r="D1030" s="5" t="s">
        <v>91</v>
      </c>
      <c r="E1030" s="5" t="s">
        <v>1051</v>
      </c>
      <c r="F1030" s="9">
        <v>43</v>
      </c>
      <c r="G1030" s="9">
        <v>510</v>
      </c>
      <c r="H1030" s="5" t="s">
        <v>21</v>
      </c>
      <c r="I1030" s="5" t="s">
        <v>2680</v>
      </c>
      <c r="J1030" s="12" t="str">
        <f>HYPERLINK("https://www.boe.es/gazeta/dias/1802/05/28/pdfs/GMD-1802-43.pdf#page=2","Abrir facsímil")</f>
        <v>Abrir facsímil</v>
      </c>
      <c r="K1030" s="15" t="s">
        <v>23</v>
      </c>
    </row>
    <row r="1031" spans="1:11" ht="42" customHeight="1">
      <c r="A1031" s="4" t="s">
        <v>2681</v>
      </c>
      <c r="B1031" s="5" t="s">
        <v>2682</v>
      </c>
      <c r="C1031" s="5" t="s">
        <v>90</v>
      </c>
      <c r="D1031" s="5" t="s">
        <v>91</v>
      </c>
      <c r="E1031" s="5" t="s">
        <v>299</v>
      </c>
      <c r="F1031" s="9">
        <v>19</v>
      </c>
      <c r="G1031" s="9">
        <v>203</v>
      </c>
      <c r="H1031" s="5" t="s">
        <v>21</v>
      </c>
      <c r="I1031" s="5" t="s">
        <v>2683</v>
      </c>
      <c r="J1031" s="12" t="str">
        <f>HYPERLINK("https://www.boe.es/gazeta/dias/1802/03/05/pdfs/GMD-1802-19.pdf#page=3","Abrir facsímil")</f>
        <v>Abrir facsímil</v>
      </c>
      <c r="K1031" s="15" t="s">
        <v>23</v>
      </c>
    </row>
    <row r="1032" spans="1:11" ht="42" customHeight="1">
      <c r="A1032" s="4" t="s">
        <v>2684</v>
      </c>
      <c r="B1032" s="5" t="s">
        <v>2684</v>
      </c>
      <c r="C1032" s="5" t="s">
        <v>35</v>
      </c>
      <c r="D1032" s="5" t="s">
        <v>36</v>
      </c>
      <c r="E1032" s="5" t="s">
        <v>86</v>
      </c>
      <c r="F1032" s="9">
        <v>26</v>
      </c>
      <c r="G1032" s="9">
        <v>293</v>
      </c>
      <c r="H1032" s="5" t="s">
        <v>21</v>
      </c>
      <c r="I1032" s="5" t="s">
        <v>2685</v>
      </c>
      <c r="J1032" s="12" t="str">
        <f>HYPERLINK("https://www.boe.es/gazeta/dias/1802/03/30/pdfs/GMD-1802-26.pdf#page=5","Abrir facsímil")</f>
        <v>Abrir facsímil</v>
      </c>
      <c r="K1032" s="15" t="s">
        <v>23</v>
      </c>
    </row>
    <row r="1033" spans="1:11" ht="42" customHeight="1">
      <c r="A1033" s="4" t="s">
        <v>2686</v>
      </c>
      <c r="B1033" s="5" t="s">
        <v>2687</v>
      </c>
      <c r="C1033" s="5" t="s">
        <v>55</v>
      </c>
      <c r="D1033" s="5" t="s">
        <v>56</v>
      </c>
      <c r="E1033" s="5" t="s">
        <v>71</v>
      </c>
      <c r="F1033" s="9">
        <v>21</v>
      </c>
      <c r="G1033" s="9">
        <v>236</v>
      </c>
      <c r="H1033" s="5" t="s">
        <v>21</v>
      </c>
      <c r="I1033" s="5" t="s">
        <v>2688</v>
      </c>
      <c r="J1033" s="12" t="str">
        <f>HYPERLINK("https://www.boe.es/gazeta/dias/1802/03/12/pdfs/GMD-1802-21.pdf#page=12","Abrir facsímil")</f>
        <v>Abrir facsímil</v>
      </c>
      <c r="K1033" s="15" t="s">
        <v>23</v>
      </c>
    </row>
    <row r="1034" spans="1:11" ht="42" customHeight="1">
      <c r="A1034" s="4" t="s">
        <v>2686</v>
      </c>
      <c r="B1034" s="5" t="s">
        <v>2687</v>
      </c>
      <c r="C1034" s="5" t="s">
        <v>55</v>
      </c>
      <c r="D1034" s="5" t="s">
        <v>56</v>
      </c>
      <c r="E1034" s="5" t="s">
        <v>332</v>
      </c>
      <c r="F1034" s="9">
        <v>24</v>
      </c>
      <c r="G1034" s="9">
        <v>276</v>
      </c>
      <c r="H1034" s="5" t="s">
        <v>21</v>
      </c>
      <c r="I1034" s="5" t="s">
        <v>2689</v>
      </c>
      <c r="J1034" s="12" t="str">
        <f>HYPERLINK("https://www.boe.es/gazeta/dias/1802/03/23/pdfs/GMD-1802-24.pdf#page=12","Abrir facsímil")</f>
        <v>Abrir facsímil</v>
      </c>
      <c r="K1034" s="15" t="s">
        <v>23</v>
      </c>
    </row>
    <row r="1035" spans="1:11" ht="42" customHeight="1">
      <c r="A1035" s="4" t="s">
        <v>2686</v>
      </c>
      <c r="B1035" s="5" t="s">
        <v>2687</v>
      </c>
      <c r="C1035" s="5" t="s">
        <v>55</v>
      </c>
      <c r="D1035" s="5" t="s">
        <v>56</v>
      </c>
      <c r="E1035" s="5" t="s">
        <v>1749</v>
      </c>
      <c r="F1035" s="9">
        <v>60</v>
      </c>
      <c r="G1035" s="9">
        <v>732</v>
      </c>
      <c r="H1035" s="5" t="s">
        <v>21</v>
      </c>
      <c r="I1035" s="5" t="s">
        <v>2690</v>
      </c>
      <c r="J1035" s="12" t="str">
        <f>HYPERLINK("https://www.boe.es/gazeta/dias/1802/07/23/pdfs/GMD-1802-60.pdf#page=16","Abrir facsímil")</f>
        <v>Abrir facsímil</v>
      </c>
      <c r="K1035" s="15" t="s">
        <v>23</v>
      </c>
    </row>
    <row r="1036" spans="1:11" ht="42" customHeight="1">
      <c r="A1036" s="4" t="s">
        <v>2686</v>
      </c>
      <c r="B1036" s="5" t="s">
        <v>2687</v>
      </c>
      <c r="C1036" s="5" t="s">
        <v>55</v>
      </c>
      <c r="D1036" s="5" t="s">
        <v>56</v>
      </c>
      <c r="E1036" s="5" t="s">
        <v>757</v>
      </c>
      <c r="F1036" s="9">
        <v>104</v>
      </c>
      <c r="G1036" s="9">
        <v>1272</v>
      </c>
      <c r="H1036" s="5" t="s">
        <v>21</v>
      </c>
      <c r="I1036" s="5" t="s">
        <v>2691</v>
      </c>
      <c r="J1036" s="12" t="str">
        <f>HYPERLINK("https://www.boe.es/gazeta/dias/1802/12/24/pdfs/GMD-1802-104.pdf#page=8","Abrir facsímil")</f>
        <v>Abrir facsímil</v>
      </c>
      <c r="K1036" s="15" t="s">
        <v>23</v>
      </c>
    </row>
    <row r="1037" spans="1:11" ht="42" customHeight="1">
      <c r="A1037" s="4" t="s">
        <v>2692</v>
      </c>
      <c r="B1037" s="5" t="s">
        <v>2693</v>
      </c>
      <c r="C1037" s="5" t="s">
        <v>35</v>
      </c>
      <c r="D1037" s="5" t="s">
        <v>36</v>
      </c>
      <c r="E1037" s="5" t="s">
        <v>148</v>
      </c>
      <c r="F1037" s="9">
        <v>66</v>
      </c>
      <c r="G1037" s="9">
        <v>808</v>
      </c>
      <c r="H1037" s="5" t="s">
        <v>21</v>
      </c>
      <c r="I1037" s="5" t="s">
        <v>2694</v>
      </c>
      <c r="J1037" s="12" t="str">
        <f>HYPERLINK("https://www.boe.es/gazeta/dias/1802/08/13/pdfs/GMD-1802-66.pdf#page=12","Abrir facsímil")</f>
        <v>Abrir facsímil</v>
      </c>
      <c r="K1037" s="15" t="s">
        <v>23</v>
      </c>
    </row>
    <row r="1038" spans="1:11" ht="42" customHeight="1">
      <c r="A1038" s="4" t="s">
        <v>2695</v>
      </c>
      <c r="B1038" s="5" t="s">
        <v>2696</v>
      </c>
      <c r="C1038" s="5" t="s">
        <v>29</v>
      </c>
      <c r="D1038" s="5" t="s">
        <v>30</v>
      </c>
      <c r="E1038" s="5" t="s">
        <v>299</v>
      </c>
      <c r="F1038" s="9">
        <v>19</v>
      </c>
      <c r="G1038" s="9">
        <v>210</v>
      </c>
      <c r="H1038" s="5" t="s">
        <v>21</v>
      </c>
      <c r="I1038" s="5" t="s">
        <v>2697</v>
      </c>
      <c r="J1038" s="12" t="str">
        <f>HYPERLINK("https://www.boe.es/gazeta/dias/1802/03/05/pdfs/GMD-1802-19.pdf#page=10","Abrir facsímil")</f>
        <v>Abrir facsímil</v>
      </c>
      <c r="K1038" s="15" t="s">
        <v>23</v>
      </c>
    </row>
    <row r="1039" spans="1:11" ht="42" customHeight="1">
      <c r="A1039" s="4" t="s">
        <v>2698</v>
      </c>
      <c r="B1039" s="5" t="s">
        <v>2699</v>
      </c>
      <c r="C1039" s="5" t="s">
        <v>55</v>
      </c>
      <c r="D1039" s="5" t="s">
        <v>56</v>
      </c>
      <c r="E1039" s="5" t="s">
        <v>292</v>
      </c>
      <c r="F1039" s="9">
        <v>62</v>
      </c>
      <c r="G1039" s="9">
        <v>756</v>
      </c>
      <c r="H1039" s="5" t="s">
        <v>21</v>
      </c>
      <c r="I1039" s="5" t="s">
        <v>2700</v>
      </c>
      <c r="J1039" s="12" t="str">
        <f>HYPERLINK("https://www.boe.es/gazeta/dias/1802/07/30/pdfs/GMD-1802-62.pdf#page=12","Abrir facsímil")</f>
        <v>Abrir facsímil</v>
      </c>
      <c r="K1039" s="15" t="s">
        <v>23</v>
      </c>
    </row>
    <row r="1040" spans="1:11" ht="42" customHeight="1">
      <c r="A1040" s="4" t="s">
        <v>2701</v>
      </c>
      <c r="B1040" s="5" t="s">
        <v>2702</v>
      </c>
      <c r="C1040" s="5" t="s">
        <v>42</v>
      </c>
      <c r="D1040" s="5" t="s">
        <v>43</v>
      </c>
      <c r="E1040" s="5" t="s">
        <v>44</v>
      </c>
      <c r="F1040" s="9">
        <v>99</v>
      </c>
      <c r="G1040" s="9" t="s">
        <v>548</v>
      </c>
      <c r="H1040" s="5" t="s">
        <v>21</v>
      </c>
      <c r="I1040" s="5" t="s">
        <v>2703</v>
      </c>
      <c r="J1040" s="12" t="str">
        <f>HYPERLINK("https://www.boe.es/gazeta/dias/1802/12/07/pdfs/GMD-D-1802-99.pdf#page=12","Abrir facsímil")</f>
        <v>Abrir facsímil</v>
      </c>
      <c r="K1040" s="15" t="s">
        <v>23</v>
      </c>
    </row>
    <row r="1041" spans="1:11" ht="42" customHeight="1">
      <c r="A1041" s="4" t="s">
        <v>2704</v>
      </c>
      <c r="B1041" s="5" t="s">
        <v>2704</v>
      </c>
      <c r="C1041" s="5" t="s">
        <v>29</v>
      </c>
      <c r="D1041" s="5" t="s">
        <v>30</v>
      </c>
      <c r="E1041" s="5" t="s">
        <v>172</v>
      </c>
      <c r="F1041" s="9">
        <v>35</v>
      </c>
      <c r="G1041" s="9">
        <v>411</v>
      </c>
      <c r="H1041" s="5" t="s">
        <v>21</v>
      </c>
      <c r="I1041" s="5" t="s">
        <v>2705</v>
      </c>
      <c r="J1041" s="12" t="str">
        <f>HYPERLINK("https://www.boe.es/gazeta/dias/1802/04/30/pdfs/GMD-1802-35.pdf#page=11","Abrir facsímil")</f>
        <v>Abrir facsímil</v>
      </c>
      <c r="K1041" s="15" t="s">
        <v>23</v>
      </c>
    </row>
    <row r="1042" spans="1:11" ht="42" customHeight="1">
      <c r="A1042" s="4" t="s">
        <v>2706</v>
      </c>
      <c r="B1042" s="5" t="s">
        <v>2707</v>
      </c>
      <c r="C1042" s="5" t="s">
        <v>35</v>
      </c>
      <c r="D1042" s="5" t="s">
        <v>36</v>
      </c>
      <c r="E1042" s="5" t="s">
        <v>292</v>
      </c>
      <c r="F1042" s="9">
        <v>62</v>
      </c>
      <c r="G1042" s="9">
        <v>745</v>
      </c>
      <c r="H1042" s="5" t="s">
        <v>21</v>
      </c>
      <c r="I1042" s="5" t="s">
        <v>2708</v>
      </c>
      <c r="J1042" s="12" t="str">
        <f>HYPERLINK("https://www.boe.es/gazeta/dias/1802/07/30/pdfs/GMD-1802-62.pdf#page=1","Abrir facsímil")</f>
        <v>Abrir facsímil</v>
      </c>
      <c r="K1042" s="15" t="s">
        <v>23</v>
      </c>
    </row>
    <row r="1043" spans="1:11" ht="42" customHeight="1">
      <c r="A1043" s="4" t="s">
        <v>2709</v>
      </c>
      <c r="B1043" s="5" t="s">
        <v>2710</v>
      </c>
      <c r="C1043" s="5" t="s">
        <v>35</v>
      </c>
      <c r="D1043" s="5" t="s">
        <v>36</v>
      </c>
      <c r="E1043" s="5" t="s">
        <v>185</v>
      </c>
      <c r="F1043" s="9">
        <v>95</v>
      </c>
      <c r="G1043" s="9">
        <v>1170</v>
      </c>
      <c r="H1043" s="5" t="s">
        <v>21</v>
      </c>
      <c r="I1043" s="5" t="s">
        <v>2711</v>
      </c>
      <c r="J1043" s="12" t="str">
        <f>HYPERLINK("https://www.boe.es/gazeta/dias/1802/11/23/pdfs/GMD-1802-95.pdf#page=6","Abrir facsímil")</f>
        <v>Abrir facsímil</v>
      </c>
      <c r="K1043" s="15" t="s">
        <v>23</v>
      </c>
    </row>
    <row r="1044" spans="1:11" ht="42" customHeight="1">
      <c r="A1044" s="4" t="s">
        <v>2712</v>
      </c>
      <c r="B1044" s="5" t="s">
        <v>2713</v>
      </c>
      <c r="C1044" s="5" t="s">
        <v>42</v>
      </c>
      <c r="D1044" s="5" t="s">
        <v>43</v>
      </c>
      <c r="E1044" s="5" t="s">
        <v>44</v>
      </c>
      <c r="F1044" s="9">
        <v>99</v>
      </c>
      <c r="G1044" s="9" t="s">
        <v>295</v>
      </c>
      <c r="H1044" s="5" t="s">
        <v>21</v>
      </c>
      <c r="I1044" s="5" t="s">
        <v>2714</v>
      </c>
      <c r="J1044" s="12" t="str">
        <f>HYPERLINK("https://www.boe.es/gazeta/dias/1802/12/07/pdfs/GMD-D-1802-99.pdf#page=7","Abrir facsímil")</f>
        <v>Abrir facsímil</v>
      </c>
      <c r="K1044" s="15" t="s">
        <v>23</v>
      </c>
    </row>
    <row r="1045" spans="1:11" ht="42" customHeight="1">
      <c r="A1045" s="4" t="s">
        <v>2715</v>
      </c>
      <c r="B1045" s="5" t="s">
        <v>2716</v>
      </c>
      <c r="C1045" s="5" t="s">
        <v>29</v>
      </c>
      <c r="D1045" s="5" t="s">
        <v>30</v>
      </c>
      <c r="E1045" s="5" t="s">
        <v>102</v>
      </c>
      <c r="F1045" s="9">
        <v>73</v>
      </c>
      <c r="G1045" s="9">
        <v>901</v>
      </c>
      <c r="H1045" s="5" t="s">
        <v>21</v>
      </c>
      <c r="I1045" s="5" t="s">
        <v>2717</v>
      </c>
      <c r="J1045" s="12" t="str">
        <f>HYPERLINK("https://www.boe.es/gazeta/dias/1802/09/07/pdfs/GMD-1802-73.pdf#page=9","Abrir facsímil")</f>
        <v>Abrir facsímil</v>
      </c>
      <c r="K1045" s="15" t="s">
        <v>23</v>
      </c>
    </row>
    <row r="1046" spans="1:11" ht="42" customHeight="1">
      <c r="A1046" s="4" t="s">
        <v>2715</v>
      </c>
      <c r="B1046" s="5" t="s">
        <v>2716</v>
      </c>
      <c r="C1046" s="5" t="s">
        <v>55</v>
      </c>
      <c r="D1046" s="5" t="s">
        <v>56</v>
      </c>
      <c r="E1046" s="5" t="s">
        <v>49</v>
      </c>
      <c r="F1046" s="9">
        <v>83</v>
      </c>
      <c r="G1046" s="9">
        <v>1021</v>
      </c>
      <c r="H1046" s="5" t="s">
        <v>21</v>
      </c>
      <c r="I1046" s="5" t="s">
        <v>2718</v>
      </c>
      <c r="J1046" s="12" t="str">
        <f>HYPERLINK("https://www.boe.es/gazeta/dias/1802/10/12/pdfs/GMD-1802-83.pdf#page=9","Abrir facsímil")</f>
        <v>Abrir facsímil</v>
      </c>
      <c r="K1046" s="15" t="s">
        <v>23</v>
      </c>
    </row>
    <row r="1047" spans="1:11" ht="42" customHeight="1">
      <c r="A1047" s="4" t="s">
        <v>2719</v>
      </c>
      <c r="B1047" s="5" t="s">
        <v>2720</v>
      </c>
      <c r="C1047" s="5" t="s">
        <v>18</v>
      </c>
      <c r="D1047" s="5" t="s">
        <v>19</v>
      </c>
      <c r="E1047" s="5" t="s">
        <v>20</v>
      </c>
      <c r="F1047" s="9">
        <v>84</v>
      </c>
      <c r="G1047" s="9">
        <v>1040</v>
      </c>
      <c r="H1047" s="5" t="s">
        <v>21</v>
      </c>
      <c r="I1047" s="5" t="s">
        <v>2721</v>
      </c>
      <c r="J1047" s="12" t="str">
        <f>HYPERLINK("https://www.boe.es/gazeta/dias/1802/10/15/pdfs/GMD-1802-84.pdf#page=8","Abrir facsímil")</f>
        <v>Abrir facsímil</v>
      </c>
      <c r="K1047" s="15" t="s">
        <v>23</v>
      </c>
    </row>
    <row r="1048" spans="1:11" ht="42" customHeight="1">
      <c r="A1048" s="4" t="s">
        <v>2722</v>
      </c>
      <c r="B1048" s="5" t="s">
        <v>2723</v>
      </c>
      <c r="C1048" s="5" t="s">
        <v>29</v>
      </c>
      <c r="D1048" s="5" t="s">
        <v>30</v>
      </c>
      <c r="E1048" s="5" t="s">
        <v>109</v>
      </c>
      <c r="F1048" s="9">
        <v>10</v>
      </c>
      <c r="G1048" s="9">
        <v>98</v>
      </c>
      <c r="H1048" s="5" t="s">
        <v>21</v>
      </c>
      <c r="I1048" s="5" t="s">
        <v>2724</v>
      </c>
      <c r="J1048" s="12" t="str">
        <f>HYPERLINK("https://www.boe.es/gazeta/dias/1802/02/02/pdfs/GMD-1802-10.pdf#page=6","Abrir facsímil")</f>
        <v>Abrir facsímil</v>
      </c>
      <c r="K1048" s="15" t="s">
        <v>23</v>
      </c>
    </row>
    <row r="1049" spans="1:11" ht="42" customHeight="1">
      <c r="A1049" s="4" t="s">
        <v>2725</v>
      </c>
      <c r="B1049" s="5" t="s">
        <v>2726</v>
      </c>
      <c r="C1049" s="5" t="s">
        <v>29</v>
      </c>
      <c r="D1049" s="5" t="s">
        <v>30</v>
      </c>
      <c r="E1049" s="5" t="s">
        <v>206</v>
      </c>
      <c r="F1049" s="9">
        <v>22</v>
      </c>
      <c r="G1049" s="9">
        <v>241</v>
      </c>
      <c r="H1049" s="5" t="s">
        <v>21</v>
      </c>
      <c r="I1049" s="5" t="s">
        <v>2727</v>
      </c>
      <c r="J1049" s="12" t="str">
        <f>HYPERLINK("https://www.boe.es/gazeta/dias/1802/03/16/pdfs/GMD-1802-22.pdf#page=9","Abrir facsímil")</f>
        <v>Abrir facsímil</v>
      </c>
      <c r="K1049" s="15" t="s">
        <v>23</v>
      </c>
    </row>
    <row r="1050" spans="1:11" ht="42" customHeight="1">
      <c r="A1050" s="4" t="s">
        <v>2728</v>
      </c>
      <c r="B1050" s="5" t="s">
        <v>2729</v>
      </c>
      <c r="C1050" s="5" t="s">
        <v>42</v>
      </c>
      <c r="D1050" s="5" t="s">
        <v>43</v>
      </c>
      <c r="E1050" s="5" t="s">
        <v>44</v>
      </c>
      <c r="F1050" s="9">
        <v>99</v>
      </c>
      <c r="G1050" s="9" t="s">
        <v>544</v>
      </c>
      <c r="H1050" s="5" t="s">
        <v>21</v>
      </c>
      <c r="I1050" s="5" t="s">
        <v>2730</v>
      </c>
      <c r="J1050" s="12" t="str">
        <f>HYPERLINK("https://www.boe.es/gazeta/dias/1802/12/07/pdfs/GMD-D-1802-99.pdf#page=11","Abrir facsímil")</f>
        <v>Abrir facsímil</v>
      </c>
      <c r="K1050" s="15" t="s">
        <v>23</v>
      </c>
    </row>
    <row r="1051" spans="1:11" ht="42" customHeight="1">
      <c r="A1051" s="4" t="s">
        <v>2731</v>
      </c>
      <c r="B1051" s="5" t="s">
        <v>2732</v>
      </c>
      <c r="C1051" s="5" t="s">
        <v>90</v>
      </c>
      <c r="D1051" s="5" t="s">
        <v>91</v>
      </c>
      <c r="E1051" s="5" t="s">
        <v>1051</v>
      </c>
      <c r="F1051" s="9">
        <v>43</v>
      </c>
      <c r="G1051" s="9">
        <v>518</v>
      </c>
      <c r="H1051" s="5" t="s">
        <v>21</v>
      </c>
      <c r="I1051" s="5" t="s">
        <v>2733</v>
      </c>
      <c r="J1051" s="12" t="str">
        <f>HYPERLINK("https://www.boe.es/gazeta/dias/1802/05/28/pdfs/GMD-1802-43.pdf#page=10","Abrir facsímil")</f>
        <v>Abrir facsímil</v>
      </c>
      <c r="K1051" s="15" t="s">
        <v>23</v>
      </c>
    </row>
    <row r="1052" spans="1:11" ht="42" customHeight="1">
      <c r="A1052" s="4" t="s">
        <v>2734</v>
      </c>
      <c r="B1052" s="5" t="s">
        <v>2735</v>
      </c>
      <c r="C1052" s="5" t="s">
        <v>29</v>
      </c>
      <c r="D1052" s="5" t="s">
        <v>30</v>
      </c>
      <c r="E1052" s="5" t="s">
        <v>1407</v>
      </c>
      <c r="F1052" s="9">
        <v>8</v>
      </c>
      <c r="G1052" s="9">
        <v>78</v>
      </c>
      <c r="H1052" s="5" t="s">
        <v>21</v>
      </c>
      <c r="I1052" s="5" t="s">
        <v>2736</v>
      </c>
      <c r="J1052" s="12" t="str">
        <f>HYPERLINK("https://www.boe.es/gazeta/dias/1802/01/26/pdfs/GMD-1802-8.pdf#page=6","Abrir facsímil")</f>
        <v>Abrir facsímil</v>
      </c>
      <c r="K1052" s="15" t="s">
        <v>23</v>
      </c>
    </row>
    <row r="1053" spans="1:11" ht="42" customHeight="1">
      <c r="A1053" s="4" t="s">
        <v>2737</v>
      </c>
      <c r="B1053" s="5" t="s">
        <v>2738</v>
      </c>
      <c r="C1053" s="5" t="s">
        <v>29</v>
      </c>
      <c r="D1053" s="5" t="s">
        <v>30</v>
      </c>
      <c r="E1053" s="5" t="s">
        <v>714</v>
      </c>
      <c r="F1053" s="9">
        <v>89</v>
      </c>
      <c r="G1053" s="9">
        <v>1107</v>
      </c>
      <c r="H1053" s="5" t="s">
        <v>21</v>
      </c>
      <c r="I1053" s="5" t="s">
        <v>2739</v>
      </c>
      <c r="J1053" s="12" t="str">
        <f>HYPERLINK("https://www.boe.es/gazeta/dias/1802/11/02/pdfs/GMD-1802-89.pdf#page=11","Abrir facsímil")</f>
        <v>Abrir facsímil</v>
      </c>
      <c r="K1053" s="15" t="s">
        <v>23</v>
      </c>
    </row>
    <row r="1054" spans="1:11" ht="42" customHeight="1">
      <c r="A1054" s="4" t="s">
        <v>2740</v>
      </c>
      <c r="B1054" s="5" t="s">
        <v>2741</v>
      </c>
      <c r="C1054" s="5" t="s">
        <v>18</v>
      </c>
      <c r="D1054" s="5" t="s">
        <v>19</v>
      </c>
      <c r="E1054" s="5" t="s">
        <v>152</v>
      </c>
      <c r="F1054" s="9">
        <v>25</v>
      </c>
      <c r="G1054" s="9">
        <v>284</v>
      </c>
      <c r="H1054" s="5" t="s">
        <v>21</v>
      </c>
      <c r="I1054" s="5" t="s">
        <v>2742</v>
      </c>
      <c r="J1054" s="12" t="str">
        <f>HYPERLINK("https://www.boe.es/gazeta/dias/1802/03/26/pdfs/GMD-1802-25.pdf#page=8","Abrir facsímil")</f>
        <v>Abrir facsímil</v>
      </c>
      <c r="K1054" s="15" t="s">
        <v>23</v>
      </c>
    </row>
    <row r="1055" spans="1:11" ht="42" customHeight="1">
      <c r="A1055" s="4" t="s">
        <v>2740</v>
      </c>
      <c r="B1055" s="5" t="s">
        <v>2741</v>
      </c>
      <c r="C1055" s="5" t="s">
        <v>29</v>
      </c>
      <c r="D1055" s="5" t="s">
        <v>30</v>
      </c>
      <c r="E1055" s="5" t="s">
        <v>148</v>
      </c>
      <c r="F1055" s="9">
        <v>66</v>
      </c>
      <c r="G1055" s="9">
        <v>808</v>
      </c>
      <c r="H1055" s="5" t="s">
        <v>21</v>
      </c>
      <c r="I1055" s="5" t="s">
        <v>2743</v>
      </c>
      <c r="J1055" s="12" t="str">
        <f>HYPERLINK("https://www.boe.es/gazeta/dias/1802/08/13/pdfs/GMD-1802-66.pdf#page=12","Abrir facsímil")</f>
        <v>Abrir facsímil</v>
      </c>
      <c r="K1055" s="15" t="s">
        <v>23</v>
      </c>
    </row>
    <row r="1056" spans="1:11" ht="42" customHeight="1">
      <c r="A1056" s="4" t="s">
        <v>2744</v>
      </c>
      <c r="B1056" s="5" t="s">
        <v>2745</v>
      </c>
      <c r="C1056" s="5" t="s">
        <v>90</v>
      </c>
      <c r="D1056" s="5" t="s">
        <v>91</v>
      </c>
      <c r="E1056" s="5" t="s">
        <v>631</v>
      </c>
      <c r="F1056" s="9">
        <v>36</v>
      </c>
      <c r="G1056" s="9">
        <v>431</v>
      </c>
      <c r="H1056" s="5" t="s">
        <v>21</v>
      </c>
      <c r="I1056" s="5" t="s">
        <v>2746</v>
      </c>
      <c r="J1056" s="12" t="str">
        <f>HYPERLINK("https://www.boe.es/gazeta/dias/1802/05/04/pdfs/GMD-1802-36.pdf#page=11","Abrir facsímil")</f>
        <v>Abrir facsímil</v>
      </c>
      <c r="K1056" s="15" t="s">
        <v>23</v>
      </c>
    </row>
    <row r="1057" spans="1:11" ht="42" customHeight="1">
      <c r="A1057" s="4" t="s">
        <v>2747</v>
      </c>
      <c r="B1057" s="5" t="s">
        <v>2748</v>
      </c>
      <c r="C1057" s="5" t="s">
        <v>42</v>
      </c>
      <c r="D1057" s="5" t="s">
        <v>43</v>
      </c>
      <c r="E1057" s="5" t="s">
        <v>44</v>
      </c>
      <c r="F1057" s="9">
        <v>99</v>
      </c>
      <c r="G1057" s="9" t="s">
        <v>322</v>
      </c>
      <c r="H1057" s="5" t="s">
        <v>21</v>
      </c>
      <c r="I1057" s="5" t="s">
        <v>2749</v>
      </c>
      <c r="J1057" s="12" t="str">
        <f>HYPERLINK("https://www.boe.es/gazeta/dias/1802/12/07/pdfs/GMD-D-1802-99.pdf#page=10","Abrir facsímil")</f>
        <v>Abrir facsímil</v>
      </c>
      <c r="K1057" s="15" t="s">
        <v>23</v>
      </c>
    </row>
    <row r="1058" spans="1:11" ht="42" customHeight="1">
      <c r="A1058" s="4" t="s">
        <v>2750</v>
      </c>
      <c r="B1058" s="5" t="s">
        <v>2751</v>
      </c>
      <c r="C1058" s="5" t="s">
        <v>90</v>
      </c>
      <c r="D1058" s="5" t="s">
        <v>91</v>
      </c>
      <c r="E1058" s="5" t="s">
        <v>181</v>
      </c>
      <c r="F1058" s="9">
        <v>55</v>
      </c>
      <c r="G1058" s="9">
        <v>660</v>
      </c>
      <c r="H1058" s="5" t="s">
        <v>21</v>
      </c>
      <c r="I1058" s="5" t="s">
        <v>2752</v>
      </c>
      <c r="J1058" s="12" t="str">
        <f>HYPERLINK("https://www.boe.es/gazeta/dias/1802/07/09/pdfs/GMD-1802-55.pdf#page=4","Abrir facsímil")</f>
        <v>Abrir facsímil</v>
      </c>
      <c r="K1058" s="15" t="s">
        <v>23</v>
      </c>
    </row>
    <row r="1059" spans="1:11" ht="42" customHeight="1">
      <c r="A1059" s="4" t="s">
        <v>2753</v>
      </c>
      <c r="B1059" s="5" t="s">
        <v>2754</v>
      </c>
      <c r="C1059" s="5" t="s">
        <v>29</v>
      </c>
      <c r="D1059" s="5" t="s">
        <v>30</v>
      </c>
      <c r="E1059" s="5" t="s">
        <v>170</v>
      </c>
      <c r="F1059" s="9">
        <v>28</v>
      </c>
      <c r="G1059" s="9">
        <v>330</v>
      </c>
      <c r="H1059" s="5" t="s">
        <v>21</v>
      </c>
      <c r="I1059" s="5" t="s">
        <v>2755</v>
      </c>
      <c r="J1059" s="12" t="str">
        <f>HYPERLINK("https://www.boe.es/gazeta/dias/1802/04/06/pdfs/GMD-1802-28.pdf#page=10","Abrir facsímil")</f>
        <v>Abrir facsímil</v>
      </c>
      <c r="K1059" s="15" t="s">
        <v>23</v>
      </c>
    </row>
    <row r="1060" spans="1:11" ht="42" customHeight="1">
      <c r="A1060" s="4" t="s">
        <v>2756</v>
      </c>
      <c r="B1060" s="5" t="s">
        <v>2757</v>
      </c>
      <c r="C1060" s="5" t="s">
        <v>18</v>
      </c>
      <c r="D1060" s="5" t="s">
        <v>19</v>
      </c>
      <c r="E1060" s="5" t="s">
        <v>20</v>
      </c>
      <c r="F1060" s="9">
        <v>84</v>
      </c>
      <c r="G1060" s="9">
        <v>1046</v>
      </c>
      <c r="H1060" s="5" t="s">
        <v>21</v>
      </c>
      <c r="I1060" s="5" t="s">
        <v>2758</v>
      </c>
      <c r="J1060" s="12" t="str">
        <f>HYPERLINK("https://www.boe.es/gazeta/dias/1802/10/15/pdfs/GMD-1802-84.pdf#page=14","Abrir facsímil")</f>
        <v>Abrir facsímil</v>
      </c>
      <c r="K1060" s="15" t="s">
        <v>23</v>
      </c>
    </row>
    <row r="1061" spans="1:11" ht="42" customHeight="1">
      <c r="A1061" s="4" t="s">
        <v>2759</v>
      </c>
      <c r="B1061" s="5" t="s">
        <v>2760</v>
      </c>
      <c r="C1061" s="5" t="s">
        <v>42</v>
      </c>
      <c r="D1061" s="5" t="s">
        <v>43</v>
      </c>
      <c r="E1061" s="5" t="s">
        <v>44</v>
      </c>
      <c r="F1061" s="9">
        <v>99</v>
      </c>
      <c r="G1061" s="9" t="s">
        <v>295</v>
      </c>
      <c r="H1061" s="5" t="s">
        <v>21</v>
      </c>
      <c r="I1061" s="5" t="s">
        <v>2761</v>
      </c>
      <c r="J1061" s="12" t="str">
        <f>HYPERLINK("https://www.boe.es/gazeta/dias/1802/12/07/pdfs/GMD-D-1802-99.pdf#page=7","Abrir facsímil")</f>
        <v>Abrir facsímil</v>
      </c>
      <c r="K1061" s="15" t="s">
        <v>23</v>
      </c>
    </row>
    <row r="1062" spans="1:11" ht="42" customHeight="1">
      <c r="A1062" s="4" t="s">
        <v>2762</v>
      </c>
      <c r="B1062" s="5" t="s">
        <v>2763</v>
      </c>
      <c r="C1062" s="5" t="s">
        <v>42</v>
      </c>
      <c r="D1062" s="5" t="s">
        <v>43</v>
      </c>
      <c r="E1062" s="5" t="s">
        <v>44</v>
      </c>
      <c r="F1062" s="9">
        <v>99</v>
      </c>
      <c r="G1062" s="9" t="s">
        <v>272</v>
      </c>
      <c r="H1062" s="5" t="s">
        <v>21</v>
      </c>
      <c r="I1062" s="5" t="s">
        <v>2764</v>
      </c>
      <c r="J1062" s="12" t="str">
        <f>HYPERLINK("https://www.boe.es/gazeta/dias/1802/12/07/pdfs/GMD-D-1802-99.pdf#page=3","Abrir facsímil")</f>
        <v>Abrir facsímil</v>
      </c>
      <c r="K1062" s="15" t="s">
        <v>23</v>
      </c>
    </row>
    <row r="1063" spans="1:11" ht="42" customHeight="1">
      <c r="A1063" s="4" t="s">
        <v>2765</v>
      </c>
      <c r="B1063" s="5" t="s">
        <v>2765</v>
      </c>
      <c r="C1063" s="5" t="s">
        <v>18</v>
      </c>
      <c r="D1063" s="5" t="s">
        <v>19</v>
      </c>
      <c r="E1063" s="5" t="s">
        <v>196</v>
      </c>
      <c r="F1063" s="9">
        <v>2</v>
      </c>
      <c r="G1063" s="9">
        <v>12</v>
      </c>
      <c r="H1063" s="5" t="s">
        <v>21</v>
      </c>
      <c r="I1063" s="5" t="s">
        <v>2766</v>
      </c>
      <c r="J1063" s="12" t="str">
        <f>HYPERLINK("https://www.boe.es/gazeta/dias/1802/01/05/pdfs/GMD-1802-2.pdf#page=4","Abrir facsímil")</f>
        <v>Abrir facsímil</v>
      </c>
      <c r="K1063" s="15" t="s">
        <v>23</v>
      </c>
    </row>
    <row r="1064" spans="1:11" ht="42" customHeight="1">
      <c r="A1064" s="4" t="s">
        <v>2767</v>
      </c>
      <c r="B1064" s="5" t="s">
        <v>2767</v>
      </c>
      <c r="C1064" s="5" t="s">
        <v>18</v>
      </c>
      <c r="D1064" s="5" t="s">
        <v>19</v>
      </c>
      <c r="E1064" s="5" t="s">
        <v>339</v>
      </c>
      <c r="F1064" s="9">
        <v>39</v>
      </c>
      <c r="G1064" s="9">
        <v>472</v>
      </c>
      <c r="H1064" s="5" t="s">
        <v>21</v>
      </c>
      <c r="I1064" s="5" t="s">
        <v>2768</v>
      </c>
      <c r="J1064" s="12" t="str">
        <f>HYPERLINK("https://www.boe.es/gazeta/dias/1802/05/14/pdfs/GMD-1802-39.pdf#page=16","Abrir facsímil")</f>
        <v>Abrir facsímil</v>
      </c>
      <c r="K1064" s="15" t="s">
        <v>23</v>
      </c>
    </row>
    <row r="1065" spans="1:11" ht="42" customHeight="1">
      <c r="A1065" s="4" t="s">
        <v>2769</v>
      </c>
      <c r="B1065" s="5" t="s">
        <v>2770</v>
      </c>
      <c r="C1065" s="5" t="s">
        <v>18</v>
      </c>
      <c r="D1065" s="5" t="s">
        <v>19</v>
      </c>
      <c r="E1065" s="5" t="s">
        <v>219</v>
      </c>
      <c r="F1065" s="9">
        <v>81</v>
      </c>
      <c r="G1065" s="9">
        <v>998</v>
      </c>
      <c r="H1065" s="5" t="s">
        <v>21</v>
      </c>
      <c r="I1065" s="5" t="s">
        <v>2771</v>
      </c>
      <c r="J1065" s="12" t="str">
        <f>HYPERLINK("https://www.boe.es/gazeta/dias/1802/10/05/pdfs/GMD-1802-81.pdf#page=10","Abrir facsímil")</f>
        <v>Abrir facsímil</v>
      </c>
      <c r="K1065" s="15" t="s">
        <v>23</v>
      </c>
    </row>
    <row r="1066" spans="1:11" ht="42" customHeight="1">
      <c r="A1066" s="4" t="s">
        <v>2772</v>
      </c>
      <c r="B1066" s="5" t="s">
        <v>2773</v>
      </c>
      <c r="C1066" s="5" t="s">
        <v>29</v>
      </c>
      <c r="D1066" s="5" t="s">
        <v>30</v>
      </c>
      <c r="E1066" s="5" t="s">
        <v>299</v>
      </c>
      <c r="F1066" s="9">
        <v>19</v>
      </c>
      <c r="G1066" s="9">
        <v>210</v>
      </c>
      <c r="H1066" s="5" t="s">
        <v>21</v>
      </c>
      <c r="I1066" s="5" t="s">
        <v>2774</v>
      </c>
      <c r="J1066" s="12" t="str">
        <f>HYPERLINK("https://www.boe.es/gazeta/dias/1802/03/05/pdfs/GMD-1802-19.pdf#page=10","Abrir facsímil")</f>
        <v>Abrir facsímil</v>
      </c>
      <c r="K1066" s="15" t="s">
        <v>23</v>
      </c>
    </row>
    <row r="1067" spans="1:11" ht="42" customHeight="1">
      <c r="A1067" s="4" t="s">
        <v>2775</v>
      </c>
      <c r="B1067" s="5" t="s">
        <v>2776</v>
      </c>
      <c r="C1067" s="5" t="s">
        <v>42</v>
      </c>
      <c r="D1067" s="5" t="s">
        <v>43</v>
      </c>
      <c r="E1067" s="5" t="s">
        <v>44</v>
      </c>
      <c r="F1067" s="9">
        <v>99</v>
      </c>
      <c r="G1067" s="9" t="s">
        <v>537</v>
      </c>
      <c r="H1067" s="5" t="s">
        <v>21</v>
      </c>
      <c r="I1067" s="5" t="s">
        <v>2777</v>
      </c>
      <c r="J1067" s="12" t="str">
        <f>HYPERLINK("https://www.boe.es/gazeta/dias/1802/12/07/pdfs/GMD-D-1802-99.pdf#page=9","Abrir facsímil")</f>
        <v>Abrir facsímil</v>
      </c>
      <c r="K1067" s="15" t="s">
        <v>23</v>
      </c>
    </row>
    <row r="1068" spans="1:11" ht="42" customHeight="1">
      <c r="A1068" s="4" t="s">
        <v>2778</v>
      </c>
      <c r="B1068" s="5" t="s">
        <v>2779</v>
      </c>
      <c r="C1068" s="5" t="s">
        <v>42</v>
      </c>
      <c r="D1068" s="5" t="s">
        <v>43</v>
      </c>
      <c r="E1068" s="5" t="s">
        <v>44</v>
      </c>
      <c r="F1068" s="9">
        <v>99</v>
      </c>
      <c r="G1068" s="9" t="s">
        <v>550</v>
      </c>
      <c r="H1068" s="5" t="s">
        <v>21</v>
      </c>
      <c r="I1068" s="5" t="s">
        <v>2780</v>
      </c>
      <c r="J1068" s="12" t="str">
        <f>HYPERLINK("https://www.boe.es/gazeta/dias/1802/12/07/pdfs/GMD-D-1802-99.pdf#page=16","Abrir facsímil")</f>
        <v>Abrir facsímil</v>
      </c>
      <c r="K1068" s="15" t="s">
        <v>23</v>
      </c>
    </row>
    <row r="1069" spans="1:11" ht="42" customHeight="1">
      <c r="A1069" s="4" t="s">
        <v>2781</v>
      </c>
      <c r="B1069" s="5" t="s">
        <v>2782</v>
      </c>
      <c r="C1069" s="5" t="s">
        <v>18</v>
      </c>
      <c r="D1069" s="5" t="s">
        <v>19</v>
      </c>
      <c r="E1069" s="5" t="s">
        <v>49</v>
      </c>
      <c r="F1069" s="9">
        <v>83</v>
      </c>
      <c r="G1069" s="9">
        <v>1022</v>
      </c>
      <c r="H1069" s="5" t="s">
        <v>21</v>
      </c>
      <c r="I1069" s="5" t="s">
        <v>2783</v>
      </c>
      <c r="J1069" s="12" t="str">
        <f>HYPERLINK("https://www.boe.es/gazeta/dias/1802/10/12/pdfs/GMD-1802-83.pdf#page=10","Abrir facsímil")</f>
        <v>Abrir facsímil</v>
      </c>
      <c r="K1069" s="15" t="s">
        <v>23</v>
      </c>
    </row>
    <row r="1070" spans="1:11" ht="42" customHeight="1">
      <c r="A1070" s="4" t="s">
        <v>2784</v>
      </c>
      <c r="B1070" s="5" t="s">
        <v>2785</v>
      </c>
      <c r="C1070" s="5" t="s">
        <v>29</v>
      </c>
      <c r="D1070" s="5" t="s">
        <v>30</v>
      </c>
      <c r="E1070" s="5" t="s">
        <v>678</v>
      </c>
      <c r="F1070" s="9">
        <v>15</v>
      </c>
      <c r="G1070" s="9">
        <v>157</v>
      </c>
      <c r="H1070" s="5" t="s">
        <v>21</v>
      </c>
      <c r="I1070" s="5" t="s">
        <v>2786</v>
      </c>
      <c r="J1070" s="12" t="str">
        <f>HYPERLINK("https://www.boe.es/gazeta/dias/1802/02/19/pdfs/GMD-1802-15.pdf#page=9","Abrir facsímil")</f>
        <v>Abrir facsímil</v>
      </c>
      <c r="K1070" s="15" t="s">
        <v>23</v>
      </c>
    </row>
    <row r="1071" spans="1:11" ht="42" customHeight="1">
      <c r="A1071" s="4" t="s">
        <v>2787</v>
      </c>
      <c r="B1071" s="5" t="s">
        <v>2788</v>
      </c>
      <c r="C1071" s="5" t="s">
        <v>90</v>
      </c>
      <c r="D1071" s="5" t="s">
        <v>91</v>
      </c>
      <c r="E1071" s="5" t="s">
        <v>60</v>
      </c>
      <c r="F1071" s="9">
        <v>5</v>
      </c>
      <c r="G1071" s="9">
        <v>50</v>
      </c>
      <c r="H1071" s="5" t="s">
        <v>21</v>
      </c>
      <c r="I1071" s="5" t="s">
        <v>2789</v>
      </c>
      <c r="J1071" s="12" t="str">
        <f>HYPERLINK("https://www.boe.es/gazeta/dias/1802/01/15/pdfs/GMD-1802-5.pdf#page=6","Abrir facsímil")</f>
        <v>Abrir facsímil</v>
      </c>
      <c r="K1071" s="15" t="s">
        <v>23</v>
      </c>
    </row>
    <row r="1072" spans="1:11" ht="42" customHeight="1">
      <c r="A1072" s="4" t="s">
        <v>2790</v>
      </c>
      <c r="B1072" s="5" t="s">
        <v>2791</v>
      </c>
      <c r="C1072" s="5" t="s">
        <v>29</v>
      </c>
      <c r="D1072" s="5" t="s">
        <v>30</v>
      </c>
      <c r="E1072" s="5" t="s">
        <v>299</v>
      </c>
      <c r="F1072" s="9">
        <v>19</v>
      </c>
      <c r="G1072" s="9">
        <v>210</v>
      </c>
      <c r="H1072" s="5" t="s">
        <v>21</v>
      </c>
      <c r="I1072" s="5" t="s">
        <v>2792</v>
      </c>
      <c r="J1072" s="12" t="str">
        <f>HYPERLINK("https://www.boe.es/gazeta/dias/1802/03/05/pdfs/GMD-1802-19.pdf#page=10","Abrir facsímil")</f>
        <v>Abrir facsímil</v>
      </c>
      <c r="K1072" s="15" t="s">
        <v>23</v>
      </c>
    </row>
    <row r="1073" spans="1:11" ht="42" customHeight="1">
      <c r="A1073" s="4" t="s">
        <v>2793</v>
      </c>
      <c r="B1073" s="5" t="s">
        <v>2794</v>
      </c>
      <c r="C1073" s="5" t="s">
        <v>29</v>
      </c>
      <c r="D1073" s="5" t="s">
        <v>30</v>
      </c>
      <c r="E1073" s="5" t="s">
        <v>678</v>
      </c>
      <c r="F1073" s="9">
        <v>15</v>
      </c>
      <c r="G1073" s="9">
        <v>158</v>
      </c>
      <c r="H1073" s="5" t="s">
        <v>21</v>
      </c>
      <c r="I1073" s="5" t="s">
        <v>2795</v>
      </c>
      <c r="J1073" s="12" t="str">
        <f>HYPERLINK("https://www.boe.es/gazeta/dias/1802/02/19/pdfs/GMD-1802-15.pdf#page=10","Abrir facsímil")</f>
        <v>Abrir facsímil</v>
      </c>
      <c r="K1073" s="15" t="s">
        <v>23</v>
      </c>
    </row>
    <row r="1074" spans="1:11" ht="42" customHeight="1">
      <c r="A1074" s="4" t="s">
        <v>2796</v>
      </c>
      <c r="B1074" s="5" t="s">
        <v>2797</v>
      </c>
      <c r="C1074" s="5" t="s">
        <v>18</v>
      </c>
      <c r="D1074" s="5" t="s">
        <v>19</v>
      </c>
      <c r="E1074" s="5" t="s">
        <v>530</v>
      </c>
      <c r="F1074" s="9">
        <v>48</v>
      </c>
      <c r="G1074" s="9">
        <v>587</v>
      </c>
      <c r="H1074" s="5" t="s">
        <v>21</v>
      </c>
      <c r="I1074" s="5" t="s">
        <v>2798</v>
      </c>
      <c r="J1074" s="12" t="str">
        <f>HYPERLINK("https://www.boe.es/gazeta/dias/1802/06/15/pdfs/GMD-1802-48.pdf#page=11","Abrir facsímil")</f>
        <v>Abrir facsímil</v>
      </c>
      <c r="K1074" s="15" t="s">
        <v>23</v>
      </c>
    </row>
    <row r="1075" spans="1:11" ht="42" customHeight="1">
      <c r="A1075" s="4" t="s">
        <v>2799</v>
      </c>
      <c r="B1075" s="5" t="s">
        <v>2800</v>
      </c>
      <c r="C1075" s="5" t="s">
        <v>18</v>
      </c>
      <c r="D1075" s="5" t="s">
        <v>19</v>
      </c>
      <c r="E1075" s="5" t="s">
        <v>49</v>
      </c>
      <c r="F1075" s="9">
        <v>83</v>
      </c>
      <c r="G1075" s="9">
        <v>1025</v>
      </c>
      <c r="H1075" s="5" t="s">
        <v>21</v>
      </c>
      <c r="I1075" s="5" t="s">
        <v>2801</v>
      </c>
      <c r="J1075" s="12" t="str">
        <f>HYPERLINK("https://www.boe.es/gazeta/dias/1802/10/12/pdfs/GMD-1802-83.pdf#page=13","Abrir facsímil")</f>
        <v>Abrir facsímil</v>
      </c>
      <c r="K1075" s="15" t="s">
        <v>23</v>
      </c>
    </row>
    <row r="1076" spans="1:11" ht="42" customHeight="1">
      <c r="A1076" s="4" t="s">
        <v>2802</v>
      </c>
      <c r="B1076" s="5" t="s">
        <v>2802</v>
      </c>
      <c r="C1076" s="5" t="s">
        <v>90</v>
      </c>
      <c r="D1076" s="5" t="s">
        <v>91</v>
      </c>
      <c r="E1076" s="5" t="s">
        <v>678</v>
      </c>
      <c r="F1076" s="9">
        <v>15</v>
      </c>
      <c r="G1076" s="9">
        <v>158</v>
      </c>
      <c r="H1076" s="5" t="s">
        <v>21</v>
      </c>
      <c r="I1076" s="5" t="s">
        <v>2803</v>
      </c>
      <c r="J1076" s="12" t="str">
        <f>HYPERLINK("https://www.boe.es/gazeta/dias/1802/02/19/pdfs/GMD-1802-15.pdf#page=10","Abrir facsímil")</f>
        <v>Abrir facsímil</v>
      </c>
      <c r="K1076" s="15" t="s">
        <v>23</v>
      </c>
    </row>
    <row r="1077" spans="1:11" ht="42" customHeight="1">
      <c r="A1077" s="4" t="s">
        <v>2804</v>
      </c>
      <c r="B1077" s="5" t="s">
        <v>2804</v>
      </c>
      <c r="C1077" s="5" t="s">
        <v>42</v>
      </c>
      <c r="D1077" s="5" t="s">
        <v>43</v>
      </c>
      <c r="E1077" s="5" t="s">
        <v>44</v>
      </c>
      <c r="F1077" s="9">
        <v>99</v>
      </c>
      <c r="G1077" s="9" t="s">
        <v>537</v>
      </c>
      <c r="H1077" s="5" t="s">
        <v>21</v>
      </c>
      <c r="I1077" s="5" t="s">
        <v>2805</v>
      </c>
      <c r="J1077" s="12" t="str">
        <f>HYPERLINK("https://www.boe.es/gazeta/dias/1802/12/07/pdfs/GMD-D-1802-99.pdf#page=9","Abrir facsímil")</f>
        <v>Abrir facsímil</v>
      </c>
      <c r="K1077" s="15" t="s">
        <v>23</v>
      </c>
    </row>
    <row r="1078" spans="1:11" ht="42" customHeight="1">
      <c r="A1078" s="4" t="s">
        <v>2806</v>
      </c>
      <c r="B1078" s="5" t="s">
        <v>2806</v>
      </c>
      <c r="C1078" s="5" t="s">
        <v>160</v>
      </c>
      <c r="D1078" s="5" t="s">
        <v>91</v>
      </c>
      <c r="E1078" s="5" t="s">
        <v>86</v>
      </c>
      <c r="F1078" s="9">
        <v>26</v>
      </c>
      <c r="G1078" s="9">
        <v>299</v>
      </c>
      <c r="H1078" s="5" t="s">
        <v>21</v>
      </c>
      <c r="I1078" s="5" t="s">
        <v>2807</v>
      </c>
      <c r="J1078" s="12" t="str">
        <f>HYPERLINK("https://www.boe.es/gazeta/dias/1802/03/30/pdfs/GMD-1802-26.pdf#page=11","Abrir facsímil")</f>
        <v>Abrir facsímil</v>
      </c>
      <c r="K1078" s="15" t="s">
        <v>23</v>
      </c>
    </row>
    <row r="1079" spans="1:11" ht="42" customHeight="1">
      <c r="A1079" s="4" t="s">
        <v>2806</v>
      </c>
      <c r="B1079" s="5" t="s">
        <v>2806</v>
      </c>
      <c r="C1079" s="5" t="s">
        <v>29</v>
      </c>
      <c r="D1079" s="5" t="s">
        <v>30</v>
      </c>
      <c r="E1079" s="5" t="s">
        <v>232</v>
      </c>
      <c r="F1079" s="9">
        <v>30</v>
      </c>
      <c r="G1079" s="9">
        <v>352</v>
      </c>
      <c r="H1079" s="5" t="s">
        <v>21</v>
      </c>
      <c r="I1079" s="5" t="s">
        <v>2808</v>
      </c>
      <c r="J1079" s="12" t="str">
        <f>HYPERLINK("https://www.boe.es/gazeta/dias/1802/04/13/pdfs/GMD-1802-30.pdf#page=8","Abrir facsímil")</f>
        <v>Abrir facsímil</v>
      </c>
      <c r="K1079" s="15" t="s">
        <v>23</v>
      </c>
    </row>
    <row r="1080" spans="1:11" ht="42" customHeight="1">
      <c r="A1080" s="4" t="s">
        <v>2809</v>
      </c>
      <c r="B1080" s="5" t="s">
        <v>2810</v>
      </c>
      <c r="C1080" s="5" t="s">
        <v>18</v>
      </c>
      <c r="D1080" s="5" t="s">
        <v>19</v>
      </c>
      <c r="E1080" s="5" t="s">
        <v>1097</v>
      </c>
      <c r="F1080" s="9">
        <v>20</v>
      </c>
      <c r="G1080" s="9">
        <v>215</v>
      </c>
      <c r="H1080" s="5" t="s">
        <v>21</v>
      </c>
      <c r="I1080" s="5" t="s">
        <v>2811</v>
      </c>
      <c r="J1080" s="12" t="str">
        <f>HYPERLINK("https://www.boe.es/gazeta/dias/1802/03/09/pdfs/GMD-1802-20.pdf#page=3","Abrir facsímil")</f>
        <v>Abrir facsímil</v>
      </c>
      <c r="K1080" s="15" t="s">
        <v>23</v>
      </c>
    </row>
    <row r="1081" spans="1:11" ht="42" customHeight="1">
      <c r="A1081" s="4" t="s">
        <v>2812</v>
      </c>
      <c r="B1081" s="5" t="s">
        <v>2812</v>
      </c>
      <c r="C1081" s="5" t="s">
        <v>18</v>
      </c>
      <c r="D1081" s="5" t="s">
        <v>19</v>
      </c>
      <c r="E1081" s="5" t="s">
        <v>49</v>
      </c>
      <c r="F1081" s="9">
        <v>83</v>
      </c>
      <c r="G1081" s="9">
        <v>1024</v>
      </c>
      <c r="H1081" s="5" t="s">
        <v>21</v>
      </c>
      <c r="I1081" s="5" t="s">
        <v>2813</v>
      </c>
      <c r="J1081" s="12" t="str">
        <f>HYPERLINK("https://www.boe.es/gazeta/dias/1802/10/12/pdfs/GMD-1802-83.pdf#page=12","Abrir facsímil")</f>
        <v>Abrir facsímil</v>
      </c>
      <c r="K1081" s="15" t="s">
        <v>23</v>
      </c>
    </row>
    <row r="1082" spans="1:11" ht="42" customHeight="1">
      <c r="A1082" s="4" t="s">
        <v>2814</v>
      </c>
      <c r="B1082" s="5" t="s">
        <v>2814</v>
      </c>
      <c r="C1082" s="5" t="s">
        <v>42</v>
      </c>
      <c r="D1082" s="5" t="s">
        <v>43</v>
      </c>
      <c r="E1082" s="5" t="s">
        <v>44</v>
      </c>
      <c r="F1082" s="9">
        <v>99</v>
      </c>
      <c r="G1082" s="9" t="s">
        <v>779</v>
      </c>
      <c r="H1082" s="5" t="s">
        <v>21</v>
      </c>
      <c r="I1082" s="5" t="s">
        <v>2815</v>
      </c>
      <c r="J1082" s="12" t="str">
        <f>HYPERLINK("https://www.boe.es/gazeta/dias/1802/12/07/pdfs/GMD-D-1802-99.pdf#page=13","Abrir facsímil")</f>
        <v>Abrir facsímil</v>
      </c>
      <c r="K1082" s="15" t="s">
        <v>23</v>
      </c>
    </row>
    <row r="1083" spans="1:11" ht="42" customHeight="1">
      <c r="A1083" s="4" t="s">
        <v>2816</v>
      </c>
      <c r="B1083" s="5" t="s">
        <v>2816</v>
      </c>
      <c r="C1083" s="5" t="s">
        <v>18</v>
      </c>
      <c r="D1083" s="5" t="s">
        <v>19</v>
      </c>
      <c r="E1083" s="5" t="s">
        <v>49</v>
      </c>
      <c r="F1083" s="9">
        <v>83</v>
      </c>
      <c r="G1083" s="9">
        <v>1023</v>
      </c>
      <c r="H1083" s="5" t="s">
        <v>21</v>
      </c>
      <c r="I1083" s="5" t="s">
        <v>2817</v>
      </c>
      <c r="J1083" s="12" t="str">
        <f>HYPERLINK("https://www.boe.es/gazeta/dias/1802/10/12/pdfs/GMD-1802-83.pdf#page=11","Abrir facsímil")</f>
        <v>Abrir facsímil</v>
      </c>
      <c r="K1083" s="15" t="s">
        <v>23</v>
      </c>
    </row>
    <row r="1084" spans="1:11" ht="42" customHeight="1">
      <c r="A1084" s="4" t="s">
        <v>2818</v>
      </c>
      <c r="B1084" s="5" t="s">
        <v>2819</v>
      </c>
      <c r="C1084" s="5" t="s">
        <v>2417</v>
      </c>
      <c r="D1084" s="5" t="s">
        <v>2418</v>
      </c>
      <c r="E1084" s="5" t="s">
        <v>206</v>
      </c>
      <c r="F1084" s="9">
        <v>22</v>
      </c>
      <c r="G1084" s="9">
        <v>246</v>
      </c>
      <c r="H1084" s="5" t="s">
        <v>21</v>
      </c>
      <c r="I1084" s="5" t="s">
        <v>2820</v>
      </c>
      <c r="J1084" s="12" t="str">
        <f>HYPERLINK("https://www.boe.es/gazeta/dias/1802/03/16/pdfs/GMD-C-1802-22.pdf#page=2","Abrir facsímil")</f>
        <v>Abrir facsímil</v>
      </c>
      <c r="K1084" s="15" t="s">
        <v>23</v>
      </c>
    </row>
    <row r="1085" spans="1:11" ht="42" customHeight="1">
      <c r="A1085" s="4" t="s">
        <v>2818</v>
      </c>
      <c r="B1085" s="5" t="s">
        <v>2819</v>
      </c>
      <c r="C1085" s="5" t="s">
        <v>18</v>
      </c>
      <c r="D1085" s="5" t="s">
        <v>19</v>
      </c>
      <c r="E1085" s="5" t="s">
        <v>167</v>
      </c>
      <c r="F1085" s="9">
        <v>23</v>
      </c>
      <c r="G1085" s="9">
        <v>260</v>
      </c>
      <c r="H1085" s="5" t="s">
        <v>21</v>
      </c>
      <c r="I1085" s="5" t="s">
        <v>2821</v>
      </c>
      <c r="J1085" s="12" t="str">
        <f>HYPERLINK("https://www.boe.es/gazeta/dias/1802/03/19/pdfs/GMD-1802-23.pdf#page=8","Abrir facsímil")</f>
        <v>Abrir facsímil</v>
      </c>
      <c r="K1085" s="15" t="s">
        <v>23</v>
      </c>
    </row>
    <row r="1086" spans="1:11" ht="42" customHeight="1">
      <c r="A1086" s="4" t="s">
        <v>2818</v>
      </c>
      <c r="B1086" s="5" t="s">
        <v>2819</v>
      </c>
      <c r="C1086" s="5" t="s">
        <v>18</v>
      </c>
      <c r="D1086" s="5" t="s">
        <v>19</v>
      </c>
      <c r="E1086" s="5" t="s">
        <v>332</v>
      </c>
      <c r="F1086" s="9">
        <v>24</v>
      </c>
      <c r="G1086" s="9">
        <v>273</v>
      </c>
      <c r="H1086" s="5" t="s">
        <v>21</v>
      </c>
      <c r="I1086" s="5" t="s">
        <v>2822</v>
      </c>
      <c r="J1086" s="12" t="str">
        <f>HYPERLINK("https://www.boe.es/gazeta/dias/1802/03/23/pdfs/GMD-1802-24.pdf#page=9","Abrir facsímil")</f>
        <v>Abrir facsímil</v>
      </c>
      <c r="K1086" s="15" t="s">
        <v>23</v>
      </c>
    </row>
    <row r="1087" spans="1:11" ht="42" customHeight="1">
      <c r="A1087" s="4" t="s">
        <v>2818</v>
      </c>
      <c r="B1087" s="5" t="s">
        <v>2819</v>
      </c>
      <c r="C1087" s="5" t="s">
        <v>18</v>
      </c>
      <c r="D1087" s="5" t="s">
        <v>19</v>
      </c>
      <c r="E1087" s="5" t="s">
        <v>1749</v>
      </c>
      <c r="F1087" s="9">
        <v>60</v>
      </c>
      <c r="G1087" s="9">
        <v>730</v>
      </c>
      <c r="H1087" s="5" t="s">
        <v>21</v>
      </c>
      <c r="I1087" s="5" t="s">
        <v>2823</v>
      </c>
      <c r="J1087" s="12" t="str">
        <f>HYPERLINK("https://www.boe.es/gazeta/dias/1802/07/23/pdfs/GMD-1802-60.pdf#page=14","Abrir facsímil")</f>
        <v>Abrir facsímil</v>
      </c>
      <c r="K1087" s="15" t="s">
        <v>23</v>
      </c>
    </row>
    <row r="1088" spans="1:11" ht="42" customHeight="1">
      <c r="A1088" s="4" t="s">
        <v>2818</v>
      </c>
      <c r="B1088" s="5" t="s">
        <v>2819</v>
      </c>
      <c r="C1088" s="5" t="s">
        <v>18</v>
      </c>
      <c r="D1088" s="5" t="s">
        <v>19</v>
      </c>
      <c r="E1088" s="5" t="s">
        <v>517</v>
      </c>
      <c r="F1088" s="9">
        <v>61</v>
      </c>
      <c r="G1088" s="9">
        <v>742</v>
      </c>
      <c r="H1088" s="5" t="s">
        <v>21</v>
      </c>
      <c r="I1088" s="5" t="s">
        <v>2824</v>
      </c>
      <c r="J1088" s="12" t="str">
        <f>HYPERLINK("https://www.boe.es/gazeta/dias/1802/07/27/pdfs/GMD-1802-61.pdf#page=10","Abrir facsímil")</f>
        <v>Abrir facsímil</v>
      </c>
      <c r="K1088" s="15" t="s">
        <v>23</v>
      </c>
    </row>
    <row r="1089" spans="1:11" ht="42" customHeight="1">
      <c r="A1089" s="4" t="s">
        <v>2818</v>
      </c>
      <c r="B1089" s="5" t="s">
        <v>2819</v>
      </c>
      <c r="C1089" s="5" t="s">
        <v>18</v>
      </c>
      <c r="D1089" s="5" t="s">
        <v>19</v>
      </c>
      <c r="E1089" s="5" t="s">
        <v>292</v>
      </c>
      <c r="F1089" s="9">
        <v>62</v>
      </c>
      <c r="G1089" s="9">
        <v>754</v>
      </c>
      <c r="H1089" s="5" t="s">
        <v>21</v>
      </c>
      <c r="I1089" s="5" t="s">
        <v>2825</v>
      </c>
      <c r="J1089" s="12" t="str">
        <f>HYPERLINK("https://www.boe.es/gazeta/dias/1802/07/30/pdfs/GMD-1802-62.pdf#page=10","Abrir facsímil")</f>
        <v>Abrir facsímil</v>
      </c>
      <c r="K1089" s="15" t="s">
        <v>23</v>
      </c>
    </row>
    <row r="1090" spans="1:11" ht="42" customHeight="1">
      <c r="A1090" s="4" t="s">
        <v>2818</v>
      </c>
      <c r="B1090" s="5" t="s">
        <v>2819</v>
      </c>
      <c r="C1090" s="5" t="s">
        <v>35</v>
      </c>
      <c r="D1090" s="5" t="s">
        <v>36</v>
      </c>
      <c r="E1090" s="5" t="s">
        <v>823</v>
      </c>
      <c r="F1090" s="9">
        <v>94</v>
      </c>
      <c r="G1090" s="9">
        <v>1162</v>
      </c>
      <c r="H1090" s="5" t="s">
        <v>21</v>
      </c>
      <c r="I1090" s="5" t="s">
        <v>2826</v>
      </c>
      <c r="J1090" s="12" t="str">
        <f>HYPERLINK("https://www.boe.es/gazeta/dias/1802/11/19/pdfs/GMD-1802-94.pdf#page=10","Abrir facsímil")</f>
        <v>Abrir facsímil</v>
      </c>
      <c r="K1090" s="15" t="s">
        <v>23</v>
      </c>
    </row>
    <row r="1091" spans="1:11" ht="42" customHeight="1">
      <c r="A1091" s="4" t="s">
        <v>2818</v>
      </c>
      <c r="B1091" s="5" t="s">
        <v>2819</v>
      </c>
      <c r="C1091" s="5" t="s">
        <v>35</v>
      </c>
      <c r="D1091" s="5" t="s">
        <v>36</v>
      </c>
      <c r="E1091" s="5" t="s">
        <v>185</v>
      </c>
      <c r="F1091" s="9">
        <v>95</v>
      </c>
      <c r="G1091" s="9">
        <v>1174</v>
      </c>
      <c r="H1091" s="5" t="s">
        <v>21</v>
      </c>
      <c r="I1091" s="5" t="s">
        <v>2827</v>
      </c>
      <c r="J1091" s="12" t="str">
        <f>HYPERLINK("https://www.boe.es/gazeta/dias/1802/11/23/pdfs/GMD-1802-95.pdf#page=10","Abrir facsímil")</f>
        <v>Abrir facsímil</v>
      </c>
      <c r="K1091" s="15" t="s">
        <v>23</v>
      </c>
    </row>
    <row r="1092" spans="1:11" ht="42" customHeight="1">
      <c r="A1092" s="4" t="s">
        <v>2828</v>
      </c>
      <c r="B1092" s="5" t="s">
        <v>2829</v>
      </c>
      <c r="C1092" s="5" t="s">
        <v>29</v>
      </c>
      <c r="D1092" s="5" t="s">
        <v>30</v>
      </c>
      <c r="E1092" s="5" t="s">
        <v>232</v>
      </c>
      <c r="F1092" s="9">
        <v>30</v>
      </c>
      <c r="G1092" s="9">
        <v>350</v>
      </c>
      <c r="H1092" s="5" t="s">
        <v>21</v>
      </c>
      <c r="I1092" s="5" t="s">
        <v>2830</v>
      </c>
      <c r="J1092" s="12" t="str">
        <f>HYPERLINK("https://www.boe.es/gazeta/dias/1802/04/13/pdfs/GMD-1802-30.pdf#page=6","Abrir facsímil")</f>
        <v>Abrir facsímil</v>
      </c>
      <c r="K1092" s="15" t="s">
        <v>23</v>
      </c>
    </row>
    <row r="1093" spans="1:11" ht="42" customHeight="1">
      <c r="A1093" s="4" t="s">
        <v>2831</v>
      </c>
      <c r="B1093" s="5" t="s">
        <v>2832</v>
      </c>
      <c r="C1093" s="5" t="s">
        <v>18</v>
      </c>
      <c r="D1093" s="5" t="s">
        <v>19</v>
      </c>
      <c r="E1093" s="5" t="s">
        <v>635</v>
      </c>
      <c r="F1093" s="9">
        <v>47</v>
      </c>
      <c r="G1093" s="9">
        <v>570</v>
      </c>
      <c r="H1093" s="5" t="s">
        <v>21</v>
      </c>
      <c r="I1093" s="5" t="s">
        <v>2833</v>
      </c>
      <c r="J1093" s="12" t="str">
        <f>HYPERLINK("https://www.boe.es/gazeta/dias/1802/06/11/pdfs/GMD-1802-47.pdf#page=6","Abrir facsímil")</f>
        <v>Abrir facsímil</v>
      </c>
      <c r="K1093" s="15" t="s">
        <v>23</v>
      </c>
    </row>
    <row r="1094" spans="1:11" ht="42" customHeight="1">
      <c r="A1094" s="4" t="s">
        <v>2834</v>
      </c>
      <c r="B1094" s="5" t="s">
        <v>2835</v>
      </c>
      <c r="C1094" s="5" t="s">
        <v>29</v>
      </c>
      <c r="D1094" s="5" t="s">
        <v>30</v>
      </c>
      <c r="E1094" s="5" t="s">
        <v>1381</v>
      </c>
      <c r="F1094" s="9">
        <v>17</v>
      </c>
      <c r="G1094" s="9">
        <v>185</v>
      </c>
      <c r="H1094" s="5" t="s">
        <v>21</v>
      </c>
      <c r="I1094" s="5" t="s">
        <v>2836</v>
      </c>
      <c r="J1094" s="12" t="str">
        <f>HYPERLINK("https://www.boe.es/gazeta/dias/1802/02/26/pdfs/GMD-1802-17.pdf#page=9","Abrir facsímil")</f>
        <v>Abrir facsímil</v>
      </c>
      <c r="K1094" s="15" t="s">
        <v>23</v>
      </c>
    </row>
    <row r="1095" spans="1:11" ht="42" customHeight="1">
      <c r="A1095" s="4" t="s">
        <v>2837</v>
      </c>
      <c r="B1095" s="5" t="s">
        <v>2838</v>
      </c>
      <c r="C1095" s="5" t="s">
        <v>42</v>
      </c>
      <c r="D1095" s="5" t="s">
        <v>43</v>
      </c>
      <c r="E1095" s="5" t="s">
        <v>44</v>
      </c>
      <c r="F1095" s="9">
        <v>99</v>
      </c>
      <c r="G1095" s="9" t="s">
        <v>78</v>
      </c>
      <c r="H1095" s="5" t="s">
        <v>21</v>
      </c>
      <c r="I1095" s="5" t="s">
        <v>2839</v>
      </c>
      <c r="J1095" s="12" t="str">
        <f>HYPERLINK("https://www.boe.es/gazeta/dias/1802/12/07/pdfs/GMD-D-1802-99.pdf#page=15","Abrir facsímil")</f>
        <v>Abrir facsímil</v>
      </c>
      <c r="K1095" s="15" t="s">
        <v>23</v>
      </c>
    </row>
    <row r="1096" spans="1:11" ht="42" customHeight="1">
      <c r="A1096" s="4" t="s">
        <v>2840</v>
      </c>
      <c r="B1096" s="5" t="s">
        <v>2841</v>
      </c>
      <c r="C1096" s="5" t="s">
        <v>18</v>
      </c>
      <c r="D1096" s="5" t="s">
        <v>19</v>
      </c>
      <c r="E1096" s="5" t="s">
        <v>49</v>
      </c>
      <c r="F1096" s="9">
        <v>83</v>
      </c>
      <c r="G1096" s="9">
        <v>1021</v>
      </c>
      <c r="H1096" s="5" t="s">
        <v>21</v>
      </c>
      <c r="I1096" s="5" t="s">
        <v>2842</v>
      </c>
      <c r="J1096" s="12" t="str">
        <f>HYPERLINK("https://www.boe.es/gazeta/dias/1802/10/12/pdfs/GMD-1802-83.pdf#page=9","Abrir facsímil")</f>
        <v>Abrir facsímil</v>
      </c>
      <c r="K1096" s="15" t="s">
        <v>23</v>
      </c>
    </row>
    <row r="1097" spans="1:11" ht="42" customHeight="1">
      <c r="A1097" s="4" t="s">
        <v>2843</v>
      </c>
      <c r="B1097" s="5" t="s">
        <v>2844</v>
      </c>
      <c r="C1097" s="5" t="s">
        <v>90</v>
      </c>
      <c r="D1097" s="5" t="s">
        <v>91</v>
      </c>
      <c r="E1097" s="5" t="s">
        <v>678</v>
      </c>
      <c r="F1097" s="9">
        <v>15</v>
      </c>
      <c r="G1097" s="9">
        <v>158</v>
      </c>
      <c r="H1097" s="5" t="s">
        <v>21</v>
      </c>
      <c r="I1097" s="5" t="s">
        <v>2845</v>
      </c>
      <c r="J1097" s="12" t="str">
        <f>HYPERLINK("https://www.boe.es/gazeta/dias/1802/02/19/pdfs/GMD-1802-15.pdf#page=10","Abrir facsímil")</f>
        <v>Abrir facsímil</v>
      </c>
      <c r="K1097" s="15" t="s">
        <v>23</v>
      </c>
    </row>
    <row r="1098" spans="1:11" ht="42" customHeight="1">
      <c r="A1098" s="4" t="s">
        <v>2846</v>
      </c>
      <c r="B1098" s="5" t="s">
        <v>2847</v>
      </c>
      <c r="C1098" s="5" t="s">
        <v>29</v>
      </c>
      <c r="D1098" s="5" t="s">
        <v>30</v>
      </c>
      <c r="E1098" s="5" t="s">
        <v>299</v>
      </c>
      <c r="F1098" s="9">
        <v>19</v>
      </c>
      <c r="G1098" s="9">
        <v>210</v>
      </c>
      <c r="H1098" s="5" t="s">
        <v>21</v>
      </c>
      <c r="I1098" s="5" t="s">
        <v>2848</v>
      </c>
      <c r="J1098" s="12" t="str">
        <f>HYPERLINK("https://www.boe.es/gazeta/dias/1802/03/05/pdfs/GMD-1802-19.pdf#page=10","Abrir facsímil")</f>
        <v>Abrir facsímil</v>
      </c>
      <c r="K1098" s="15" t="s">
        <v>23</v>
      </c>
    </row>
    <row r="1099" spans="1:11" ht="42" customHeight="1">
      <c r="A1099" s="4" t="s">
        <v>2849</v>
      </c>
      <c r="B1099" s="5" t="s">
        <v>2850</v>
      </c>
      <c r="C1099" s="5" t="s">
        <v>29</v>
      </c>
      <c r="D1099" s="5" t="s">
        <v>30</v>
      </c>
      <c r="E1099" s="5" t="s">
        <v>299</v>
      </c>
      <c r="F1099" s="9">
        <v>19</v>
      </c>
      <c r="G1099" s="9">
        <v>210</v>
      </c>
      <c r="H1099" s="5" t="s">
        <v>21</v>
      </c>
      <c r="I1099" s="5" t="s">
        <v>2851</v>
      </c>
      <c r="J1099" s="12" t="str">
        <f>HYPERLINK("https://www.boe.es/gazeta/dias/1802/03/05/pdfs/GMD-1802-19.pdf#page=10","Abrir facsímil")</f>
        <v>Abrir facsímil</v>
      </c>
      <c r="K1099" s="15" t="s">
        <v>23</v>
      </c>
    </row>
    <row r="1100" spans="1:11" ht="42" customHeight="1">
      <c r="A1100" s="4" t="s">
        <v>2852</v>
      </c>
      <c r="B1100" s="5" t="s">
        <v>2853</v>
      </c>
      <c r="C1100" s="5" t="s">
        <v>42</v>
      </c>
      <c r="D1100" s="5" t="s">
        <v>43</v>
      </c>
      <c r="E1100" s="5" t="s">
        <v>44</v>
      </c>
      <c r="F1100" s="9">
        <v>99</v>
      </c>
      <c r="G1100" s="9" t="s">
        <v>45</v>
      </c>
      <c r="H1100" s="5" t="s">
        <v>21</v>
      </c>
      <c r="I1100" s="5" t="s">
        <v>2854</v>
      </c>
      <c r="J1100" s="12" t="str">
        <f>HYPERLINK("https://www.boe.es/gazeta/dias/1802/12/07/pdfs/GMD-D-1802-99.pdf#page=14","Abrir facsímil")</f>
        <v>Abrir facsímil</v>
      </c>
      <c r="K1100" s="15" t="s">
        <v>23</v>
      </c>
    </row>
    <row r="1101" spans="1:11" ht="42" customHeight="1">
      <c r="A1101" s="4" t="s">
        <v>2855</v>
      </c>
      <c r="B1101" s="5" t="s">
        <v>2855</v>
      </c>
      <c r="C1101" s="5" t="s">
        <v>18</v>
      </c>
      <c r="D1101" s="5" t="s">
        <v>19</v>
      </c>
      <c r="E1101" s="5" t="s">
        <v>332</v>
      </c>
      <c r="F1101" s="9">
        <v>24</v>
      </c>
      <c r="G1101" s="9">
        <v>276</v>
      </c>
      <c r="H1101" s="5" t="s">
        <v>21</v>
      </c>
      <c r="I1101" s="5" t="s">
        <v>2856</v>
      </c>
      <c r="J1101" s="12" t="str">
        <f>HYPERLINK("https://www.boe.es/gazeta/dias/1802/03/23/pdfs/GMD-1802-24.pdf#page=12","Abrir facsímil")</f>
        <v>Abrir facsímil</v>
      </c>
      <c r="K1101" s="15" t="s">
        <v>23</v>
      </c>
    </row>
    <row r="1102" spans="1:11" ht="42" customHeight="1">
      <c r="A1102" s="4" t="s">
        <v>2857</v>
      </c>
      <c r="B1102" s="5" t="s">
        <v>2858</v>
      </c>
      <c r="C1102" s="5" t="s">
        <v>35</v>
      </c>
      <c r="D1102" s="5" t="s">
        <v>36</v>
      </c>
      <c r="E1102" s="5" t="s">
        <v>75</v>
      </c>
      <c r="F1102" s="9">
        <v>103</v>
      </c>
      <c r="G1102" s="9">
        <v>1260</v>
      </c>
      <c r="H1102" s="5" t="s">
        <v>21</v>
      </c>
      <c r="I1102" s="5" t="s">
        <v>2859</v>
      </c>
      <c r="J1102" s="12" t="str">
        <f>HYPERLINK("https://www.boe.es/gazeta/dias/1802/12/21/pdfs/GMD-1802-103.pdf#page=4","Abrir facsímil")</f>
        <v>Abrir facsímil</v>
      </c>
      <c r="K1102" s="15" t="s">
        <v>23</v>
      </c>
    </row>
    <row r="1103" spans="1:11" ht="42" customHeight="1">
      <c r="A1103" s="4" t="s">
        <v>2860</v>
      </c>
      <c r="B1103" s="5" t="s">
        <v>2861</v>
      </c>
      <c r="C1103" s="5" t="s">
        <v>29</v>
      </c>
      <c r="D1103" s="5" t="s">
        <v>30</v>
      </c>
      <c r="E1103" s="5" t="s">
        <v>670</v>
      </c>
      <c r="F1103" s="9">
        <v>40</v>
      </c>
      <c r="G1103" s="9">
        <v>481</v>
      </c>
      <c r="H1103" s="5" t="s">
        <v>21</v>
      </c>
      <c r="I1103" s="5" t="s">
        <v>2862</v>
      </c>
      <c r="J1103" s="12" t="str">
        <f>HYPERLINK("https://www.boe.es/gazeta/dias/1802/05/18/pdfs/GMD-1802-40.pdf#page=9","Abrir facsímil")</f>
        <v>Abrir facsímil</v>
      </c>
      <c r="K1103" s="15" t="s">
        <v>23</v>
      </c>
    </row>
    <row r="1104" spans="1:11" ht="42" customHeight="1">
      <c r="A1104" s="4" t="s">
        <v>2863</v>
      </c>
      <c r="B1104" s="5" t="s">
        <v>2864</v>
      </c>
      <c r="C1104" s="5" t="s">
        <v>18</v>
      </c>
      <c r="D1104" s="5" t="s">
        <v>19</v>
      </c>
      <c r="E1104" s="5" t="s">
        <v>152</v>
      </c>
      <c r="F1104" s="9">
        <v>25</v>
      </c>
      <c r="G1104" s="9">
        <v>284</v>
      </c>
      <c r="H1104" s="5" t="s">
        <v>21</v>
      </c>
      <c r="I1104" s="5" t="s">
        <v>2865</v>
      </c>
      <c r="J1104" s="12" t="str">
        <f>HYPERLINK("https://www.boe.es/gazeta/dias/1802/03/26/pdfs/GMD-1802-25.pdf#page=8","Abrir facsímil")</f>
        <v>Abrir facsímil</v>
      </c>
      <c r="K1104" s="15" t="s">
        <v>23</v>
      </c>
    </row>
    <row r="1105" spans="1:11" ht="42" customHeight="1">
      <c r="A1105" s="4" t="s">
        <v>2866</v>
      </c>
      <c r="B1105" s="5" t="s">
        <v>2866</v>
      </c>
      <c r="C1105" s="5" t="s">
        <v>29</v>
      </c>
      <c r="D1105" s="5" t="s">
        <v>30</v>
      </c>
      <c r="E1105" s="5" t="s">
        <v>109</v>
      </c>
      <c r="F1105" s="9">
        <v>10</v>
      </c>
      <c r="G1105" s="9">
        <v>100</v>
      </c>
      <c r="H1105" s="5" t="s">
        <v>21</v>
      </c>
      <c r="I1105" s="5" t="s">
        <v>2867</v>
      </c>
      <c r="J1105" s="12" t="str">
        <f>HYPERLINK("https://www.boe.es/gazeta/dias/1802/02/02/pdfs/GMD-1802-10.pdf#page=8","Abrir facsímil")</f>
        <v>Abrir facsímil</v>
      </c>
      <c r="K1105" s="15" t="s">
        <v>23</v>
      </c>
    </row>
    <row r="1106" spans="1:11" ht="42" customHeight="1">
      <c r="A1106" s="4" t="s">
        <v>2868</v>
      </c>
      <c r="B1106" s="5" t="s">
        <v>2868</v>
      </c>
      <c r="C1106" s="5" t="s">
        <v>18</v>
      </c>
      <c r="D1106" s="5" t="s">
        <v>19</v>
      </c>
      <c r="E1106" s="5" t="s">
        <v>328</v>
      </c>
      <c r="F1106" s="9">
        <v>45</v>
      </c>
      <c r="G1106" s="9">
        <v>547</v>
      </c>
      <c r="H1106" s="5" t="s">
        <v>21</v>
      </c>
      <c r="I1106" s="5" t="s">
        <v>2869</v>
      </c>
      <c r="J1106" s="12" t="str">
        <f>HYPERLINK("https://www.boe.es/gazeta/dias/1802/06/04/pdfs/GMD-1802-45.pdf#page=11","Abrir facsímil")</f>
        <v>Abrir facsímil</v>
      </c>
      <c r="K1106" s="15" t="s">
        <v>23</v>
      </c>
    </row>
    <row r="1107" spans="1:11" ht="42" customHeight="1">
      <c r="A1107" s="4" t="s">
        <v>2870</v>
      </c>
      <c r="B1107" s="5" t="s">
        <v>2870</v>
      </c>
      <c r="C1107" s="5" t="s">
        <v>90</v>
      </c>
      <c r="D1107" s="5" t="s">
        <v>91</v>
      </c>
      <c r="E1107" s="5" t="s">
        <v>1381</v>
      </c>
      <c r="F1107" s="9">
        <v>17</v>
      </c>
      <c r="G1107" s="9">
        <v>187</v>
      </c>
      <c r="H1107" s="5" t="s">
        <v>21</v>
      </c>
      <c r="I1107" s="5" t="s">
        <v>2871</v>
      </c>
      <c r="J1107" s="12" t="str">
        <f>HYPERLINK("https://www.boe.es/gazeta/dias/1802/02/26/pdfs/GMD-1802-17.pdf#page=11","Abrir facsímil")</f>
        <v>Abrir facsímil</v>
      </c>
      <c r="K1107" s="15" t="s">
        <v>23</v>
      </c>
    </row>
    <row r="1108" spans="1:11" ht="42" customHeight="1">
      <c r="A1108" s="4" t="s">
        <v>2872</v>
      </c>
      <c r="B1108" s="5" t="s">
        <v>2872</v>
      </c>
      <c r="C1108" s="5" t="s">
        <v>18</v>
      </c>
      <c r="D1108" s="5" t="s">
        <v>19</v>
      </c>
      <c r="E1108" s="5" t="s">
        <v>439</v>
      </c>
      <c r="F1108" s="9">
        <v>76</v>
      </c>
      <c r="G1108" s="9">
        <v>939</v>
      </c>
      <c r="H1108" s="5" t="s">
        <v>21</v>
      </c>
      <c r="I1108" s="5" t="s">
        <v>2873</v>
      </c>
      <c r="J1108" s="12" t="str">
        <f>HYPERLINK("https://www.boe.es/gazeta/dias/1802/09/17/pdfs/GMD-1802-76.pdf#page=11","Abrir facsímil")</f>
        <v>Abrir facsímil</v>
      </c>
      <c r="K1108" s="15" t="s">
        <v>23</v>
      </c>
    </row>
    <row r="1109" spans="1:11" ht="42" customHeight="1">
      <c r="A1109" s="4" t="s">
        <v>2874</v>
      </c>
      <c r="B1109" s="5" t="s">
        <v>2875</v>
      </c>
      <c r="C1109" s="5" t="s">
        <v>42</v>
      </c>
      <c r="D1109" s="5" t="s">
        <v>43</v>
      </c>
      <c r="E1109" s="5" t="s">
        <v>44</v>
      </c>
      <c r="F1109" s="9">
        <v>99</v>
      </c>
      <c r="G1109" s="9" t="s">
        <v>537</v>
      </c>
      <c r="H1109" s="5" t="s">
        <v>21</v>
      </c>
      <c r="I1109" s="5" t="s">
        <v>2876</v>
      </c>
      <c r="J1109" s="12" t="str">
        <f>HYPERLINK("https://www.boe.es/gazeta/dias/1802/12/07/pdfs/GMD-D-1802-99.pdf#page=9","Abrir facsímil")</f>
        <v>Abrir facsímil</v>
      </c>
      <c r="K1109" s="15" t="s">
        <v>23</v>
      </c>
    </row>
    <row r="1110" spans="1:11" ht="42" customHeight="1">
      <c r="A1110" s="4" t="s">
        <v>2877</v>
      </c>
      <c r="B1110" s="5" t="s">
        <v>2878</v>
      </c>
      <c r="C1110" s="5" t="s">
        <v>29</v>
      </c>
      <c r="D1110" s="5" t="s">
        <v>30</v>
      </c>
      <c r="E1110" s="5" t="s">
        <v>1097</v>
      </c>
      <c r="F1110" s="9">
        <v>20</v>
      </c>
      <c r="G1110" s="9">
        <v>222</v>
      </c>
      <c r="H1110" s="5" t="s">
        <v>21</v>
      </c>
      <c r="I1110" s="5" t="s">
        <v>2879</v>
      </c>
      <c r="J1110" s="12" t="str">
        <f>HYPERLINK("https://www.boe.es/gazeta/dias/1802/03/09/pdfs/GMD-1802-20.pdf#page=10","Abrir facsímil")</f>
        <v>Abrir facsímil</v>
      </c>
      <c r="K1110" s="15" t="s">
        <v>23</v>
      </c>
    </row>
    <row r="1111" spans="1:11" ht="42" customHeight="1">
      <c r="A1111" s="4" t="s">
        <v>2880</v>
      </c>
      <c r="B1111" s="5" t="s">
        <v>2880</v>
      </c>
      <c r="C1111" s="5" t="s">
        <v>35</v>
      </c>
      <c r="D1111" s="5" t="s">
        <v>36</v>
      </c>
      <c r="E1111" s="5" t="s">
        <v>188</v>
      </c>
      <c r="F1111" s="9">
        <v>49</v>
      </c>
      <c r="G1111" s="9">
        <v>597</v>
      </c>
      <c r="H1111" s="5" t="s">
        <v>21</v>
      </c>
      <c r="I1111" s="5" t="s">
        <v>2881</v>
      </c>
      <c r="J1111" s="12" t="str">
        <f>HYPERLINK("https://www.boe.es/gazeta/dias/1802/06/18/pdfs/GMD-1802-49.pdf#page=9","Abrir facsímil")</f>
        <v>Abrir facsímil</v>
      </c>
      <c r="K1111" s="15" t="s">
        <v>23</v>
      </c>
    </row>
    <row r="1112" spans="1:11" ht="42" customHeight="1">
      <c r="A1112" s="4" t="s">
        <v>2882</v>
      </c>
      <c r="B1112" s="5" t="s">
        <v>2883</v>
      </c>
      <c r="C1112" s="5" t="s">
        <v>35</v>
      </c>
      <c r="D1112" s="5" t="s">
        <v>36</v>
      </c>
      <c r="E1112" s="5" t="s">
        <v>142</v>
      </c>
      <c r="F1112" s="9">
        <v>64</v>
      </c>
      <c r="G1112" s="9">
        <v>781</v>
      </c>
      <c r="H1112" s="5" t="s">
        <v>21</v>
      </c>
      <c r="I1112" s="5" t="s">
        <v>2884</v>
      </c>
      <c r="J1112" s="12" t="str">
        <f>HYPERLINK("https://www.boe.es/gazeta/dias/1802/08/06/pdfs/GMD-1802-64.pdf#page=9","Abrir facsímil")</f>
        <v>Abrir facsímil</v>
      </c>
      <c r="K1112" s="15" t="s">
        <v>23</v>
      </c>
    </row>
    <row r="1113" spans="1:11" ht="42" customHeight="1">
      <c r="A1113" s="4" t="s">
        <v>2885</v>
      </c>
      <c r="B1113" s="5" t="s">
        <v>2885</v>
      </c>
      <c r="C1113" s="5" t="s">
        <v>18</v>
      </c>
      <c r="D1113" s="5" t="s">
        <v>19</v>
      </c>
      <c r="E1113" s="5" t="s">
        <v>517</v>
      </c>
      <c r="F1113" s="9">
        <v>61</v>
      </c>
      <c r="G1113" s="9">
        <v>738</v>
      </c>
      <c r="H1113" s="5" t="s">
        <v>21</v>
      </c>
      <c r="I1113" s="5" t="s">
        <v>2886</v>
      </c>
      <c r="J1113" s="12" t="str">
        <f>HYPERLINK("https://www.boe.es/gazeta/dias/1802/07/27/pdfs/GMD-1802-61.pdf#page=6","Abrir facsímil")</f>
        <v>Abrir facsímil</v>
      </c>
      <c r="K1113" s="15" t="s">
        <v>23</v>
      </c>
    </row>
    <row r="1114" spans="1:11" ht="42" customHeight="1">
      <c r="A1114" s="4" t="s">
        <v>2887</v>
      </c>
      <c r="B1114" s="5" t="s">
        <v>2887</v>
      </c>
      <c r="C1114" s="5" t="s">
        <v>18</v>
      </c>
      <c r="D1114" s="5" t="s">
        <v>19</v>
      </c>
      <c r="E1114" s="5" t="s">
        <v>82</v>
      </c>
      <c r="F1114" s="9">
        <v>74</v>
      </c>
      <c r="G1114" s="9">
        <v>910</v>
      </c>
      <c r="H1114" s="5" t="s">
        <v>21</v>
      </c>
      <c r="I1114" s="5" t="s">
        <v>2888</v>
      </c>
      <c r="J1114" s="12" t="str">
        <f>HYPERLINK("https://www.boe.es/gazeta/dias/1802/09/10/pdfs/GMD-1802-74.pdf#page=6","Abrir facsímil")</f>
        <v>Abrir facsímil</v>
      </c>
      <c r="K1114" s="15" t="s">
        <v>23</v>
      </c>
    </row>
    <row r="1115" spans="1:11" ht="42" customHeight="1">
      <c r="A1115" s="4" t="s">
        <v>2889</v>
      </c>
      <c r="B1115" s="5" t="s">
        <v>2890</v>
      </c>
      <c r="C1115" s="5" t="s">
        <v>18</v>
      </c>
      <c r="D1115" s="5" t="s">
        <v>19</v>
      </c>
      <c r="E1115" s="5" t="s">
        <v>299</v>
      </c>
      <c r="F1115" s="9">
        <v>19</v>
      </c>
      <c r="G1115" s="9">
        <v>209</v>
      </c>
      <c r="H1115" s="5" t="s">
        <v>21</v>
      </c>
      <c r="I1115" s="5" t="s">
        <v>2891</v>
      </c>
      <c r="J1115" s="12" t="str">
        <f>HYPERLINK("https://www.boe.es/gazeta/dias/1802/03/05/pdfs/GMD-1802-19.pdf#page=9","Abrir facsímil")</f>
        <v>Abrir facsímil</v>
      </c>
      <c r="K1115" s="15" t="s">
        <v>23</v>
      </c>
    </row>
    <row r="1116" spans="1:11" ht="42" customHeight="1">
      <c r="A1116" s="4" t="s">
        <v>2892</v>
      </c>
      <c r="B1116" s="5" t="s">
        <v>2892</v>
      </c>
      <c r="C1116" s="5" t="s">
        <v>35</v>
      </c>
      <c r="D1116" s="5" t="s">
        <v>36</v>
      </c>
      <c r="E1116" s="5" t="s">
        <v>389</v>
      </c>
      <c r="F1116" s="9">
        <v>96</v>
      </c>
      <c r="G1116" s="9">
        <v>1185</v>
      </c>
      <c r="H1116" s="5" t="s">
        <v>21</v>
      </c>
      <c r="I1116" s="5" t="s">
        <v>2893</v>
      </c>
      <c r="J1116" s="12" t="str">
        <f>HYPERLINK("https://www.boe.es/gazeta/dias/1802/11/26/pdfs/GMD-1802-96.pdf#page=5","Abrir facsímil")</f>
        <v>Abrir facsímil</v>
      </c>
      <c r="K1116" s="15" t="s">
        <v>23</v>
      </c>
    </row>
    <row r="1117" spans="1:11" ht="42" customHeight="1">
      <c r="A1117" s="4" t="s">
        <v>2894</v>
      </c>
      <c r="B1117" s="5" t="s">
        <v>2895</v>
      </c>
      <c r="C1117" s="5" t="s">
        <v>35</v>
      </c>
      <c r="D1117" s="5" t="s">
        <v>36</v>
      </c>
      <c r="E1117" s="5" t="s">
        <v>86</v>
      </c>
      <c r="F1117" s="9">
        <v>26</v>
      </c>
      <c r="G1117" s="9">
        <v>289</v>
      </c>
      <c r="H1117" s="5" t="s">
        <v>21</v>
      </c>
      <c r="I1117" s="5" t="s">
        <v>2896</v>
      </c>
      <c r="J1117" s="12" t="str">
        <f>HYPERLINK("https://www.boe.es/gazeta/dias/1802/03/30/pdfs/GMD-1802-26.pdf#page=1","Abrir facsímil")</f>
        <v>Abrir facsímil</v>
      </c>
      <c r="K1117" s="15" t="s">
        <v>23</v>
      </c>
    </row>
    <row r="1118" spans="1:11" ht="42" customHeight="1">
      <c r="A1118" s="4" t="s">
        <v>2897</v>
      </c>
      <c r="B1118" s="5" t="s">
        <v>2898</v>
      </c>
      <c r="C1118" s="5" t="s">
        <v>35</v>
      </c>
      <c r="D1118" s="5" t="s">
        <v>36</v>
      </c>
      <c r="E1118" s="5" t="s">
        <v>814</v>
      </c>
      <c r="F1118" s="9">
        <v>41</v>
      </c>
      <c r="G1118" s="9">
        <v>485</v>
      </c>
      <c r="H1118" s="5" t="s">
        <v>21</v>
      </c>
      <c r="I1118" s="5" t="s">
        <v>2899</v>
      </c>
      <c r="J1118" s="12" t="str">
        <f>HYPERLINK("https://www.boe.es/gazeta/dias/1802/05/21/pdfs/GMD-1802-41.pdf#page=1","Abrir facsímil")</f>
        <v>Abrir facsímil</v>
      </c>
      <c r="K1118" s="15" t="s">
        <v>23</v>
      </c>
    </row>
    <row r="1119" spans="1:11" ht="42" customHeight="1">
      <c r="A1119" s="4" t="s">
        <v>2900</v>
      </c>
      <c r="B1119" s="5" t="s">
        <v>2901</v>
      </c>
      <c r="C1119" s="5" t="s">
        <v>29</v>
      </c>
      <c r="D1119" s="5" t="s">
        <v>30</v>
      </c>
      <c r="E1119" s="5" t="s">
        <v>192</v>
      </c>
      <c r="F1119" s="9">
        <v>53</v>
      </c>
      <c r="G1119" s="9">
        <v>642</v>
      </c>
      <c r="H1119" s="5" t="s">
        <v>21</v>
      </c>
      <c r="I1119" s="5" t="s">
        <v>2902</v>
      </c>
      <c r="J1119" s="12" t="str">
        <f>HYPERLINK("https://www.boe.es/gazeta/dias/1802/07/02/pdfs/GMD-1802-53.pdf#page=10","Abrir facsímil")</f>
        <v>Abrir facsímil</v>
      </c>
      <c r="K1119" s="15" t="s">
        <v>23</v>
      </c>
    </row>
    <row r="1120" spans="1:11" ht="42" customHeight="1">
      <c r="A1120" s="4" t="s">
        <v>2903</v>
      </c>
      <c r="B1120" s="5" t="s">
        <v>2904</v>
      </c>
      <c r="C1120" s="5" t="s">
        <v>160</v>
      </c>
      <c r="D1120" s="5" t="s">
        <v>91</v>
      </c>
      <c r="E1120" s="5" t="s">
        <v>20</v>
      </c>
      <c r="F1120" s="9">
        <v>84</v>
      </c>
      <c r="G1120" s="9">
        <v>1042</v>
      </c>
      <c r="H1120" s="5" t="s">
        <v>21</v>
      </c>
      <c r="I1120" s="5" t="s">
        <v>2905</v>
      </c>
      <c r="J1120" s="12" t="str">
        <f>HYPERLINK("https://www.boe.es/gazeta/dias/1802/10/15/pdfs/GMD-1802-84.pdf#page=10","Abrir facsímil")</f>
        <v>Abrir facsímil</v>
      </c>
      <c r="K1120" s="15" t="s">
        <v>23</v>
      </c>
    </row>
    <row r="1121" spans="1:11" ht="42" customHeight="1">
      <c r="A1121" s="4" t="s">
        <v>2906</v>
      </c>
      <c r="B1121" s="5" t="s">
        <v>2907</v>
      </c>
      <c r="C1121" s="5" t="s">
        <v>160</v>
      </c>
      <c r="D1121" s="5" t="s">
        <v>91</v>
      </c>
      <c r="E1121" s="5" t="s">
        <v>20</v>
      </c>
      <c r="F1121" s="9">
        <v>84</v>
      </c>
      <c r="G1121" s="9">
        <v>1043</v>
      </c>
      <c r="H1121" s="5" t="s">
        <v>21</v>
      </c>
      <c r="I1121" s="5" t="s">
        <v>2908</v>
      </c>
      <c r="J1121" s="12" t="str">
        <f>HYPERLINK("https://www.boe.es/gazeta/dias/1802/10/15/pdfs/GMD-1802-84.pdf#page=11","Abrir facsímil")</f>
        <v>Abrir facsímil</v>
      </c>
      <c r="K1121" s="15" t="s">
        <v>23</v>
      </c>
    </row>
    <row r="1122" spans="1:11" ht="42" customHeight="1">
      <c r="A1122" s="4" t="s">
        <v>2909</v>
      </c>
      <c r="B1122" s="5" t="s">
        <v>2910</v>
      </c>
      <c r="C1122" s="5" t="s">
        <v>18</v>
      </c>
      <c r="D1122" s="5" t="s">
        <v>19</v>
      </c>
      <c r="E1122" s="5" t="s">
        <v>1097</v>
      </c>
      <c r="F1122" s="9">
        <v>20</v>
      </c>
      <c r="G1122" s="9">
        <v>221</v>
      </c>
      <c r="H1122" s="5" t="s">
        <v>21</v>
      </c>
      <c r="I1122" s="5" t="s">
        <v>2911</v>
      </c>
      <c r="J1122" s="12" t="str">
        <f>HYPERLINK("https://www.boe.es/gazeta/dias/1802/03/09/pdfs/GMD-1802-20.pdf#page=9","Abrir facsímil")</f>
        <v>Abrir facsímil</v>
      </c>
      <c r="K1122" s="15" t="s">
        <v>23</v>
      </c>
    </row>
    <row r="1123" spans="1:11" ht="42" customHeight="1">
      <c r="A1123" s="4" t="s">
        <v>2912</v>
      </c>
      <c r="B1123" s="5" t="s">
        <v>2913</v>
      </c>
      <c r="C1123" s="5" t="s">
        <v>35</v>
      </c>
      <c r="D1123" s="5" t="s">
        <v>36</v>
      </c>
      <c r="E1123" s="5" t="s">
        <v>900</v>
      </c>
      <c r="F1123" s="9">
        <v>16</v>
      </c>
      <c r="G1123" s="9">
        <v>163</v>
      </c>
      <c r="H1123" s="5" t="s">
        <v>21</v>
      </c>
      <c r="I1123" s="5" t="s">
        <v>2914</v>
      </c>
      <c r="J1123" s="12" t="str">
        <f>HYPERLINK("https://www.boe.es/gazeta/dias/1802/02/23/pdfs/GMD-1802-16.pdf#page=3","Abrir facsímil")</f>
        <v>Abrir facsímil</v>
      </c>
      <c r="K1123" s="15" t="s">
        <v>23</v>
      </c>
    </row>
    <row r="1124" spans="1:11" ht="42" customHeight="1">
      <c r="A1124" s="4" t="s">
        <v>2912</v>
      </c>
      <c r="B1124" s="5" t="s">
        <v>2913</v>
      </c>
      <c r="C1124" s="5" t="s">
        <v>29</v>
      </c>
      <c r="D1124" s="5" t="s">
        <v>30</v>
      </c>
      <c r="E1124" s="5" t="s">
        <v>1097</v>
      </c>
      <c r="F1124" s="9">
        <v>20</v>
      </c>
      <c r="G1124" s="9">
        <v>216</v>
      </c>
      <c r="H1124" s="5" t="s">
        <v>21</v>
      </c>
      <c r="I1124" s="5" t="s">
        <v>2915</v>
      </c>
      <c r="J1124" s="12" t="str">
        <f>HYPERLINK("https://www.boe.es/gazeta/dias/1802/03/09/pdfs/GMD-1802-20.pdf#page=4","Abrir facsímil")</f>
        <v>Abrir facsímil</v>
      </c>
      <c r="K1124" s="15" t="s">
        <v>23</v>
      </c>
    </row>
    <row r="1125" spans="1:11" ht="42" customHeight="1">
      <c r="A1125" s="4" t="s">
        <v>2912</v>
      </c>
      <c r="B1125" s="5" t="s">
        <v>2913</v>
      </c>
      <c r="C1125" s="5" t="s">
        <v>35</v>
      </c>
      <c r="D1125" s="5" t="s">
        <v>36</v>
      </c>
      <c r="E1125" s="5" t="s">
        <v>757</v>
      </c>
      <c r="F1125" s="9">
        <v>104</v>
      </c>
      <c r="G1125" s="9">
        <v>1268</v>
      </c>
      <c r="H1125" s="5" t="s">
        <v>21</v>
      </c>
      <c r="I1125" s="5" t="s">
        <v>2916</v>
      </c>
      <c r="J1125" s="12" t="str">
        <f>HYPERLINK("https://www.boe.es/gazeta/dias/1802/12/24/pdfs/GMD-1802-104.pdf#page=4","Abrir facsímil")</f>
        <v>Abrir facsímil</v>
      </c>
      <c r="K1125" s="15" t="s">
        <v>23</v>
      </c>
    </row>
    <row r="1126" spans="1:11" ht="42" customHeight="1">
      <c r="A1126" s="4" t="s">
        <v>2917</v>
      </c>
      <c r="B1126" s="5" t="s">
        <v>2918</v>
      </c>
      <c r="C1126" s="5" t="s">
        <v>55</v>
      </c>
      <c r="D1126" s="5" t="s">
        <v>56</v>
      </c>
      <c r="E1126" s="5" t="s">
        <v>167</v>
      </c>
      <c r="F1126" s="9">
        <v>23</v>
      </c>
      <c r="G1126" s="9">
        <v>263</v>
      </c>
      <c r="H1126" s="5" t="s">
        <v>21</v>
      </c>
      <c r="I1126" s="5" t="s">
        <v>2919</v>
      </c>
      <c r="J1126" s="12" t="str">
        <f>HYPERLINK("https://www.boe.es/gazeta/dias/1802/03/19/pdfs/GMD-1802-23.pdf#page=11","Abrir facsímil")</f>
        <v>Abrir facsímil</v>
      </c>
      <c r="K1126" s="15" t="s">
        <v>23</v>
      </c>
    </row>
    <row r="1127" spans="1:11" ht="42" customHeight="1">
      <c r="A1127" s="4" t="s">
        <v>2920</v>
      </c>
      <c r="B1127" s="5" t="s">
        <v>2921</v>
      </c>
      <c r="C1127" s="5" t="s">
        <v>18</v>
      </c>
      <c r="D1127" s="5" t="s">
        <v>19</v>
      </c>
      <c r="E1127" s="5" t="s">
        <v>206</v>
      </c>
      <c r="F1127" s="9">
        <v>22</v>
      </c>
      <c r="G1127" s="9">
        <v>242</v>
      </c>
      <c r="H1127" s="5" t="s">
        <v>21</v>
      </c>
      <c r="I1127" s="5" t="s">
        <v>2922</v>
      </c>
      <c r="J1127" s="12" t="str">
        <f>HYPERLINK("https://www.boe.es/gazeta/dias/1802/03/16/pdfs/GMD-1802-22.pdf#page=10","Abrir facsímil")</f>
        <v>Abrir facsímil</v>
      </c>
      <c r="K1127" s="15" t="s">
        <v>23</v>
      </c>
    </row>
    <row r="1128" spans="1:11" ht="42" customHeight="1">
      <c r="A1128" s="4" t="s">
        <v>2920</v>
      </c>
      <c r="B1128" s="5" t="s">
        <v>2921</v>
      </c>
      <c r="C1128" s="5" t="s">
        <v>18</v>
      </c>
      <c r="D1128" s="5" t="s">
        <v>19</v>
      </c>
      <c r="E1128" s="5" t="s">
        <v>167</v>
      </c>
      <c r="F1128" s="9">
        <v>23</v>
      </c>
      <c r="G1128" s="9">
        <v>261</v>
      </c>
      <c r="H1128" s="5" t="s">
        <v>21</v>
      </c>
      <c r="I1128" s="5" t="s">
        <v>2923</v>
      </c>
      <c r="J1128" s="12" t="str">
        <f>HYPERLINK("https://www.boe.es/gazeta/dias/1802/03/19/pdfs/GMD-1802-23.pdf#page=9","Abrir facsímil")</f>
        <v>Abrir facsímil</v>
      </c>
      <c r="K1128" s="15" t="s">
        <v>23</v>
      </c>
    </row>
    <row r="1129" spans="1:11" ht="42" customHeight="1">
      <c r="A1129" s="4" t="s">
        <v>2920</v>
      </c>
      <c r="B1129" s="5" t="s">
        <v>2921</v>
      </c>
      <c r="C1129" s="5" t="s">
        <v>18</v>
      </c>
      <c r="D1129" s="5" t="s">
        <v>19</v>
      </c>
      <c r="E1129" s="5" t="s">
        <v>1749</v>
      </c>
      <c r="F1129" s="9">
        <v>60</v>
      </c>
      <c r="G1129" s="9">
        <v>730</v>
      </c>
      <c r="H1129" s="5" t="s">
        <v>21</v>
      </c>
      <c r="I1129" s="5" t="s">
        <v>2924</v>
      </c>
      <c r="J1129" s="12" t="str">
        <f>HYPERLINK("https://www.boe.es/gazeta/dias/1802/07/23/pdfs/GMD-1802-60.pdf#page=14","Abrir facsímil")</f>
        <v>Abrir facsímil</v>
      </c>
      <c r="K1129" s="15" t="s">
        <v>23</v>
      </c>
    </row>
    <row r="1130" spans="1:11" ht="42" customHeight="1">
      <c r="A1130" s="4" t="s">
        <v>2925</v>
      </c>
      <c r="B1130" s="5" t="s">
        <v>2926</v>
      </c>
      <c r="C1130" s="5" t="s">
        <v>18</v>
      </c>
      <c r="D1130" s="5" t="s">
        <v>19</v>
      </c>
      <c r="E1130" s="5" t="s">
        <v>25</v>
      </c>
      <c r="F1130" s="9">
        <v>44</v>
      </c>
      <c r="G1130" s="9">
        <v>535</v>
      </c>
      <c r="H1130" s="5" t="s">
        <v>21</v>
      </c>
      <c r="I1130" s="5" t="s">
        <v>2927</v>
      </c>
      <c r="J1130" s="12" t="str">
        <f>HYPERLINK("https://www.boe.es/gazeta/dias/1802/06/01/pdfs/GMD-1802-44.pdf#page=11","Abrir facsímil")</f>
        <v>Abrir facsímil</v>
      </c>
      <c r="K1130" s="15" t="s">
        <v>23</v>
      </c>
    </row>
    <row r="1131" spans="1:11" ht="42" customHeight="1">
      <c r="A1131" s="4" t="s">
        <v>2928</v>
      </c>
      <c r="B1131" s="5" t="s">
        <v>2929</v>
      </c>
      <c r="C1131" s="5" t="s">
        <v>29</v>
      </c>
      <c r="D1131" s="5" t="s">
        <v>30</v>
      </c>
      <c r="E1131" s="5" t="s">
        <v>92</v>
      </c>
      <c r="F1131" s="9">
        <v>29</v>
      </c>
      <c r="G1131" s="9">
        <v>342</v>
      </c>
      <c r="H1131" s="5" t="s">
        <v>21</v>
      </c>
      <c r="I1131" s="5" t="s">
        <v>2930</v>
      </c>
      <c r="J1131" s="12" t="str">
        <f>HYPERLINK("https://www.boe.es/gazeta/dias/1802/04/09/pdfs/GMD-1802-29.pdf#page=10","Abrir facsímil")</f>
        <v>Abrir facsímil</v>
      </c>
      <c r="K1131" s="15" t="s">
        <v>23</v>
      </c>
    </row>
    <row r="1132" spans="1:11" ht="42" customHeight="1">
      <c r="A1132" s="4" t="s">
        <v>2931</v>
      </c>
      <c r="B1132" s="5" t="s">
        <v>2931</v>
      </c>
      <c r="C1132" s="5" t="s">
        <v>55</v>
      </c>
      <c r="D1132" s="5" t="s">
        <v>56</v>
      </c>
      <c r="E1132" s="5" t="s">
        <v>299</v>
      </c>
      <c r="F1132" s="9">
        <v>19</v>
      </c>
      <c r="G1132" s="9">
        <v>212</v>
      </c>
      <c r="H1132" s="5" t="s">
        <v>21</v>
      </c>
      <c r="I1132" s="5" t="s">
        <v>2932</v>
      </c>
      <c r="J1132" s="12" t="str">
        <f>HYPERLINK("https://www.boe.es/gazeta/dias/1802/03/05/pdfs/GMD-1802-19.pdf#page=12","Abrir facsímil")</f>
        <v>Abrir facsímil</v>
      </c>
      <c r="K1132" s="15" t="s">
        <v>23</v>
      </c>
    </row>
    <row r="1133" spans="1:11" ht="42" customHeight="1">
      <c r="A1133" s="4" t="s">
        <v>2933</v>
      </c>
      <c r="B1133" s="5" t="s">
        <v>2934</v>
      </c>
      <c r="C1133" s="5" t="s">
        <v>90</v>
      </c>
      <c r="D1133" s="5" t="s">
        <v>91</v>
      </c>
      <c r="E1133" s="5" t="s">
        <v>900</v>
      </c>
      <c r="F1133" s="9">
        <v>16</v>
      </c>
      <c r="G1133" s="9">
        <v>170</v>
      </c>
      <c r="H1133" s="5" t="s">
        <v>21</v>
      </c>
      <c r="I1133" s="5" t="s">
        <v>2935</v>
      </c>
      <c r="J1133" s="12" t="str">
        <f>HYPERLINK("https://www.boe.es/gazeta/dias/1802/02/23/pdfs/GMD-1802-16.pdf#page=10","Abrir facsímil")</f>
        <v>Abrir facsímil</v>
      </c>
      <c r="K1133" s="15" t="s">
        <v>23</v>
      </c>
    </row>
    <row r="1134" spans="1:11" ht="42" customHeight="1">
      <c r="A1134" s="4" t="s">
        <v>2936</v>
      </c>
      <c r="B1134" s="5" t="s">
        <v>2936</v>
      </c>
      <c r="C1134" s="5" t="s">
        <v>35</v>
      </c>
      <c r="D1134" s="5" t="s">
        <v>36</v>
      </c>
      <c r="E1134" s="5" t="s">
        <v>311</v>
      </c>
      <c r="F1134" s="9">
        <v>88</v>
      </c>
      <c r="G1134" s="9">
        <v>1091</v>
      </c>
      <c r="H1134" s="5" t="s">
        <v>21</v>
      </c>
      <c r="I1134" s="5" t="s">
        <v>2937</v>
      </c>
      <c r="J1134" s="12" t="str">
        <f>HYPERLINK("https://www.boe.es/gazeta/dias/1802/10/29/pdfs/GMD-1802-88.pdf#page=7","Abrir facsímil")</f>
        <v>Abrir facsímil</v>
      </c>
      <c r="K1134" s="15" t="s">
        <v>23</v>
      </c>
    </row>
    <row r="1135" spans="1:11" ht="42" customHeight="1">
      <c r="A1135" s="4" t="s">
        <v>2938</v>
      </c>
      <c r="B1135" s="5" t="s">
        <v>2939</v>
      </c>
      <c r="C1135" s="5" t="s">
        <v>29</v>
      </c>
      <c r="D1135" s="5" t="s">
        <v>30</v>
      </c>
      <c r="E1135" s="5" t="s">
        <v>1618</v>
      </c>
      <c r="F1135" s="9">
        <v>31</v>
      </c>
      <c r="G1135" s="9">
        <v>366</v>
      </c>
      <c r="H1135" s="5" t="s">
        <v>21</v>
      </c>
      <c r="I1135" s="5" t="s">
        <v>2940</v>
      </c>
      <c r="J1135" s="12" t="str">
        <f>HYPERLINK("https://www.boe.es/gazeta/dias/1802/04/16/pdfs/GMD-1802-31.pdf#page=10","Abrir facsímil")</f>
        <v>Abrir facsímil</v>
      </c>
      <c r="K1135" s="15" t="s">
        <v>23</v>
      </c>
    </row>
    <row r="1136" spans="1:11" ht="42" customHeight="1">
      <c r="A1136" s="4" t="s">
        <v>2941</v>
      </c>
      <c r="B1136" s="5" t="s">
        <v>2941</v>
      </c>
      <c r="C1136" s="5" t="s">
        <v>42</v>
      </c>
      <c r="D1136" s="5" t="s">
        <v>43</v>
      </c>
      <c r="E1136" s="5" t="s">
        <v>44</v>
      </c>
      <c r="F1136" s="9">
        <v>99</v>
      </c>
      <c r="G1136" s="9" t="s">
        <v>314</v>
      </c>
      <c r="H1136" s="5" t="s">
        <v>21</v>
      </c>
      <c r="I1136" s="5" t="s">
        <v>2942</v>
      </c>
      <c r="J1136" s="12" t="str">
        <f>HYPERLINK("https://www.boe.es/gazeta/dias/1802/12/07/pdfs/GMD-D-1802-99.pdf#page=2","Abrir facsímil")</f>
        <v>Abrir facsímil</v>
      </c>
      <c r="K1136" s="15" t="s">
        <v>23</v>
      </c>
    </row>
    <row r="1137" spans="1:11" ht="42" customHeight="1">
      <c r="A1137" s="4" t="s">
        <v>2943</v>
      </c>
      <c r="B1137" s="5" t="s">
        <v>2944</v>
      </c>
      <c r="C1137" s="5" t="s">
        <v>55</v>
      </c>
      <c r="D1137" s="5" t="s">
        <v>56</v>
      </c>
      <c r="E1137" s="5" t="s">
        <v>172</v>
      </c>
      <c r="F1137" s="9">
        <v>35</v>
      </c>
      <c r="G1137" s="9">
        <v>416</v>
      </c>
      <c r="H1137" s="5" t="s">
        <v>21</v>
      </c>
      <c r="I1137" s="5" t="s">
        <v>2945</v>
      </c>
      <c r="J1137" s="12" t="str">
        <f>HYPERLINK("https://www.boe.es/gazeta/dias/1802/04/30/pdfs/GMD-1802-35.pdf#page=16","Abrir facsímil")</f>
        <v>Abrir facsímil</v>
      </c>
      <c r="K1137" s="15" t="s">
        <v>23</v>
      </c>
    </row>
    <row r="1138" spans="1:11" ht="42" customHeight="1">
      <c r="A1138" s="4" t="s">
        <v>2946</v>
      </c>
      <c r="B1138" s="5" t="s">
        <v>2947</v>
      </c>
      <c r="C1138" s="5" t="s">
        <v>29</v>
      </c>
      <c r="D1138" s="5" t="s">
        <v>30</v>
      </c>
      <c r="E1138" s="5" t="s">
        <v>1332</v>
      </c>
      <c r="F1138" s="9">
        <v>4</v>
      </c>
      <c r="G1138" s="9">
        <v>38</v>
      </c>
      <c r="H1138" s="5" t="s">
        <v>21</v>
      </c>
      <c r="I1138" s="5" t="s">
        <v>2948</v>
      </c>
      <c r="J1138" s="12" t="str">
        <f>HYPERLINK("https://www.boe.es/gazeta/dias/1802/01/12/pdfs/GMD-1802-4.pdf#page=10","Abrir facsímil")</f>
        <v>Abrir facsímil</v>
      </c>
      <c r="K1138" s="15" t="s">
        <v>23</v>
      </c>
    </row>
    <row r="1139" spans="1:11" ht="42" customHeight="1">
      <c r="A1139" s="4" t="s">
        <v>2949</v>
      </c>
      <c r="B1139" s="5" t="s">
        <v>2950</v>
      </c>
      <c r="C1139" s="5" t="s">
        <v>18</v>
      </c>
      <c r="D1139" s="5" t="s">
        <v>19</v>
      </c>
      <c r="E1139" s="5" t="s">
        <v>670</v>
      </c>
      <c r="F1139" s="9">
        <v>40</v>
      </c>
      <c r="G1139" s="9">
        <v>477</v>
      </c>
      <c r="H1139" s="5" t="s">
        <v>21</v>
      </c>
      <c r="I1139" s="5" t="s">
        <v>2951</v>
      </c>
      <c r="J1139" s="12" t="str">
        <f>HYPERLINK("https://www.boe.es/gazeta/dias/1802/05/18/pdfs/GMD-1802-40.pdf#page=5","Abrir facsímil")</f>
        <v>Abrir facsímil</v>
      </c>
      <c r="K1139" s="15" t="s">
        <v>23</v>
      </c>
    </row>
    <row r="1140" spans="1:11" ht="42" customHeight="1">
      <c r="A1140" s="4" t="s">
        <v>2952</v>
      </c>
      <c r="B1140" s="5" t="s">
        <v>2953</v>
      </c>
      <c r="C1140" s="5" t="s">
        <v>29</v>
      </c>
      <c r="D1140" s="5" t="s">
        <v>30</v>
      </c>
      <c r="E1140" s="5" t="s">
        <v>670</v>
      </c>
      <c r="F1140" s="9">
        <v>40</v>
      </c>
      <c r="G1140" s="9">
        <v>481</v>
      </c>
      <c r="H1140" s="5" t="s">
        <v>21</v>
      </c>
      <c r="I1140" s="5" t="s">
        <v>2954</v>
      </c>
      <c r="J1140" s="12" t="str">
        <f>HYPERLINK("https://www.boe.es/gazeta/dias/1802/05/18/pdfs/GMD-1802-40.pdf#page=9","Abrir facsímil")</f>
        <v>Abrir facsímil</v>
      </c>
      <c r="K1140" s="15" t="s">
        <v>23</v>
      </c>
    </row>
    <row r="1141" spans="1:11" ht="42" customHeight="1">
      <c r="A1141" s="4" t="s">
        <v>2955</v>
      </c>
      <c r="B1141" s="5" t="s">
        <v>2956</v>
      </c>
      <c r="C1141" s="5" t="s">
        <v>29</v>
      </c>
      <c r="D1141" s="5" t="s">
        <v>30</v>
      </c>
      <c r="E1141" s="5" t="s">
        <v>49</v>
      </c>
      <c r="F1141" s="9">
        <v>83</v>
      </c>
      <c r="G1141" s="9">
        <v>1019</v>
      </c>
      <c r="H1141" s="5" t="s">
        <v>21</v>
      </c>
      <c r="I1141" s="5" t="s">
        <v>2957</v>
      </c>
      <c r="J1141" s="12" t="str">
        <f>HYPERLINK("https://www.boe.es/gazeta/dias/1802/10/12/pdfs/GMD-1802-83.pdf#page=7","Abrir facsímil")</f>
        <v>Abrir facsímil</v>
      </c>
      <c r="K1141" s="15" t="s">
        <v>23</v>
      </c>
    </row>
    <row r="1142" spans="1:11" ht="42" customHeight="1">
      <c r="A1142" s="4" t="s">
        <v>2958</v>
      </c>
      <c r="B1142" s="5" t="s">
        <v>2959</v>
      </c>
      <c r="C1142" s="5" t="s">
        <v>35</v>
      </c>
      <c r="D1142" s="5" t="s">
        <v>36</v>
      </c>
      <c r="E1142" s="5" t="s">
        <v>385</v>
      </c>
      <c r="F1142" s="9">
        <v>70</v>
      </c>
      <c r="G1142" s="9">
        <v>853</v>
      </c>
      <c r="H1142" s="5" t="s">
        <v>21</v>
      </c>
      <c r="I1142" s="5" t="s">
        <v>2960</v>
      </c>
      <c r="J1142" s="12" t="str">
        <f>HYPERLINK("https://www.boe.es/gazeta/dias/1802/08/27/pdfs/GMD-1802-70.pdf#page=1","Abrir facsímil")</f>
        <v>Abrir facsímil</v>
      </c>
      <c r="K1142" s="15" t="s">
        <v>23</v>
      </c>
    </row>
    <row r="1143" spans="1:11" ht="42" customHeight="1">
      <c r="A1143" s="4" t="s">
        <v>2961</v>
      </c>
      <c r="B1143" s="5" t="s">
        <v>2962</v>
      </c>
      <c r="C1143" s="5" t="s">
        <v>29</v>
      </c>
      <c r="D1143" s="5" t="s">
        <v>30</v>
      </c>
      <c r="E1143" s="5" t="s">
        <v>71</v>
      </c>
      <c r="F1143" s="9">
        <v>21</v>
      </c>
      <c r="G1143" s="9">
        <v>233</v>
      </c>
      <c r="H1143" s="5" t="s">
        <v>21</v>
      </c>
      <c r="I1143" s="5" t="s">
        <v>2963</v>
      </c>
      <c r="J1143" s="12" t="str">
        <f>HYPERLINK("https://www.boe.es/gazeta/dias/1802/03/12/pdfs/GMD-1802-21.pdf#page=9","Abrir facsímil")</f>
        <v>Abrir facsímil</v>
      </c>
      <c r="K1143" s="15" t="s">
        <v>23</v>
      </c>
    </row>
    <row r="1144" spans="1:11" ht="42" customHeight="1">
      <c r="A1144" s="4" t="s">
        <v>2964</v>
      </c>
      <c r="B1144" s="5" t="s">
        <v>2965</v>
      </c>
      <c r="C1144" s="5" t="s">
        <v>55</v>
      </c>
      <c r="D1144" s="5" t="s">
        <v>56</v>
      </c>
      <c r="E1144" s="5" t="s">
        <v>152</v>
      </c>
      <c r="F1144" s="9">
        <v>25</v>
      </c>
      <c r="G1144" s="9">
        <v>287</v>
      </c>
      <c r="H1144" s="5" t="s">
        <v>21</v>
      </c>
      <c r="I1144" s="5" t="s">
        <v>2966</v>
      </c>
      <c r="J1144" s="12" t="str">
        <f>HYPERLINK("https://www.boe.es/gazeta/dias/1802/03/26/pdfs/GMD-1802-25.pdf#page=11","Abrir facsímil")</f>
        <v>Abrir facsímil</v>
      </c>
      <c r="K1144" s="15" t="s">
        <v>23</v>
      </c>
    </row>
    <row r="1145" spans="1:11" ht="42" customHeight="1">
      <c r="A1145" s="4" t="s">
        <v>2967</v>
      </c>
      <c r="B1145" s="5" t="s">
        <v>2968</v>
      </c>
      <c r="C1145" s="5" t="s">
        <v>160</v>
      </c>
      <c r="D1145" s="5" t="s">
        <v>91</v>
      </c>
      <c r="E1145" s="5" t="s">
        <v>590</v>
      </c>
      <c r="F1145" s="9">
        <v>38</v>
      </c>
      <c r="G1145" s="9">
        <v>446</v>
      </c>
      <c r="H1145" s="5" t="s">
        <v>21</v>
      </c>
      <c r="I1145" s="5" t="s">
        <v>2969</v>
      </c>
      <c r="J1145" s="12" t="str">
        <f>HYPERLINK("https://www.boe.es/gazeta/dias/1802/05/11/pdfs/GMD-1802-38.pdf#page=2","Abrir facsímil")</f>
        <v>Abrir facsímil</v>
      </c>
      <c r="K1145" s="15" t="s">
        <v>23</v>
      </c>
    </row>
    <row r="1146" spans="1:11" ht="42" customHeight="1">
      <c r="A1146" s="4" t="s">
        <v>2970</v>
      </c>
      <c r="B1146" s="5" t="s">
        <v>2971</v>
      </c>
      <c r="C1146" s="5" t="s">
        <v>35</v>
      </c>
      <c r="D1146" s="5" t="s">
        <v>36</v>
      </c>
      <c r="E1146" s="5" t="s">
        <v>823</v>
      </c>
      <c r="F1146" s="9">
        <v>94</v>
      </c>
      <c r="G1146" s="9">
        <v>1160</v>
      </c>
      <c r="H1146" s="5" t="s">
        <v>21</v>
      </c>
      <c r="I1146" s="5" t="s">
        <v>2972</v>
      </c>
      <c r="J1146" s="12" t="str">
        <f>HYPERLINK("https://www.boe.es/gazeta/dias/1802/11/19/pdfs/GMD-1802-94.pdf#page=8","Abrir facsímil")</f>
        <v>Abrir facsímil</v>
      </c>
      <c r="K1146" s="15" t="s">
        <v>23</v>
      </c>
    </row>
    <row r="1147" spans="1:11" ht="42" customHeight="1">
      <c r="A1147" s="4" t="s">
        <v>2973</v>
      </c>
      <c r="B1147" s="5" t="s">
        <v>2973</v>
      </c>
      <c r="C1147" s="5" t="s">
        <v>29</v>
      </c>
      <c r="D1147" s="5" t="s">
        <v>30</v>
      </c>
      <c r="E1147" s="5" t="s">
        <v>148</v>
      </c>
      <c r="F1147" s="9">
        <v>66</v>
      </c>
      <c r="G1147" s="9">
        <v>808</v>
      </c>
      <c r="H1147" s="5" t="s">
        <v>21</v>
      </c>
      <c r="I1147" s="5" t="s">
        <v>2974</v>
      </c>
      <c r="J1147" s="12" t="str">
        <f>HYPERLINK("https://www.boe.es/gazeta/dias/1802/08/13/pdfs/GMD-1802-66.pdf#page=12","Abrir facsímil")</f>
        <v>Abrir facsímil</v>
      </c>
      <c r="K1147" s="15" t="s">
        <v>23</v>
      </c>
    </row>
    <row r="1148" spans="1:11" ht="42" customHeight="1">
      <c r="A1148" s="4" t="s">
        <v>2975</v>
      </c>
      <c r="B1148" s="5" t="s">
        <v>2976</v>
      </c>
      <c r="C1148" s="5" t="s">
        <v>29</v>
      </c>
      <c r="D1148" s="5" t="s">
        <v>30</v>
      </c>
      <c r="E1148" s="5" t="s">
        <v>181</v>
      </c>
      <c r="F1148" s="9">
        <v>55</v>
      </c>
      <c r="G1148" s="9">
        <v>667</v>
      </c>
      <c r="H1148" s="5" t="s">
        <v>21</v>
      </c>
      <c r="I1148" s="5" t="s">
        <v>2977</v>
      </c>
      <c r="J1148" s="12" t="str">
        <f>HYPERLINK("https://www.boe.es/gazeta/dias/1802/07/09/pdfs/GMD-1802-55.pdf#page=11","Abrir facsímil")</f>
        <v>Abrir facsímil</v>
      </c>
      <c r="K1148" s="15" t="s">
        <v>23</v>
      </c>
    </row>
    <row r="1149" spans="1:11" ht="42" customHeight="1">
      <c r="A1149" s="4" t="s">
        <v>2975</v>
      </c>
      <c r="B1149" s="5" t="s">
        <v>2976</v>
      </c>
      <c r="C1149" s="5" t="s">
        <v>90</v>
      </c>
      <c r="D1149" s="5" t="s">
        <v>91</v>
      </c>
      <c r="E1149" s="5" t="s">
        <v>183</v>
      </c>
      <c r="F1149" s="9">
        <v>56</v>
      </c>
      <c r="G1149" s="9">
        <v>678</v>
      </c>
      <c r="H1149" s="5" t="s">
        <v>21</v>
      </c>
      <c r="I1149" s="5" t="s">
        <v>2978</v>
      </c>
      <c r="J1149" s="12" t="str">
        <f>HYPERLINK("https://www.boe.es/gazeta/dias/1802/07/13/pdfs/GMD-1802-56.pdf#page=10","Abrir facsímil")</f>
        <v>Abrir facsímil</v>
      </c>
      <c r="K1149" s="15" t="s">
        <v>23</v>
      </c>
    </row>
    <row r="1150" spans="1:11" ht="42" customHeight="1">
      <c r="A1150" s="4" t="s">
        <v>2979</v>
      </c>
      <c r="B1150" s="5" t="s">
        <v>2980</v>
      </c>
      <c r="C1150" s="5" t="s">
        <v>29</v>
      </c>
      <c r="D1150" s="5" t="s">
        <v>30</v>
      </c>
      <c r="E1150" s="5" t="s">
        <v>163</v>
      </c>
      <c r="F1150" s="9">
        <v>1</v>
      </c>
      <c r="G1150" s="9">
        <v>7</v>
      </c>
      <c r="H1150" s="5" t="s">
        <v>21</v>
      </c>
      <c r="I1150" s="5" t="s">
        <v>2981</v>
      </c>
      <c r="J1150" s="12" t="str">
        <f>HYPERLINK("https://www.boe.es/gazeta/dias/1802/01/01/pdfs/GMD-1802-1.pdf#page=7","Abrir facsímil")</f>
        <v>Abrir facsímil</v>
      </c>
      <c r="K1150" s="15" t="s">
        <v>23</v>
      </c>
    </row>
    <row r="1151" spans="1:11" ht="42" customHeight="1">
      <c r="A1151" s="4" t="s">
        <v>2982</v>
      </c>
      <c r="B1151" s="5" t="s">
        <v>2982</v>
      </c>
      <c r="C1151" s="5" t="s">
        <v>29</v>
      </c>
      <c r="D1151" s="5" t="s">
        <v>30</v>
      </c>
      <c r="E1151" s="5" t="s">
        <v>381</v>
      </c>
      <c r="F1151" s="9">
        <v>13</v>
      </c>
      <c r="G1151" s="9">
        <v>130</v>
      </c>
      <c r="H1151" s="5" t="s">
        <v>21</v>
      </c>
      <c r="I1151" s="5" t="s">
        <v>2983</v>
      </c>
      <c r="J1151" s="12" t="str">
        <f>HYPERLINK("https://www.boe.es/gazeta/dias/1802/02/12/pdfs/GMD-1802-13.pdf#page=6","Abrir facsímil")</f>
        <v>Abrir facsímil</v>
      </c>
      <c r="K1151" s="15" t="s">
        <v>23</v>
      </c>
    </row>
    <row r="1152" spans="1:11" ht="42" customHeight="1">
      <c r="A1152" s="4" t="s">
        <v>2984</v>
      </c>
      <c r="B1152" s="5" t="s">
        <v>2984</v>
      </c>
      <c r="C1152" s="5" t="s">
        <v>18</v>
      </c>
      <c r="D1152" s="5" t="s">
        <v>19</v>
      </c>
      <c r="E1152" s="5" t="s">
        <v>49</v>
      </c>
      <c r="F1152" s="9">
        <v>83</v>
      </c>
      <c r="G1152" s="9">
        <v>1022</v>
      </c>
      <c r="H1152" s="5" t="s">
        <v>21</v>
      </c>
      <c r="I1152" s="5" t="s">
        <v>2985</v>
      </c>
      <c r="J1152" s="12" t="str">
        <f>HYPERLINK("https://www.boe.es/gazeta/dias/1802/10/12/pdfs/GMD-1802-83.pdf#page=10","Abrir facsímil")</f>
        <v>Abrir facsímil</v>
      </c>
      <c r="K1152" s="15" t="s">
        <v>23</v>
      </c>
    </row>
    <row r="1153" spans="1:11" ht="42" customHeight="1">
      <c r="A1153" s="4" t="s">
        <v>2986</v>
      </c>
      <c r="B1153" s="5" t="s">
        <v>2986</v>
      </c>
      <c r="C1153" s="5" t="s">
        <v>29</v>
      </c>
      <c r="D1153" s="5" t="s">
        <v>30</v>
      </c>
      <c r="E1153" s="5" t="s">
        <v>258</v>
      </c>
      <c r="F1153" s="9">
        <v>63</v>
      </c>
      <c r="G1153" s="9">
        <v>766</v>
      </c>
      <c r="H1153" s="5" t="s">
        <v>21</v>
      </c>
      <c r="I1153" s="5" t="s">
        <v>2987</v>
      </c>
      <c r="J1153" s="12" t="str">
        <f>HYPERLINK("https://www.boe.es/gazeta/dias/1802/08/03/pdfs/GMD-1802-63.pdf#page=6","Abrir facsímil")</f>
        <v>Abrir facsímil</v>
      </c>
      <c r="K1153" s="15" t="s">
        <v>23</v>
      </c>
    </row>
    <row r="1154" spans="1:11" ht="42" customHeight="1">
      <c r="A1154" s="4" t="s">
        <v>2988</v>
      </c>
      <c r="B1154" s="5" t="s">
        <v>2988</v>
      </c>
      <c r="C1154" s="5" t="s">
        <v>42</v>
      </c>
      <c r="D1154" s="5" t="s">
        <v>43</v>
      </c>
      <c r="E1154" s="5" t="s">
        <v>44</v>
      </c>
      <c r="F1154" s="9">
        <v>99</v>
      </c>
      <c r="G1154" s="9" t="s">
        <v>45</v>
      </c>
      <c r="H1154" s="5" t="s">
        <v>21</v>
      </c>
      <c r="I1154" s="5" t="s">
        <v>2989</v>
      </c>
      <c r="J1154" s="12" t="str">
        <f>HYPERLINK("https://www.boe.es/gazeta/dias/1802/12/07/pdfs/GMD-D-1802-99.pdf#page=14","Abrir facsímil")</f>
        <v>Abrir facsímil</v>
      </c>
      <c r="K1154" s="15" t="s">
        <v>23</v>
      </c>
    </row>
    <row r="1155" spans="1:11" ht="42" customHeight="1">
      <c r="A1155" s="4" t="s">
        <v>2990</v>
      </c>
      <c r="B1155" s="5" t="s">
        <v>2991</v>
      </c>
      <c r="C1155" s="5" t="s">
        <v>29</v>
      </c>
      <c r="D1155" s="5" t="s">
        <v>30</v>
      </c>
      <c r="E1155" s="5" t="s">
        <v>714</v>
      </c>
      <c r="F1155" s="9">
        <v>89</v>
      </c>
      <c r="G1155" s="9">
        <v>1106</v>
      </c>
      <c r="H1155" s="5" t="s">
        <v>21</v>
      </c>
      <c r="I1155" s="5" t="s">
        <v>2992</v>
      </c>
      <c r="J1155" s="12" t="str">
        <f>HYPERLINK("https://www.boe.es/gazeta/dias/1802/11/02/pdfs/GMD-1802-89.pdf#page=10","Abrir facsímil")</f>
        <v>Abrir facsímil</v>
      </c>
      <c r="K1155" s="15" t="s">
        <v>23</v>
      </c>
    </row>
    <row r="1156" spans="1:11" ht="42" customHeight="1">
      <c r="A1156" s="4" t="s">
        <v>2993</v>
      </c>
      <c r="B1156" s="5" t="s">
        <v>2994</v>
      </c>
      <c r="C1156" s="5" t="s">
        <v>35</v>
      </c>
      <c r="D1156" s="5" t="s">
        <v>36</v>
      </c>
      <c r="E1156" s="5" t="s">
        <v>148</v>
      </c>
      <c r="F1156" s="9">
        <v>66</v>
      </c>
      <c r="G1156" s="9">
        <v>808</v>
      </c>
      <c r="H1156" s="5" t="s">
        <v>21</v>
      </c>
      <c r="I1156" s="5" t="s">
        <v>2995</v>
      </c>
      <c r="J1156" s="12" t="str">
        <f>HYPERLINK("https://www.boe.es/gazeta/dias/1802/08/13/pdfs/GMD-1802-66.pdf#page=12","Abrir facsímil")</f>
        <v>Abrir facsímil</v>
      </c>
      <c r="K1156" s="15" t="s">
        <v>23</v>
      </c>
    </row>
    <row r="1157" spans="1:11" ht="42" customHeight="1">
      <c r="A1157" s="4" t="s">
        <v>2996</v>
      </c>
      <c r="B1157" s="5" t="s">
        <v>2997</v>
      </c>
      <c r="C1157" s="5" t="s">
        <v>18</v>
      </c>
      <c r="D1157" s="5" t="s">
        <v>19</v>
      </c>
      <c r="E1157" s="5" t="s">
        <v>1264</v>
      </c>
      <c r="F1157" s="9">
        <v>105</v>
      </c>
      <c r="G1157" s="9">
        <v>1287</v>
      </c>
      <c r="H1157" s="5" t="s">
        <v>21</v>
      </c>
      <c r="I1157" s="5" t="s">
        <v>2998</v>
      </c>
      <c r="J1157" s="12" t="str">
        <f>HYPERLINK("https://www.boe.es/gazeta/dias/1802/12/28/pdfs/GMD-1802-105.pdf#page=11","Abrir facsímil")</f>
        <v>Abrir facsímil</v>
      </c>
      <c r="K1157" s="15" t="s">
        <v>23</v>
      </c>
    </row>
    <row r="1158" spans="1:11" ht="42" customHeight="1">
      <c r="A1158" s="4" t="s">
        <v>2999</v>
      </c>
      <c r="B1158" s="5" t="s">
        <v>3000</v>
      </c>
      <c r="C1158" s="5" t="s">
        <v>29</v>
      </c>
      <c r="D1158" s="5" t="s">
        <v>30</v>
      </c>
      <c r="E1158" s="5" t="s">
        <v>192</v>
      </c>
      <c r="F1158" s="9">
        <v>53</v>
      </c>
      <c r="G1158" s="9">
        <v>642</v>
      </c>
      <c r="H1158" s="5" t="s">
        <v>21</v>
      </c>
      <c r="I1158" s="5" t="s">
        <v>3001</v>
      </c>
      <c r="J1158" s="12" t="str">
        <f>HYPERLINK("https://www.boe.es/gazeta/dias/1802/07/02/pdfs/GMD-1802-53.pdf#page=10","Abrir facsímil")</f>
        <v>Abrir facsímil</v>
      </c>
      <c r="K1158" s="15" t="s">
        <v>23</v>
      </c>
    </row>
    <row r="1159" spans="1:11" ht="42" customHeight="1">
      <c r="A1159" s="4" t="s">
        <v>3002</v>
      </c>
      <c r="B1159" s="5" t="s">
        <v>3003</v>
      </c>
      <c r="C1159" s="5" t="s">
        <v>160</v>
      </c>
      <c r="D1159" s="5" t="s">
        <v>91</v>
      </c>
      <c r="E1159" s="5" t="s">
        <v>163</v>
      </c>
      <c r="F1159" s="9">
        <v>1</v>
      </c>
      <c r="G1159" s="9">
        <v>7</v>
      </c>
      <c r="H1159" s="5" t="s">
        <v>21</v>
      </c>
      <c r="I1159" s="5" t="s">
        <v>3004</v>
      </c>
      <c r="J1159" s="12" t="str">
        <f>HYPERLINK("https://www.boe.es/gazeta/dias/1802/01/01/pdfs/GMD-1802-1.pdf#page=7","Abrir facsímil")</f>
        <v>Abrir facsímil</v>
      </c>
      <c r="K1159" s="15" t="s">
        <v>23</v>
      </c>
    </row>
    <row r="1160" spans="1:11" ht="42" customHeight="1">
      <c r="A1160" s="4" t="s">
        <v>3005</v>
      </c>
      <c r="B1160" s="5" t="s">
        <v>3006</v>
      </c>
      <c r="C1160" s="5" t="s">
        <v>29</v>
      </c>
      <c r="D1160" s="5" t="s">
        <v>30</v>
      </c>
      <c r="E1160" s="5" t="s">
        <v>192</v>
      </c>
      <c r="F1160" s="9">
        <v>53</v>
      </c>
      <c r="G1160" s="9">
        <v>642</v>
      </c>
      <c r="H1160" s="5" t="s">
        <v>21</v>
      </c>
      <c r="I1160" s="5" t="s">
        <v>3007</v>
      </c>
      <c r="J1160" s="12" t="str">
        <f>HYPERLINK("https://www.boe.es/gazeta/dias/1802/07/02/pdfs/GMD-1802-53.pdf#page=10","Abrir facsímil")</f>
        <v>Abrir facsímil</v>
      </c>
      <c r="K1160" s="15" t="s">
        <v>23</v>
      </c>
    </row>
    <row r="1161" spans="1:11" ht="42" customHeight="1">
      <c r="A1161" s="4" t="s">
        <v>3008</v>
      </c>
      <c r="B1161" s="5" t="s">
        <v>3009</v>
      </c>
      <c r="C1161" s="5" t="s">
        <v>42</v>
      </c>
      <c r="D1161" s="5" t="s">
        <v>43</v>
      </c>
      <c r="E1161" s="5" t="s">
        <v>44</v>
      </c>
      <c r="F1161" s="9">
        <v>99</v>
      </c>
      <c r="G1161" s="9" t="s">
        <v>322</v>
      </c>
      <c r="H1161" s="5" t="s">
        <v>21</v>
      </c>
      <c r="I1161" s="5" t="s">
        <v>3010</v>
      </c>
      <c r="J1161" s="12" t="str">
        <f>HYPERLINK("https://www.boe.es/gazeta/dias/1802/12/07/pdfs/GMD-D-1802-99.pdf#page=10","Abrir facsímil")</f>
        <v>Abrir facsímil</v>
      </c>
      <c r="K1161" s="15" t="s">
        <v>23</v>
      </c>
    </row>
    <row r="1162" spans="1:11" ht="42" customHeight="1">
      <c r="A1162" s="4" t="s">
        <v>3011</v>
      </c>
      <c r="B1162" s="5" t="s">
        <v>3011</v>
      </c>
      <c r="C1162" s="5" t="s">
        <v>18</v>
      </c>
      <c r="D1162" s="5" t="s">
        <v>19</v>
      </c>
      <c r="E1162" s="5" t="s">
        <v>49</v>
      </c>
      <c r="F1162" s="9">
        <v>83</v>
      </c>
      <c r="G1162" s="9">
        <v>1023</v>
      </c>
      <c r="H1162" s="5" t="s">
        <v>21</v>
      </c>
      <c r="I1162" s="5" t="s">
        <v>3012</v>
      </c>
      <c r="J1162" s="12" t="str">
        <f>HYPERLINK("https://www.boe.es/gazeta/dias/1802/10/12/pdfs/GMD-1802-83.pdf#page=11","Abrir facsímil")</f>
        <v>Abrir facsímil</v>
      </c>
      <c r="K1162" s="15" t="s">
        <v>23</v>
      </c>
    </row>
    <row r="1163" spans="1:11" ht="42" customHeight="1">
      <c r="A1163" s="4" t="s">
        <v>3013</v>
      </c>
      <c r="B1163" s="5" t="s">
        <v>3013</v>
      </c>
      <c r="C1163" s="5" t="s">
        <v>29</v>
      </c>
      <c r="D1163" s="5" t="s">
        <v>30</v>
      </c>
      <c r="E1163" s="5" t="s">
        <v>232</v>
      </c>
      <c r="F1163" s="9">
        <v>30</v>
      </c>
      <c r="G1163" s="9">
        <v>348</v>
      </c>
      <c r="H1163" s="5" t="s">
        <v>21</v>
      </c>
      <c r="I1163" s="5" t="s">
        <v>3014</v>
      </c>
      <c r="J1163" s="12" t="str">
        <f>HYPERLINK("https://www.boe.es/gazeta/dias/1802/04/13/pdfs/GMD-1802-30.pdf#page=4","Abrir facsímil")</f>
        <v>Abrir facsímil</v>
      </c>
      <c r="K1163" s="15" t="s">
        <v>23</v>
      </c>
    </row>
    <row r="1164" spans="1:11" ht="42" customHeight="1">
      <c r="A1164" s="4" t="s">
        <v>3015</v>
      </c>
      <c r="B1164" s="5" t="s">
        <v>3015</v>
      </c>
      <c r="C1164" s="5" t="s">
        <v>29</v>
      </c>
      <c r="D1164" s="5" t="s">
        <v>30</v>
      </c>
      <c r="E1164" s="5" t="s">
        <v>49</v>
      </c>
      <c r="F1164" s="9">
        <v>83</v>
      </c>
      <c r="G1164" s="9">
        <v>1026</v>
      </c>
      <c r="H1164" s="5" t="s">
        <v>21</v>
      </c>
      <c r="I1164" s="5" t="s">
        <v>3016</v>
      </c>
      <c r="J1164" s="12" t="str">
        <f>HYPERLINK("https://www.boe.es/gazeta/dias/1802/10/12/pdfs/GMD-1802-83.pdf#page=14","Abrir facsímil")</f>
        <v>Abrir facsímil</v>
      </c>
      <c r="K1164" s="15" t="s">
        <v>23</v>
      </c>
    </row>
    <row r="1165" spans="1:11" ht="42" customHeight="1">
      <c r="A1165" s="4" t="s">
        <v>3017</v>
      </c>
      <c r="B1165" s="5" t="s">
        <v>3018</v>
      </c>
      <c r="C1165" s="5" t="s">
        <v>29</v>
      </c>
      <c r="D1165" s="5" t="s">
        <v>30</v>
      </c>
      <c r="E1165" s="5" t="s">
        <v>192</v>
      </c>
      <c r="F1165" s="9">
        <v>53</v>
      </c>
      <c r="G1165" s="9">
        <v>643</v>
      </c>
      <c r="H1165" s="5" t="s">
        <v>21</v>
      </c>
      <c r="I1165" s="5" t="s">
        <v>3019</v>
      </c>
      <c r="J1165" s="12" t="str">
        <f>HYPERLINK("https://www.boe.es/gazeta/dias/1802/07/02/pdfs/GMD-1802-53.pdf#page=11","Abrir facsímil")</f>
        <v>Abrir facsímil</v>
      </c>
      <c r="K1165" s="15" t="s">
        <v>23</v>
      </c>
    </row>
    <row r="1166" spans="1:11" ht="42" customHeight="1">
      <c r="A1166" s="4" t="s">
        <v>3020</v>
      </c>
      <c r="B1166" s="5" t="s">
        <v>3020</v>
      </c>
      <c r="C1166" s="5" t="s">
        <v>35</v>
      </c>
      <c r="D1166" s="5" t="s">
        <v>36</v>
      </c>
      <c r="E1166" s="5" t="s">
        <v>865</v>
      </c>
      <c r="F1166" s="9">
        <v>12</v>
      </c>
      <c r="G1166" s="9">
        <v>120</v>
      </c>
      <c r="H1166" s="5" t="s">
        <v>21</v>
      </c>
      <c r="I1166" s="5" t="s">
        <v>3021</v>
      </c>
      <c r="J1166" s="12" t="str">
        <f>HYPERLINK("https://www.boe.es/gazeta/dias/1802/02/09/pdfs/GMD-1802-12.pdf#page=4","Abrir facsímil")</f>
        <v>Abrir facsímil</v>
      </c>
      <c r="K1166" s="15" t="s">
        <v>23</v>
      </c>
    </row>
    <row r="1167" spans="1:11" ht="42" customHeight="1">
      <c r="A1167" s="4" t="s">
        <v>3022</v>
      </c>
      <c r="B1167" s="5" t="s">
        <v>3023</v>
      </c>
      <c r="C1167" s="5" t="s">
        <v>90</v>
      </c>
      <c r="D1167" s="5" t="s">
        <v>91</v>
      </c>
      <c r="E1167" s="5" t="s">
        <v>73</v>
      </c>
      <c r="F1167" s="9">
        <v>102</v>
      </c>
      <c r="G1167" s="9">
        <v>1254</v>
      </c>
      <c r="H1167" s="5" t="s">
        <v>21</v>
      </c>
      <c r="I1167" s="5" t="s">
        <v>3024</v>
      </c>
      <c r="J1167" s="12" t="str">
        <f>HYPERLINK("https://www.boe.es/gazeta/dias/1802/12/17/pdfs/GMD-1802-102.pdf#page=10","Abrir facsímil")</f>
        <v>Abrir facsímil</v>
      </c>
      <c r="K1167" s="15" t="s">
        <v>23</v>
      </c>
    </row>
    <row r="1168" spans="1:11" ht="42" customHeight="1">
      <c r="A1168" s="4" t="s">
        <v>3025</v>
      </c>
      <c r="B1168" s="5" t="s">
        <v>3026</v>
      </c>
      <c r="C1168" s="5" t="s">
        <v>18</v>
      </c>
      <c r="D1168" s="5" t="s">
        <v>19</v>
      </c>
      <c r="E1168" s="5" t="s">
        <v>49</v>
      </c>
      <c r="F1168" s="9">
        <v>83</v>
      </c>
      <c r="G1168" s="9">
        <v>1025</v>
      </c>
      <c r="H1168" s="5" t="s">
        <v>21</v>
      </c>
      <c r="I1168" s="5" t="s">
        <v>3027</v>
      </c>
      <c r="J1168" s="12" t="str">
        <f>HYPERLINK("https://www.boe.es/gazeta/dias/1802/10/12/pdfs/GMD-1802-83.pdf#page=13","Abrir facsímil")</f>
        <v>Abrir facsímil</v>
      </c>
      <c r="K1168" s="15" t="s">
        <v>23</v>
      </c>
    </row>
    <row r="1169" spans="1:11" ht="42" customHeight="1">
      <c r="A1169" s="4" t="s">
        <v>3028</v>
      </c>
      <c r="B1169" s="5" t="s">
        <v>3029</v>
      </c>
      <c r="C1169" s="5" t="s">
        <v>18</v>
      </c>
      <c r="D1169" s="5" t="s">
        <v>19</v>
      </c>
      <c r="E1169" s="5" t="s">
        <v>170</v>
      </c>
      <c r="F1169" s="9">
        <v>28</v>
      </c>
      <c r="G1169" s="9">
        <v>329</v>
      </c>
      <c r="H1169" s="5" t="s">
        <v>21</v>
      </c>
      <c r="I1169" s="5" t="s">
        <v>3030</v>
      </c>
      <c r="J1169" s="12" t="str">
        <f>HYPERLINK("https://www.boe.es/gazeta/dias/1802/04/06/pdfs/GMD-1802-28.pdf#page=9","Abrir facsímil")</f>
        <v>Abrir facsímil</v>
      </c>
      <c r="K1169" s="15" t="s">
        <v>23</v>
      </c>
    </row>
    <row r="1170" spans="1:11" ht="42" customHeight="1">
      <c r="A1170" s="4" t="s">
        <v>3028</v>
      </c>
      <c r="B1170" s="5" t="s">
        <v>3029</v>
      </c>
      <c r="C1170" s="5" t="s">
        <v>55</v>
      </c>
      <c r="D1170" s="5" t="s">
        <v>56</v>
      </c>
      <c r="E1170" s="5" t="s">
        <v>172</v>
      </c>
      <c r="F1170" s="9">
        <v>35</v>
      </c>
      <c r="G1170" s="9">
        <v>416</v>
      </c>
      <c r="H1170" s="5" t="s">
        <v>21</v>
      </c>
      <c r="I1170" s="5" t="s">
        <v>3031</v>
      </c>
      <c r="J1170" s="12" t="str">
        <f>HYPERLINK("https://www.boe.es/gazeta/dias/1802/04/30/pdfs/GMD-1802-35.pdf#page=16","Abrir facsímil")</f>
        <v>Abrir facsímil</v>
      </c>
      <c r="K1170" s="15" t="s">
        <v>23</v>
      </c>
    </row>
    <row r="1171" spans="1:11" ht="42" customHeight="1">
      <c r="A1171" s="4" t="s">
        <v>3028</v>
      </c>
      <c r="B1171" s="5" t="s">
        <v>3029</v>
      </c>
      <c r="C1171" s="5" t="s">
        <v>572</v>
      </c>
      <c r="D1171" s="5" t="s">
        <v>573</v>
      </c>
      <c r="E1171" s="5" t="s">
        <v>574</v>
      </c>
      <c r="F1171" s="9" t="s">
        <v>575</v>
      </c>
      <c r="G1171" s="9">
        <v>706</v>
      </c>
      <c r="H1171" s="5" t="s">
        <v>21</v>
      </c>
      <c r="I1171" s="5" t="s">
        <v>3032</v>
      </c>
      <c r="J1171" s="12" t="str">
        <f>HYPERLINK("https://www.boe.es/gazeta/dias/1802/07/21/pdfs/GMD-1802-59E.pdf#page=2","Abrir facsímil")</f>
        <v>Abrir facsímil</v>
      </c>
      <c r="K1171" s="15" t="s">
        <v>23</v>
      </c>
    </row>
    <row r="1172" spans="1:11" ht="42" customHeight="1">
      <c r="A1172" s="4" t="s">
        <v>3028</v>
      </c>
      <c r="B1172" s="5" t="s">
        <v>3029</v>
      </c>
      <c r="C1172" s="5" t="s">
        <v>572</v>
      </c>
      <c r="D1172" s="5" t="s">
        <v>573</v>
      </c>
      <c r="E1172" s="5" t="s">
        <v>574</v>
      </c>
      <c r="F1172" s="9" t="s">
        <v>575</v>
      </c>
      <c r="G1172" s="9">
        <v>708</v>
      </c>
      <c r="H1172" s="5" t="s">
        <v>21</v>
      </c>
      <c r="I1172" s="5" t="s">
        <v>3033</v>
      </c>
      <c r="J1172" s="12" t="str">
        <f>HYPERLINK("https://www.boe.es/gazeta/dias/1802/07/21/pdfs/GMD-1802-59E.pdf#page=4","Abrir facsímil")</f>
        <v>Abrir facsímil</v>
      </c>
      <c r="K1172" s="15" t="s">
        <v>23</v>
      </c>
    </row>
    <row r="1173" spans="1:11" ht="42" customHeight="1">
      <c r="A1173" s="4" t="s">
        <v>3028</v>
      </c>
      <c r="B1173" s="5" t="s">
        <v>3029</v>
      </c>
      <c r="C1173" s="5" t="s">
        <v>572</v>
      </c>
      <c r="D1173" s="5" t="s">
        <v>573</v>
      </c>
      <c r="E1173" s="5" t="s">
        <v>574</v>
      </c>
      <c r="F1173" s="9" t="s">
        <v>575</v>
      </c>
      <c r="G1173" s="9">
        <v>710</v>
      </c>
      <c r="H1173" s="5" t="s">
        <v>21</v>
      </c>
      <c r="I1173" s="5" t="s">
        <v>3034</v>
      </c>
      <c r="J1173" s="12" t="str">
        <f>HYPERLINK("https://www.boe.es/gazeta/dias/1802/07/21/pdfs/GMD-1802-59E.pdf#page=6","Abrir facsímil")</f>
        <v>Abrir facsímil</v>
      </c>
      <c r="K1173" s="15" t="s">
        <v>23</v>
      </c>
    </row>
    <row r="1174" spans="1:11" ht="42" customHeight="1">
      <c r="A1174" s="4" t="s">
        <v>3035</v>
      </c>
      <c r="B1174" s="5" t="s">
        <v>3036</v>
      </c>
      <c r="C1174" s="5" t="s">
        <v>42</v>
      </c>
      <c r="D1174" s="5" t="s">
        <v>43</v>
      </c>
      <c r="E1174" s="5" t="s">
        <v>44</v>
      </c>
      <c r="F1174" s="9">
        <v>99</v>
      </c>
      <c r="G1174" s="9" t="s">
        <v>314</v>
      </c>
      <c r="H1174" s="5" t="s">
        <v>21</v>
      </c>
      <c r="I1174" s="5" t="s">
        <v>3037</v>
      </c>
      <c r="J1174" s="12" t="str">
        <f>HYPERLINK("https://www.boe.es/gazeta/dias/1802/12/07/pdfs/GMD-D-1802-99.pdf#page=2","Abrir facsímil")</f>
        <v>Abrir facsímil</v>
      </c>
      <c r="K1174" s="15" t="s">
        <v>23</v>
      </c>
    </row>
    <row r="1175" spans="1:11" ht="42" customHeight="1">
      <c r="A1175" s="4" t="s">
        <v>3038</v>
      </c>
      <c r="B1175" s="5" t="s">
        <v>3039</v>
      </c>
      <c r="C1175" s="5" t="s">
        <v>35</v>
      </c>
      <c r="D1175" s="5" t="s">
        <v>36</v>
      </c>
      <c r="E1175" s="5" t="s">
        <v>86</v>
      </c>
      <c r="F1175" s="9">
        <v>26</v>
      </c>
      <c r="G1175" s="9">
        <v>296</v>
      </c>
      <c r="H1175" s="5" t="s">
        <v>21</v>
      </c>
      <c r="I1175" s="5" t="s">
        <v>3040</v>
      </c>
      <c r="J1175" s="12" t="str">
        <f>HYPERLINK("https://www.boe.es/gazeta/dias/1802/03/30/pdfs/GMD-1802-26.pdf#page=8","Abrir facsímil")</f>
        <v>Abrir facsímil</v>
      </c>
      <c r="K1175" s="15" t="s">
        <v>23</v>
      </c>
    </row>
    <row r="1176" spans="1:11" ht="42" customHeight="1">
      <c r="A1176" s="4" t="s">
        <v>3041</v>
      </c>
      <c r="B1176" s="5" t="s">
        <v>3042</v>
      </c>
      <c r="C1176" s="5" t="s">
        <v>29</v>
      </c>
      <c r="D1176" s="5" t="s">
        <v>30</v>
      </c>
      <c r="E1176" s="5" t="s">
        <v>1618</v>
      </c>
      <c r="F1176" s="9">
        <v>31</v>
      </c>
      <c r="G1176" s="9">
        <v>366</v>
      </c>
      <c r="H1176" s="5" t="s">
        <v>21</v>
      </c>
      <c r="I1176" s="5" t="s">
        <v>3043</v>
      </c>
      <c r="J1176" s="12" t="str">
        <f>HYPERLINK("https://www.boe.es/gazeta/dias/1802/04/16/pdfs/GMD-1802-31.pdf#page=10","Abrir facsímil")</f>
        <v>Abrir facsímil</v>
      </c>
      <c r="K1176" s="15" t="s">
        <v>23</v>
      </c>
    </row>
    <row r="1177" spans="1:11" ht="42" customHeight="1">
      <c r="A1177" s="4" t="s">
        <v>3044</v>
      </c>
      <c r="B1177" s="5" t="s">
        <v>3045</v>
      </c>
      <c r="C1177" s="5" t="s">
        <v>29</v>
      </c>
      <c r="D1177" s="5" t="s">
        <v>30</v>
      </c>
      <c r="E1177" s="5" t="s">
        <v>128</v>
      </c>
      <c r="F1177" s="9">
        <v>9</v>
      </c>
      <c r="G1177" s="9">
        <v>89</v>
      </c>
      <c r="H1177" s="5" t="s">
        <v>21</v>
      </c>
      <c r="I1177" s="5" t="s">
        <v>3046</v>
      </c>
      <c r="J1177" s="12" t="str">
        <f>HYPERLINK("https://www.boe.es/gazeta/dias/1802/01/29/pdfs/GMD-1802-9.pdf#page=9","Abrir facsímil")</f>
        <v>Abrir facsímil</v>
      </c>
      <c r="K1177" s="15" t="s">
        <v>23</v>
      </c>
    </row>
    <row r="1178" spans="1:11" ht="42" customHeight="1">
      <c r="A1178" s="4" t="s">
        <v>3047</v>
      </c>
      <c r="B1178" s="5" t="s">
        <v>3048</v>
      </c>
      <c r="C1178" s="5" t="s">
        <v>18</v>
      </c>
      <c r="D1178" s="5" t="s">
        <v>19</v>
      </c>
      <c r="E1178" s="5" t="s">
        <v>20</v>
      </c>
      <c r="F1178" s="9">
        <v>84</v>
      </c>
      <c r="G1178" s="9">
        <v>1039</v>
      </c>
      <c r="H1178" s="5" t="s">
        <v>21</v>
      </c>
      <c r="I1178" s="5" t="s">
        <v>3049</v>
      </c>
      <c r="J1178" s="12" t="str">
        <f>HYPERLINK("https://www.boe.es/gazeta/dias/1802/10/15/pdfs/GMD-1802-84.pdf#page=7","Abrir facsímil")</f>
        <v>Abrir facsímil</v>
      </c>
      <c r="K1178" s="15" t="s">
        <v>23</v>
      </c>
    </row>
    <row r="1179" spans="1:11" ht="42" customHeight="1">
      <c r="A1179" s="4" t="s">
        <v>3050</v>
      </c>
      <c r="B1179" s="5" t="s">
        <v>3051</v>
      </c>
      <c r="C1179" s="5" t="s">
        <v>18</v>
      </c>
      <c r="D1179" s="5" t="s">
        <v>19</v>
      </c>
      <c r="E1179" s="5" t="s">
        <v>20</v>
      </c>
      <c r="F1179" s="9">
        <v>84</v>
      </c>
      <c r="G1179" s="9">
        <v>1046</v>
      </c>
      <c r="H1179" s="5" t="s">
        <v>21</v>
      </c>
      <c r="I1179" s="5" t="s">
        <v>3052</v>
      </c>
      <c r="J1179" s="12" t="str">
        <f>HYPERLINK("https://www.boe.es/gazeta/dias/1802/10/15/pdfs/GMD-1802-84.pdf#page=14","Abrir facsímil")</f>
        <v>Abrir facsímil</v>
      </c>
      <c r="K1179" s="15" t="s">
        <v>23</v>
      </c>
    </row>
    <row r="1180" spans="1:11" ht="42" customHeight="1">
      <c r="A1180" s="4" t="s">
        <v>3053</v>
      </c>
      <c r="B1180" s="5" t="s">
        <v>3054</v>
      </c>
      <c r="C1180" s="5" t="s">
        <v>29</v>
      </c>
      <c r="D1180" s="5" t="s">
        <v>30</v>
      </c>
      <c r="E1180" s="5" t="s">
        <v>196</v>
      </c>
      <c r="F1180" s="9">
        <v>2</v>
      </c>
      <c r="G1180" s="9">
        <v>16</v>
      </c>
      <c r="H1180" s="5" t="s">
        <v>21</v>
      </c>
      <c r="I1180" s="5" t="s">
        <v>3055</v>
      </c>
      <c r="J1180" s="12" t="str">
        <f>HYPERLINK("https://www.boe.es/gazeta/dias/1802/01/05/pdfs/GMD-1802-2.pdf#page=8","Abrir facsímil")</f>
        <v>Abrir facsímil</v>
      </c>
      <c r="K1180" s="15" t="s">
        <v>23</v>
      </c>
    </row>
    <row r="1181" spans="1:11" ht="42" customHeight="1">
      <c r="A1181" s="4" t="s">
        <v>3056</v>
      </c>
      <c r="B1181" s="5" t="s">
        <v>3057</v>
      </c>
      <c r="C1181" s="5" t="s">
        <v>160</v>
      </c>
      <c r="D1181" s="5" t="s">
        <v>91</v>
      </c>
      <c r="E1181" s="5" t="s">
        <v>196</v>
      </c>
      <c r="F1181" s="9">
        <v>2</v>
      </c>
      <c r="G1181" s="9">
        <v>17</v>
      </c>
      <c r="H1181" s="5" t="s">
        <v>21</v>
      </c>
      <c r="I1181" s="5" t="s">
        <v>3058</v>
      </c>
      <c r="J1181" s="12" t="str">
        <f>HYPERLINK("https://www.boe.es/gazeta/dias/1802/01/05/pdfs/GMD-1802-2.pdf#page=9","Abrir facsímil")</f>
        <v>Abrir facsímil</v>
      </c>
      <c r="K1181" s="15" t="s">
        <v>23</v>
      </c>
    </row>
    <row r="1182" spans="1:11" ht="42" customHeight="1">
      <c r="A1182" s="4" t="s">
        <v>3059</v>
      </c>
      <c r="B1182" s="5" t="s">
        <v>3060</v>
      </c>
      <c r="C1182" s="5" t="s">
        <v>18</v>
      </c>
      <c r="D1182" s="5" t="s">
        <v>19</v>
      </c>
      <c r="E1182" s="5" t="s">
        <v>25</v>
      </c>
      <c r="F1182" s="9">
        <v>44</v>
      </c>
      <c r="G1182" s="9">
        <v>535</v>
      </c>
      <c r="H1182" s="5" t="s">
        <v>21</v>
      </c>
      <c r="I1182" s="5" t="s">
        <v>3061</v>
      </c>
      <c r="J1182" s="12" t="str">
        <f>HYPERLINK("https://www.boe.es/gazeta/dias/1802/06/01/pdfs/GMD-1802-44.pdf#page=11","Abrir facsímil")</f>
        <v>Abrir facsímil</v>
      </c>
      <c r="K1182" s="15" t="s">
        <v>23</v>
      </c>
    </row>
    <row r="1183" spans="1:11" ht="42" customHeight="1">
      <c r="A1183" s="4" t="s">
        <v>3062</v>
      </c>
      <c r="B1183" s="5" t="s">
        <v>3063</v>
      </c>
      <c r="C1183" s="5" t="s">
        <v>55</v>
      </c>
      <c r="D1183" s="5" t="s">
        <v>56</v>
      </c>
      <c r="E1183" s="5" t="s">
        <v>196</v>
      </c>
      <c r="F1183" s="9">
        <v>2</v>
      </c>
      <c r="G1183" s="9">
        <v>17</v>
      </c>
      <c r="H1183" s="5" t="s">
        <v>21</v>
      </c>
      <c r="I1183" s="5" t="s">
        <v>3064</v>
      </c>
      <c r="J1183" s="12" t="str">
        <f>HYPERLINK("https://www.boe.es/gazeta/dias/1802/01/05/pdfs/GMD-1802-2.pdf#page=9","Abrir facsímil")</f>
        <v>Abrir facsímil</v>
      </c>
      <c r="K1183" s="15" t="s">
        <v>23</v>
      </c>
    </row>
    <row r="1184" spans="1:11" ht="42" customHeight="1">
      <c r="A1184" s="4" t="s">
        <v>3065</v>
      </c>
      <c r="B1184" s="5" t="s">
        <v>3066</v>
      </c>
      <c r="C1184" s="5" t="s">
        <v>29</v>
      </c>
      <c r="D1184" s="5" t="s">
        <v>30</v>
      </c>
      <c r="E1184" s="5" t="s">
        <v>299</v>
      </c>
      <c r="F1184" s="9">
        <v>19</v>
      </c>
      <c r="G1184" s="9">
        <v>210</v>
      </c>
      <c r="H1184" s="5" t="s">
        <v>21</v>
      </c>
      <c r="I1184" s="5" t="s">
        <v>3067</v>
      </c>
      <c r="J1184" s="12" t="str">
        <f>HYPERLINK("https://www.boe.es/gazeta/dias/1802/03/05/pdfs/GMD-1802-19.pdf#page=10","Abrir facsímil")</f>
        <v>Abrir facsímil</v>
      </c>
      <c r="K1184" s="15" t="s">
        <v>23</v>
      </c>
    </row>
    <row r="1185" spans="1:11" ht="42" customHeight="1">
      <c r="A1185" s="4" t="s">
        <v>3068</v>
      </c>
      <c r="B1185" s="5" t="s">
        <v>3069</v>
      </c>
      <c r="C1185" s="5" t="s">
        <v>29</v>
      </c>
      <c r="D1185" s="5" t="s">
        <v>30</v>
      </c>
      <c r="E1185" s="5" t="s">
        <v>192</v>
      </c>
      <c r="F1185" s="9">
        <v>53</v>
      </c>
      <c r="G1185" s="9">
        <v>642</v>
      </c>
      <c r="H1185" s="5" t="s">
        <v>21</v>
      </c>
      <c r="I1185" s="5" t="s">
        <v>3070</v>
      </c>
      <c r="J1185" s="12" t="str">
        <f>HYPERLINK("https://www.boe.es/gazeta/dias/1802/07/02/pdfs/GMD-1802-53.pdf#page=10","Abrir facsímil")</f>
        <v>Abrir facsímil</v>
      </c>
      <c r="K1185" s="15" t="s">
        <v>23</v>
      </c>
    </row>
    <row r="1186" spans="1:11" ht="42" customHeight="1">
      <c r="A1186" s="4" t="s">
        <v>3071</v>
      </c>
      <c r="B1186" s="5" t="s">
        <v>3072</v>
      </c>
      <c r="C1186" s="5" t="s">
        <v>42</v>
      </c>
      <c r="D1186" s="5" t="s">
        <v>43</v>
      </c>
      <c r="E1186" s="5" t="s">
        <v>44</v>
      </c>
      <c r="F1186" s="9">
        <v>99</v>
      </c>
      <c r="G1186" s="9" t="s">
        <v>548</v>
      </c>
      <c r="H1186" s="5" t="s">
        <v>21</v>
      </c>
      <c r="I1186" s="5" t="s">
        <v>3073</v>
      </c>
      <c r="J1186" s="12" t="str">
        <f>HYPERLINK("https://www.boe.es/gazeta/dias/1802/12/07/pdfs/GMD-D-1802-99.pdf#page=12","Abrir facsímil")</f>
        <v>Abrir facsímil</v>
      </c>
      <c r="K1186" s="15" t="s">
        <v>23</v>
      </c>
    </row>
    <row r="1187" spans="1:11" ht="42" customHeight="1">
      <c r="A1187" s="4" t="s">
        <v>3074</v>
      </c>
      <c r="B1187" s="5" t="s">
        <v>3074</v>
      </c>
      <c r="C1187" s="5" t="s">
        <v>35</v>
      </c>
      <c r="D1187" s="5" t="s">
        <v>36</v>
      </c>
      <c r="E1187" s="5" t="s">
        <v>183</v>
      </c>
      <c r="F1187" s="9">
        <v>56</v>
      </c>
      <c r="G1187" s="9">
        <v>677</v>
      </c>
      <c r="H1187" s="5" t="s">
        <v>21</v>
      </c>
      <c r="I1187" s="5" t="s">
        <v>3075</v>
      </c>
      <c r="J1187" s="12" t="str">
        <f>HYPERLINK("https://www.boe.es/gazeta/dias/1802/07/13/pdfs/GMD-1802-56.pdf#page=9","Abrir facsímil")</f>
        <v>Abrir facsímil</v>
      </c>
      <c r="K1187" s="15" t="s">
        <v>23</v>
      </c>
    </row>
    <row r="1188" spans="1:11" ht="42" customHeight="1">
      <c r="A1188" s="4" t="s">
        <v>3076</v>
      </c>
      <c r="B1188" s="5" t="s">
        <v>3076</v>
      </c>
      <c r="C1188" s="5" t="s">
        <v>35</v>
      </c>
      <c r="D1188" s="5" t="s">
        <v>36</v>
      </c>
      <c r="E1188" s="5" t="s">
        <v>247</v>
      </c>
      <c r="F1188" s="9">
        <v>14</v>
      </c>
      <c r="G1188" s="9">
        <v>140</v>
      </c>
      <c r="H1188" s="5" t="s">
        <v>21</v>
      </c>
      <c r="I1188" s="5" t="s">
        <v>3077</v>
      </c>
      <c r="J1188" s="12" t="str">
        <f>HYPERLINK("https://www.boe.es/gazeta/dias/1802/02/16/pdfs/GMD-1802-14.pdf#page=4","Abrir facsímil")</f>
        <v>Abrir facsímil</v>
      </c>
      <c r="K1188" s="15" t="s">
        <v>23</v>
      </c>
    </row>
    <row r="1189" spans="1:11" ht="42" customHeight="1">
      <c r="A1189" s="4" t="s">
        <v>3076</v>
      </c>
      <c r="B1189" s="5" t="s">
        <v>3076</v>
      </c>
      <c r="C1189" s="5" t="s">
        <v>35</v>
      </c>
      <c r="D1189" s="5" t="s">
        <v>36</v>
      </c>
      <c r="E1189" s="5" t="s">
        <v>170</v>
      </c>
      <c r="F1189" s="9">
        <v>28</v>
      </c>
      <c r="G1189" s="9">
        <v>324</v>
      </c>
      <c r="H1189" s="5" t="s">
        <v>21</v>
      </c>
      <c r="I1189" s="5" t="s">
        <v>3078</v>
      </c>
      <c r="J1189" s="12" t="str">
        <f>HYPERLINK("https://www.boe.es/gazeta/dias/1802/04/06/pdfs/GMD-1802-28.pdf#page=4","Abrir facsímil")</f>
        <v>Abrir facsímil</v>
      </c>
      <c r="K1189" s="15" t="s">
        <v>23</v>
      </c>
    </row>
    <row r="1190" spans="1:11" ht="42" customHeight="1">
      <c r="A1190" s="4" t="s">
        <v>3076</v>
      </c>
      <c r="B1190" s="5" t="s">
        <v>3076</v>
      </c>
      <c r="C1190" s="5" t="s">
        <v>35</v>
      </c>
      <c r="D1190" s="5" t="s">
        <v>36</v>
      </c>
      <c r="E1190" s="5" t="s">
        <v>133</v>
      </c>
      <c r="F1190" s="9">
        <v>33</v>
      </c>
      <c r="G1190" s="9">
        <v>382</v>
      </c>
      <c r="H1190" s="5" t="s">
        <v>21</v>
      </c>
      <c r="I1190" s="5" t="s">
        <v>3079</v>
      </c>
      <c r="J1190" s="12" t="str">
        <f>HYPERLINK("https://www.boe.es/gazeta/dias/1802/04/23/pdfs/GMD-1802-33.pdf#page=2","Abrir facsímil")</f>
        <v>Abrir facsímil</v>
      </c>
      <c r="K1190" s="15" t="s">
        <v>23</v>
      </c>
    </row>
    <row r="1191" spans="1:11" ht="42" customHeight="1">
      <c r="A1191" s="4" t="s">
        <v>3076</v>
      </c>
      <c r="B1191" s="5" t="s">
        <v>3076</v>
      </c>
      <c r="C1191" s="5" t="s">
        <v>35</v>
      </c>
      <c r="D1191" s="5" t="s">
        <v>36</v>
      </c>
      <c r="E1191" s="5" t="s">
        <v>146</v>
      </c>
      <c r="F1191" s="9">
        <v>42</v>
      </c>
      <c r="G1191" s="9">
        <v>498</v>
      </c>
      <c r="H1191" s="5" t="s">
        <v>21</v>
      </c>
      <c r="I1191" s="5" t="s">
        <v>3080</v>
      </c>
      <c r="J1191" s="12" t="str">
        <f>HYPERLINK("https://www.boe.es/gazeta/dias/1802/05/25/pdfs/GMD-1802-42.pdf#page=2","Abrir facsímil")</f>
        <v>Abrir facsímil</v>
      </c>
      <c r="K1191" s="15" t="s">
        <v>23</v>
      </c>
    </row>
    <row r="1192" spans="1:11" ht="42" customHeight="1">
      <c r="A1192" s="4" t="s">
        <v>3076</v>
      </c>
      <c r="B1192" s="5" t="s">
        <v>3076</v>
      </c>
      <c r="C1192" s="5" t="s">
        <v>29</v>
      </c>
      <c r="D1192" s="5" t="s">
        <v>30</v>
      </c>
      <c r="E1192" s="5" t="s">
        <v>436</v>
      </c>
      <c r="F1192" s="9">
        <v>58</v>
      </c>
      <c r="G1192" s="9">
        <v>695</v>
      </c>
      <c r="H1192" s="5" t="s">
        <v>21</v>
      </c>
      <c r="I1192" s="5" t="s">
        <v>3081</v>
      </c>
      <c r="J1192" s="12" t="str">
        <f>HYPERLINK("https://www.boe.es/gazeta/dias/1802/07/20/pdfs/GMD-1802-58.pdf#page=3","Abrir facsímil")</f>
        <v>Abrir facsímil</v>
      </c>
      <c r="K1192" s="15" t="s">
        <v>23</v>
      </c>
    </row>
    <row r="1193" spans="1:11" ht="42" customHeight="1">
      <c r="A1193" s="4" t="s">
        <v>3076</v>
      </c>
      <c r="B1193" s="5" t="s">
        <v>3076</v>
      </c>
      <c r="C1193" s="5" t="s">
        <v>35</v>
      </c>
      <c r="D1193" s="5" t="s">
        <v>36</v>
      </c>
      <c r="E1193" s="5" t="s">
        <v>604</v>
      </c>
      <c r="F1193" s="9">
        <v>100</v>
      </c>
      <c r="G1193" s="9">
        <v>1229</v>
      </c>
      <c r="H1193" s="5" t="s">
        <v>21</v>
      </c>
      <c r="I1193" s="5" t="s">
        <v>3082</v>
      </c>
      <c r="J1193" s="12" t="str">
        <f>HYPERLINK("https://www.boe.es/gazeta/dias/1802/12/10/pdfs/GMD-1802-100.pdf#page=1","Abrir facsímil")</f>
        <v>Abrir facsímil</v>
      </c>
      <c r="K1193" s="15" t="s">
        <v>23</v>
      </c>
    </row>
    <row r="1194" spans="1:11" ht="42" customHeight="1">
      <c r="A1194" s="4" t="s">
        <v>3083</v>
      </c>
      <c r="B1194" s="5" t="s">
        <v>3084</v>
      </c>
      <c r="C1194" s="5" t="s">
        <v>29</v>
      </c>
      <c r="D1194" s="5" t="s">
        <v>30</v>
      </c>
      <c r="E1194" s="5" t="s">
        <v>49</v>
      </c>
      <c r="F1194" s="9">
        <v>83</v>
      </c>
      <c r="G1194" s="9">
        <v>1026</v>
      </c>
      <c r="H1194" s="5" t="s">
        <v>21</v>
      </c>
      <c r="I1194" s="5" t="s">
        <v>3085</v>
      </c>
      <c r="J1194" s="12" t="str">
        <f>HYPERLINK("https://www.boe.es/gazeta/dias/1802/10/12/pdfs/GMD-1802-83.pdf#page=14","Abrir facsímil")</f>
        <v>Abrir facsímil</v>
      </c>
      <c r="K1194" s="15" t="s">
        <v>23</v>
      </c>
    </row>
    <row r="1195" spans="1:11" ht="42" customHeight="1">
      <c r="A1195" s="4" t="s">
        <v>3086</v>
      </c>
      <c r="B1195" s="5" t="s">
        <v>3086</v>
      </c>
      <c r="C1195" s="5" t="s">
        <v>35</v>
      </c>
      <c r="D1195" s="5" t="s">
        <v>36</v>
      </c>
      <c r="E1195" s="5" t="s">
        <v>131</v>
      </c>
      <c r="F1195" s="9">
        <v>11</v>
      </c>
      <c r="G1195" s="9">
        <v>111</v>
      </c>
      <c r="H1195" s="5" t="s">
        <v>21</v>
      </c>
      <c r="I1195" s="5" t="s">
        <v>3087</v>
      </c>
      <c r="J1195" s="12" t="str">
        <f>HYPERLINK("https://www.boe.es/gazeta/dias/1802/02/05/pdfs/GMD-1802-11.pdf#page=7","Abrir facsímil")</f>
        <v>Abrir facsímil</v>
      </c>
      <c r="K1195" s="15" t="s">
        <v>23</v>
      </c>
    </row>
    <row r="1196" spans="1:11" ht="42" customHeight="1">
      <c r="A1196" s="4" t="s">
        <v>3086</v>
      </c>
      <c r="B1196" s="5" t="s">
        <v>3086</v>
      </c>
      <c r="C1196" s="5" t="s">
        <v>35</v>
      </c>
      <c r="D1196" s="5" t="s">
        <v>36</v>
      </c>
      <c r="E1196" s="5" t="s">
        <v>1374</v>
      </c>
      <c r="F1196" s="9">
        <v>71</v>
      </c>
      <c r="G1196" s="9">
        <v>869</v>
      </c>
      <c r="H1196" s="5" t="s">
        <v>21</v>
      </c>
      <c r="I1196" s="5" t="s">
        <v>3088</v>
      </c>
      <c r="J1196" s="12" t="str">
        <f>HYPERLINK("https://www.boe.es/gazeta/dias/1802/08/31/pdfs/GMD-1802-71.pdf#page=5","Abrir facsímil")</f>
        <v>Abrir facsímil</v>
      </c>
      <c r="K1196" s="15" t="s">
        <v>23</v>
      </c>
    </row>
    <row r="1197" spans="1:11" ht="42" customHeight="1">
      <c r="A1197" s="4" t="s">
        <v>3089</v>
      </c>
      <c r="B1197" s="5" t="s">
        <v>3090</v>
      </c>
      <c r="C1197" s="5" t="s">
        <v>18</v>
      </c>
      <c r="D1197" s="5" t="s">
        <v>19</v>
      </c>
      <c r="E1197" s="5" t="s">
        <v>49</v>
      </c>
      <c r="F1197" s="9">
        <v>83</v>
      </c>
      <c r="G1197" s="9">
        <v>1024</v>
      </c>
      <c r="H1197" s="5" t="s">
        <v>21</v>
      </c>
      <c r="I1197" s="5" t="s">
        <v>3091</v>
      </c>
      <c r="J1197" s="12" t="str">
        <f>HYPERLINK("https://www.boe.es/gazeta/dias/1802/10/12/pdfs/GMD-1802-83.pdf#page=12","Abrir facsímil")</f>
        <v>Abrir facsímil</v>
      </c>
      <c r="K1197" s="15" t="s">
        <v>23</v>
      </c>
    </row>
    <row r="1198" spans="1:11" ht="42" customHeight="1">
      <c r="A1198" s="4" t="s">
        <v>3092</v>
      </c>
      <c r="B1198" s="5" t="s">
        <v>3093</v>
      </c>
      <c r="C1198" s="5" t="s">
        <v>18</v>
      </c>
      <c r="D1198" s="5" t="s">
        <v>19</v>
      </c>
      <c r="E1198" s="5" t="s">
        <v>49</v>
      </c>
      <c r="F1198" s="9">
        <v>83</v>
      </c>
      <c r="G1198" s="9">
        <v>1023</v>
      </c>
      <c r="H1198" s="5" t="s">
        <v>21</v>
      </c>
      <c r="I1198" s="5" t="s">
        <v>3094</v>
      </c>
      <c r="J1198" s="12" t="str">
        <f>HYPERLINK("https://www.boe.es/gazeta/dias/1802/10/12/pdfs/GMD-1802-83.pdf#page=11","Abrir facsímil")</f>
        <v>Abrir facsímil</v>
      </c>
      <c r="K1198" s="15" t="s">
        <v>23</v>
      </c>
    </row>
    <row r="1199" spans="1:11" ht="42" customHeight="1">
      <c r="A1199" s="4" t="s">
        <v>3095</v>
      </c>
      <c r="B1199" s="5" t="s">
        <v>3096</v>
      </c>
      <c r="C1199" s="5" t="s">
        <v>35</v>
      </c>
      <c r="D1199" s="5" t="s">
        <v>36</v>
      </c>
      <c r="E1199" s="5" t="s">
        <v>1618</v>
      </c>
      <c r="F1199" s="9">
        <v>31</v>
      </c>
      <c r="G1199" s="9">
        <v>361</v>
      </c>
      <c r="H1199" s="5" t="s">
        <v>21</v>
      </c>
      <c r="I1199" s="5" t="s">
        <v>3097</v>
      </c>
      <c r="J1199" s="12" t="str">
        <f>HYPERLINK("https://www.boe.es/gazeta/dias/1802/04/16/pdfs/GMD-1802-31.pdf#page=5","Abrir facsímil")</f>
        <v>Abrir facsímil</v>
      </c>
      <c r="K1199" s="15" t="s">
        <v>23</v>
      </c>
    </row>
    <row r="1200" spans="1:11" ht="42" customHeight="1">
      <c r="A1200" s="4" t="s">
        <v>3098</v>
      </c>
      <c r="B1200" s="5" t="s">
        <v>3098</v>
      </c>
      <c r="C1200" s="5" t="s">
        <v>29</v>
      </c>
      <c r="D1200" s="5" t="s">
        <v>30</v>
      </c>
      <c r="E1200" s="5" t="s">
        <v>92</v>
      </c>
      <c r="F1200" s="9">
        <v>29</v>
      </c>
      <c r="G1200" s="9">
        <v>338</v>
      </c>
      <c r="H1200" s="5" t="s">
        <v>21</v>
      </c>
      <c r="I1200" s="5" t="s">
        <v>3099</v>
      </c>
      <c r="J1200" s="12" t="str">
        <f>HYPERLINK("https://www.boe.es/gazeta/dias/1802/04/09/pdfs/GMD-1802-29.pdf#page=6","Abrir facsímil")</f>
        <v>Abrir facsímil</v>
      </c>
      <c r="K1200" s="15" t="s">
        <v>23</v>
      </c>
    </row>
    <row r="1201" spans="1:11" ht="42" customHeight="1">
      <c r="A1201" s="4" t="s">
        <v>3100</v>
      </c>
      <c r="B1201" s="5" t="s">
        <v>3101</v>
      </c>
      <c r="C1201" s="5" t="s">
        <v>29</v>
      </c>
      <c r="D1201" s="5" t="s">
        <v>30</v>
      </c>
      <c r="E1201" s="5" t="s">
        <v>258</v>
      </c>
      <c r="F1201" s="9">
        <v>63</v>
      </c>
      <c r="G1201" s="9">
        <v>765</v>
      </c>
      <c r="H1201" s="5" t="s">
        <v>21</v>
      </c>
      <c r="I1201" s="5" t="s">
        <v>3102</v>
      </c>
      <c r="J1201" s="12" t="str">
        <f>HYPERLINK("https://www.boe.es/gazeta/dias/1802/08/03/pdfs/GMD-1802-63.pdf#page=5","Abrir facsímil")</f>
        <v>Abrir facsímil</v>
      </c>
      <c r="K1201" s="15" t="s">
        <v>23</v>
      </c>
    </row>
    <row r="1202" spans="1:11" ht="42" customHeight="1">
      <c r="A1202" s="4" t="s">
        <v>3103</v>
      </c>
      <c r="B1202" s="5" t="s">
        <v>3103</v>
      </c>
      <c r="C1202" s="5" t="s">
        <v>35</v>
      </c>
      <c r="D1202" s="5" t="s">
        <v>36</v>
      </c>
      <c r="E1202" s="5" t="s">
        <v>332</v>
      </c>
      <c r="F1202" s="9">
        <v>24</v>
      </c>
      <c r="G1202" s="9">
        <v>271</v>
      </c>
      <c r="H1202" s="5" t="s">
        <v>21</v>
      </c>
      <c r="I1202" s="5" t="s">
        <v>3104</v>
      </c>
      <c r="J1202" s="12" t="str">
        <f>HYPERLINK("https://www.boe.es/gazeta/dias/1802/03/23/pdfs/GMD-1802-24.pdf#page=7","Abrir facsímil")</f>
        <v>Abrir facsímil</v>
      </c>
      <c r="K1202" s="15" t="s">
        <v>23</v>
      </c>
    </row>
    <row r="1203" spans="1:11" ht="42" customHeight="1">
      <c r="A1203" s="4" t="s">
        <v>3105</v>
      </c>
      <c r="B1203" s="5" t="s">
        <v>3105</v>
      </c>
      <c r="C1203" s="5" t="s">
        <v>29</v>
      </c>
      <c r="D1203" s="5" t="s">
        <v>30</v>
      </c>
      <c r="E1203" s="5" t="s">
        <v>1113</v>
      </c>
      <c r="F1203" s="9">
        <v>6</v>
      </c>
      <c r="G1203" s="9">
        <v>58</v>
      </c>
      <c r="H1203" s="5" t="s">
        <v>21</v>
      </c>
      <c r="I1203" s="5" t="s">
        <v>3106</v>
      </c>
      <c r="J1203" s="12" t="str">
        <f>HYPERLINK("https://www.boe.es/gazeta/dias/1802/01/19/pdfs/GMD-1802-6.pdf#page=6","Abrir facsímil")</f>
        <v>Abrir facsímil</v>
      </c>
      <c r="K1203" s="15" t="s">
        <v>23</v>
      </c>
    </row>
    <row r="1204" spans="1:11" ht="42" customHeight="1">
      <c r="A1204" s="4" t="s">
        <v>3107</v>
      </c>
      <c r="B1204" s="5" t="s">
        <v>3108</v>
      </c>
      <c r="C1204" s="5" t="s">
        <v>29</v>
      </c>
      <c r="D1204" s="5" t="s">
        <v>30</v>
      </c>
      <c r="E1204" s="5" t="s">
        <v>921</v>
      </c>
      <c r="F1204" s="9">
        <v>50</v>
      </c>
      <c r="G1204" s="9">
        <v>603</v>
      </c>
      <c r="H1204" s="5" t="s">
        <v>21</v>
      </c>
      <c r="I1204" s="5" t="s">
        <v>3109</v>
      </c>
      <c r="J1204" s="12" t="str">
        <f>HYPERLINK("https://www.boe.es/gazeta/dias/1802/06/22/pdfs/GMD-1802-50.pdf#page=3","Abrir facsímil")</f>
        <v>Abrir facsímil</v>
      </c>
      <c r="K1204" s="15" t="s">
        <v>23</v>
      </c>
    </row>
    <row r="1205" spans="1:11" ht="42" customHeight="1">
      <c r="A1205" s="4" t="s">
        <v>3110</v>
      </c>
      <c r="B1205" s="5" t="s">
        <v>3110</v>
      </c>
      <c r="C1205" s="5" t="s">
        <v>29</v>
      </c>
      <c r="D1205" s="5" t="s">
        <v>30</v>
      </c>
      <c r="E1205" s="5" t="s">
        <v>60</v>
      </c>
      <c r="F1205" s="9">
        <v>5</v>
      </c>
      <c r="G1205" s="9">
        <v>49</v>
      </c>
      <c r="H1205" s="5" t="s">
        <v>21</v>
      </c>
      <c r="I1205" s="5" t="s">
        <v>3111</v>
      </c>
      <c r="J1205" s="12" t="str">
        <f>HYPERLINK("https://www.boe.es/gazeta/dias/1802/01/15/pdfs/GMD-1802-5.pdf#page=5","Abrir facsímil")</f>
        <v>Abrir facsímil</v>
      </c>
      <c r="K1205" s="15" t="s">
        <v>23</v>
      </c>
    </row>
    <row r="1206" spans="1:11" ht="42" customHeight="1">
      <c r="A1206" s="4" t="s">
        <v>3112</v>
      </c>
      <c r="B1206" s="5" t="s">
        <v>3113</v>
      </c>
      <c r="C1206" s="5" t="s">
        <v>42</v>
      </c>
      <c r="D1206" s="5" t="s">
        <v>43</v>
      </c>
      <c r="E1206" s="5" t="s">
        <v>44</v>
      </c>
      <c r="F1206" s="9">
        <v>99</v>
      </c>
      <c r="G1206" s="9" t="s">
        <v>262</v>
      </c>
      <c r="H1206" s="5" t="s">
        <v>21</v>
      </c>
      <c r="I1206" s="5" t="s">
        <v>3114</v>
      </c>
      <c r="J1206" s="12" t="str">
        <f>HYPERLINK("https://www.boe.es/gazeta/dias/1802/12/07/pdfs/GMD-D-1802-99.pdf#page=8","Abrir facsímil")</f>
        <v>Abrir facsímil</v>
      </c>
      <c r="K1206" s="15" t="s">
        <v>23</v>
      </c>
    </row>
    <row r="1207" spans="1:11" ht="42" customHeight="1">
      <c r="A1207" s="4" t="s">
        <v>3115</v>
      </c>
      <c r="B1207" s="5" t="s">
        <v>3115</v>
      </c>
      <c r="C1207" s="5" t="s">
        <v>55</v>
      </c>
      <c r="D1207" s="5" t="s">
        <v>56</v>
      </c>
      <c r="E1207" s="5" t="s">
        <v>814</v>
      </c>
      <c r="F1207" s="9">
        <v>41</v>
      </c>
      <c r="G1207" s="9">
        <v>486</v>
      </c>
      <c r="H1207" s="5" t="s">
        <v>21</v>
      </c>
      <c r="I1207" s="5" t="s">
        <v>3116</v>
      </c>
      <c r="J1207" s="12" t="str">
        <f>HYPERLINK("https://www.boe.es/gazeta/dias/1802/05/21/pdfs/GMD-1802-41.pdf#page=2","Abrir facsímil")</f>
        <v>Abrir facsímil</v>
      </c>
      <c r="K1207" s="15" t="s">
        <v>23</v>
      </c>
    </row>
    <row r="1208" spans="1:11" ht="42" customHeight="1">
      <c r="A1208" s="4" t="s">
        <v>3117</v>
      </c>
      <c r="B1208" s="5" t="s">
        <v>3118</v>
      </c>
      <c r="C1208" s="5" t="s">
        <v>29</v>
      </c>
      <c r="D1208" s="5" t="s">
        <v>30</v>
      </c>
      <c r="E1208" s="5" t="s">
        <v>311</v>
      </c>
      <c r="F1208" s="9">
        <v>88</v>
      </c>
      <c r="G1208" s="9">
        <v>1093</v>
      </c>
      <c r="H1208" s="5" t="s">
        <v>21</v>
      </c>
      <c r="I1208" s="5" t="s">
        <v>3119</v>
      </c>
      <c r="J1208" s="12" t="str">
        <f>HYPERLINK("https://www.boe.es/gazeta/dias/1802/10/29/pdfs/GMD-1802-88.pdf#page=9","Abrir facsímil")</f>
        <v>Abrir facsímil</v>
      </c>
      <c r="K1208" s="15" t="s">
        <v>23</v>
      </c>
    </row>
    <row r="1209" spans="1:11" ht="42" customHeight="1">
      <c r="A1209" s="4" t="s">
        <v>3120</v>
      </c>
      <c r="B1209" s="5" t="s">
        <v>3121</v>
      </c>
      <c r="C1209" s="5" t="s">
        <v>29</v>
      </c>
      <c r="D1209" s="5" t="s">
        <v>30</v>
      </c>
      <c r="E1209" s="5" t="s">
        <v>82</v>
      </c>
      <c r="F1209" s="9">
        <v>74</v>
      </c>
      <c r="G1209" s="9">
        <v>915</v>
      </c>
      <c r="H1209" s="5" t="s">
        <v>21</v>
      </c>
      <c r="I1209" s="5" t="s">
        <v>3122</v>
      </c>
      <c r="J1209" s="12" t="str">
        <f>HYPERLINK("https://www.boe.es/gazeta/dias/1802/09/10/pdfs/GMD-1802-74.pdf#page=11","Abrir facsímil")</f>
        <v>Abrir facsímil</v>
      </c>
      <c r="K1209" s="15" t="s">
        <v>23</v>
      </c>
    </row>
    <row r="1210" spans="1:11" ht="42" customHeight="1">
      <c r="A1210" s="4" t="s">
        <v>3123</v>
      </c>
      <c r="B1210" s="5" t="s">
        <v>3124</v>
      </c>
      <c r="C1210" s="5" t="s">
        <v>29</v>
      </c>
      <c r="D1210" s="5" t="s">
        <v>30</v>
      </c>
      <c r="E1210" s="5" t="s">
        <v>86</v>
      </c>
      <c r="F1210" s="9">
        <v>26</v>
      </c>
      <c r="G1210" s="9">
        <v>296</v>
      </c>
      <c r="H1210" s="5" t="s">
        <v>21</v>
      </c>
      <c r="I1210" s="5" t="s">
        <v>3125</v>
      </c>
      <c r="J1210" s="12" t="str">
        <f>HYPERLINK("https://www.boe.es/gazeta/dias/1802/03/30/pdfs/GMD-1802-26.pdf#page=8","Abrir facsímil")</f>
        <v>Abrir facsímil</v>
      </c>
      <c r="K1210" s="15" t="s">
        <v>23</v>
      </c>
    </row>
    <row r="1211" spans="1:11" ht="42" customHeight="1">
      <c r="A1211" s="4" t="s">
        <v>3126</v>
      </c>
      <c r="B1211" s="5" t="s">
        <v>3127</v>
      </c>
      <c r="C1211" s="5" t="s">
        <v>29</v>
      </c>
      <c r="D1211" s="5" t="s">
        <v>30</v>
      </c>
      <c r="E1211" s="5" t="s">
        <v>170</v>
      </c>
      <c r="F1211" s="9">
        <v>28</v>
      </c>
      <c r="G1211" s="9">
        <v>330</v>
      </c>
      <c r="H1211" s="5" t="s">
        <v>21</v>
      </c>
      <c r="I1211" s="5" t="s">
        <v>3128</v>
      </c>
      <c r="J1211" s="12" t="str">
        <f>HYPERLINK("https://www.boe.es/gazeta/dias/1802/04/06/pdfs/GMD-1802-28.pdf#page=10","Abrir facsímil")</f>
        <v>Abrir facsímil</v>
      </c>
      <c r="K1211" s="15" t="s">
        <v>23</v>
      </c>
    </row>
    <row r="1212" spans="1:11" ht="42" customHeight="1">
      <c r="A1212" s="4" t="s">
        <v>3129</v>
      </c>
      <c r="B1212" s="5" t="s">
        <v>3130</v>
      </c>
      <c r="C1212" s="5" t="s">
        <v>18</v>
      </c>
      <c r="D1212" s="5" t="s">
        <v>19</v>
      </c>
      <c r="E1212" s="5" t="s">
        <v>49</v>
      </c>
      <c r="F1212" s="9">
        <v>83</v>
      </c>
      <c r="G1212" s="9">
        <v>1024</v>
      </c>
      <c r="H1212" s="5" t="s">
        <v>21</v>
      </c>
      <c r="I1212" s="5" t="s">
        <v>3131</v>
      </c>
      <c r="J1212" s="12" t="str">
        <f>HYPERLINK("https://www.boe.es/gazeta/dias/1802/10/12/pdfs/GMD-1802-83.pdf#page=12","Abrir facsímil")</f>
        <v>Abrir facsímil</v>
      </c>
      <c r="K1212" s="15" t="s">
        <v>23</v>
      </c>
    </row>
    <row r="1213" spans="1:11" ht="42" customHeight="1">
      <c r="A1213" s="4" t="s">
        <v>3132</v>
      </c>
      <c r="B1213" s="5" t="s">
        <v>3132</v>
      </c>
      <c r="C1213" s="5" t="s">
        <v>29</v>
      </c>
      <c r="D1213" s="5" t="s">
        <v>30</v>
      </c>
      <c r="E1213" s="5" t="s">
        <v>109</v>
      </c>
      <c r="F1213" s="9">
        <v>10</v>
      </c>
      <c r="G1213" s="9">
        <v>98</v>
      </c>
      <c r="H1213" s="5" t="s">
        <v>21</v>
      </c>
      <c r="I1213" s="5" t="s">
        <v>3133</v>
      </c>
      <c r="J1213" s="12" t="str">
        <f>HYPERLINK("https://www.boe.es/gazeta/dias/1802/02/02/pdfs/GMD-1802-10.pdf#page=6","Abrir facsímil")</f>
        <v>Abrir facsímil</v>
      </c>
      <c r="K1213" s="15" t="s">
        <v>23</v>
      </c>
    </row>
    <row r="1214" spans="1:11" ht="42" customHeight="1">
      <c r="A1214" s="4" t="s">
        <v>3134</v>
      </c>
      <c r="B1214" s="5" t="s">
        <v>3135</v>
      </c>
      <c r="C1214" s="5" t="s">
        <v>90</v>
      </c>
      <c r="D1214" s="5" t="s">
        <v>91</v>
      </c>
      <c r="E1214" s="5" t="s">
        <v>1829</v>
      </c>
      <c r="F1214" s="9">
        <v>32</v>
      </c>
      <c r="G1214" s="9">
        <v>372</v>
      </c>
      <c r="H1214" s="5" t="s">
        <v>21</v>
      </c>
      <c r="I1214" s="5" t="s">
        <v>3136</v>
      </c>
      <c r="J1214" s="12" t="str">
        <f>HYPERLINK("https://www.boe.es/gazeta/dias/1802/04/20/pdfs/GMD-1802-32.pdf#page=4","Abrir facsímil")</f>
        <v>Abrir facsímil</v>
      </c>
      <c r="K1214" s="15" t="s">
        <v>23</v>
      </c>
    </row>
    <row r="1215" spans="1:11" ht="42" customHeight="1">
      <c r="A1215" s="4" t="s">
        <v>3137</v>
      </c>
      <c r="B1215" s="5" t="s">
        <v>3137</v>
      </c>
      <c r="C1215" s="5" t="s">
        <v>18</v>
      </c>
      <c r="D1215" s="5" t="s">
        <v>19</v>
      </c>
      <c r="E1215" s="5" t="s">
        <v>764</v>
      </c>
      <c r="F1215" s="9">
        <v>69</v>
      </c>
      <c r="G1215" s="9">
        <v>849</v>
      </c>
      <c r="H1215" s="5" t="s">
        <v>21</v>
      </c>
      <c r="I1215" s="5" t="s">
        <v>3138</v>
      </c>
      <c r="J1215" s="12" t="str">
        <f>HYPERLINK("https://www.boe.es/gazeta/dias/1802/08/24/pdfs/GMD-1802-69.pdf#page=9","Abrir facsímil")</f>
        <v>Abrir facsímil</v>
      </c>
      <c r="K1215" s="15" t="s">
        <v>23</v>
      </c>
    </row>
    <row r="1216" spans="1:11" ht="42" customHeight="1">
      <c r="A1216" s="4" t="s">
        <v>3139</v>
      </c>
      <c r="B1216" s="5" t="s">
        <v>3140</v>
      </c>
      <c r="C1216" s="5" t="s">
        <v>18</v>
      </c>
      <c r="D1216" s="5" t="s">
        <v>19</v>
      </c>
      <c r="E1216" s="5" t="s">
        <v>49</v>
      </c>
      <c r="F1216" s="9">
        <v>83</v>
      </c>
      <c r="G1216" s="9">
        <v>1022</v>
      </c>
      <c r="H1216" s="5" t="s">
        <v>21</v>
      </c>
      <c r="I1216" s="5" t="s">
        <v>3141</v>
      </c>
      <c r="J1216" s="12" t="str">
        <f>HYPERLINK("https://www.boe.es/gazeta/dias/1802/10/12/pdfs/GMD-1802-83.pdf#page=10","Abrir facsímil")</f>
        <v>Abrir facsímil</v>
      </c>
      <c r="K1216" s="15" t="s">
        <v>23</v>
      </c>
    </row>
    <row r="1217" spans="1:11" ht="42" customHeight="1">
      <c r="A1217" s="4" t="s">
        <v>3142</v>
      </c>
      <c r="B1217" s="5" t="s">
        <v>3143</v>
      </c>
      <c r="C1217" s="5" t="s">
        <v>35</v>
      </c>
      <c r="D1217" s="5" t="s">
        <v>36</v>
      </c>
      <c r="E1217" s="5" t="s">
        <v>292</v>
      </c>
      <c r="F1217" s="9">
        <v>62</v>
      </c>
      <c r="G1217" s="9">
        <v>746</v>
      </c>
      <c r="H1217" s="5" t="s">
        <v>21</v>
      </c>
      <c r="I1217" s="5" t="s">
        <v>3144</v>
      </c>
      <c r="J1217" s="12" t="str">
        <f>HYPERLINK("https://www.boe.es/gazeta/dias/1802/07/30/pdfs/GMD-1802-62.pdf#page=2","Abrir facsímil")</f>
        <v>Abrir facsímil</v>
      </c>
      <c r="K1217" s="15" t="s">
        <v>23</v>
      </c>
    </row>
    <row r="1218" spans="1:11" ht="42" customHeight="1">
      <c r="A1218" s="4" t="s">
        <v>3145</v>
      </c>
      <c r="B1218" s="5" t="s">
        <v>3145</v>
      </c>
      <c r="C1218" s="5" t="s">
        <v>55</v>
      </c>
      <c r="D1218" s="5" t="s">
        <v>56</v>
      </c>
      <c r="E1218" s="5" t="s">
        <v>75</v>
      </c>
      <c r="F1218" s="9">
        <v>103</v>
      </c>
      <c r="G1218" s="9">
        <v>1262</v>
      </c>
      <c r="H1218" s="5" t="s">
        <v>21</v>
      </c>
      <c r="I1218" s="5" t="s">
        <v>3146</v>
      </c>
      <c r="J1218" s="12" t="str">
        <f>HYPERLINK("https://www.boe.es/gazeta/dias/1802/12/21/pdfs/GMD-1802-103.pdf#page=6","Abrir facsímil")</f>
        <v>Abrir facsímil</v>
      </c>
      <c r="K1218" s="15" t="s">
        <v>23</v>
      </c>
    </row>
    <row r="1219" spans="1:11" ht="42" customHeight="1">
      <c r="A1219" s="4" t="s">
        <v>3147</v>
      </c>
      <c r="B1219" s="5" t="s">
        <v>3147</v>
      </c>
      <c r="C1219" s="5" t="s">
        <v>29</v>
      </c>
      <c r="D1219" s="5" t="s">
        <v>30</v>
      </c>
      <c r="E1219" s="5" t="s">
        <v>82</v>
      </c>
      <c r="F1219" s="9">
        <v>74</v>
      </c>
      <c r="G1219" s="9">
        <v>915</v>
      </c>
      <c r="H1219" s="5" t="s">
        <v>21</v>
      </c>
      <c r="I1219" s="5" t="s">
        <v>3148</v>
      </c>
      <c r="J1219" s="12" t="str">
        <f>HYPERLINK("https://www.boe.es/gazeta/dias/1802/09/10/pdfs/GMD-1802-74.pdf#page=11","Abrir facsímil")</f>
        <v>Abrir facsímil</v>
      </c>
      <c r="K1219" s="15" t="s">
        <v>23</v>
      </c>
    </row>
    <row r="1220" spans="1:11" ht="42" customHeight="1">
      <c r="A1220" s="4" t="s">
        <v>3149</v>
      </c>
      <c r="B1220" s="5" t="s">
        <v>3149</v>
      </c>
      <c r="C1220" s="5" t="s">
        <v>18</v>
      </c>
      <c r="D1220" s="5" t="s">
        <v>19</v>
      </c>
      <c r="E1220" s="5" t="s">
        <v>148</v>
      </c>
      <c r="F1220" s="9">
        <v>66</v>
      </c>
      <c r="G1220" s="9">
        <v>809</v>
      </c>
      <c r="H1220" s="5" t="s">
        <v>21</v>
      </c>
      <c r="I1220" s="5" t="s">
        <v>3150</v>
      </c>
      <c r="J1220" s="12" t="str">
        <f>HYPERLINK("https://www.boe.es/gazeta/dias/1802/08/13/pdfs/GMD-1802-66.pdf#page=13","Abrir facsímil")</f>
        <v>Abrir facsímil</v>
      </c>
      <c r="K1220" s="15" t="s">
        <v>23</v>
      </c>
    </row>
    <row r="1221" spans="1:11" ht="42" customHeight="1">
      <c r="A1221" s="4" t="s">
        <v>3151</v>
      </c>
      <c r="B1221" s="5" t="s">
        <v>3151</v>
      </c>
      <c r="C1221" s="5" t="s">
        <v>42</v>
      </c>
      <c r="D1221" s="5" t="s">
        <v>43</v>
      </c>
      <c r="E1221" s="5" t="s">
        <v>44</v>
      </c>
      <c r="F1221" s="9">
        <v>99</v>
      </c>
      <c r="G1221" s="9" t="s">
        <v>548</v>
      </c>
      <c r="H1221" s="5" t="s">
        <v>21</v>
      </c>
      <c r="I1221" s="5" t="s">
        <v>3152</v>
      </c>
      <c r="J1221" s="12" t="str">
        <f>HYPERLINK("https://www.boe.es/gazeta/dias/1802/12/07/pdfs/GMD-D-1802-99.pdf#page=12","Abrir facsímil")</f>
        <v>Abrir facsímil</v>
      </c>
      <c r="K1221" s="15" t="s">
        <v>23</v>
      </c>
    </row>
    <row r="1222" spans="1:11" ht="42" customHeight="1">
      <c r="A1222" s="4" t="s">
        <v>3153</v>
      </c>
      <c r="B1222" s="5" t="s">
        <v>3153</v>
      </c>
      <c r="C1222" s="5" t="s">
        <v>90</v>
      </c>
      <c r="D1222" s="5" t="s">
        <v>91</v>
      </c>
      <c r="E1222" s="5" t="s">
        <v>1097</v>
      </c>
      <c r="F1222" s="9">
        <v>20</v>
      </c>
      <c r="G1222" s="9">
        <v>221</v>
      </c>
      <c r="H1222" s="5" t="s">
        <v>21</v>
      </c>
      <c r="I1222" s="5" t="s">
        <v>3154</v>
      </c>
      <c r="J1222" s="12" t="str">
        <f>HYPERLINK("https://www.boe.es/gazeta/dias/1802/03/09/pdfs/GMD-1802-20.pdf#page=9","Abrir facsímil")</f>
        <v>Abrir facsímil</v>
      </c>
      <c r="K1222" s="15" t="s">
        <v>23</v>
      </c>
    </row>
    <row r="1223" spans="1:11" ht="42" customHeight="1">
      <c r="A1223" s="4" t="s">
        <v>3155</v>
      </c>
      <c r="B1223" s="5" t="s">
        <v>3156</v>
      </c>
      <c r="C1223" s="5" t="s">
        <v>18</v>
      </c>
      <c r="D1223" s="5" t="s">
        <v>19</v>
      </c>
      <c r="E1223" s="5" t="s">
        <v>170</v>
      </c>
      <c r="F1223" s="9">
        <v>28</v>
      </c>
      <c r="G1223" s="9">
        <v>327</v>
      </c>
      <c r="H1223" s="5" t="s">
        <v>21</v>
      </c>
      <c r="I1223" s="5" t="s">
        <v>3157</v>
      </c>
      <c r="J1223" s="12" t="str">
        <f>HYPERLINK("https://www.boe.es/gazeta/dias/1802/04/06/pdfs/GMD-1802-28.pdf#page=7","Abrir facsímil")</f>
        <v>Abrir facsímil</v>
      </c>
      <c r="K1223" s="15" t="s">
        <v>23</v>
      </c>
    </row>
    <row r="1224" spans="1:11" ht="42" customHeight="1">
      <c r="A1224" s="4" t="s">
        <v>3155</v>
      </c>
      <c r="B1224" s="5" t="s">
        <v>3156</v>
      </c>
      <c r="C1224" s="5" t="s">
        <v>18</v>
      </c>
      <c r="D1224" s="5" t="s">
        <v>19</v>
      </c>
      <c r="E1224" s="5" t="s">
        <v>170</v>
      </c>
      <c r="F1224" s="9">
        <v>28</v>
      </c>
      <c r="G1224" s="9">
        <v>328</v>
      </c>
      <c r="H1224" s="5" t="s">
        <v>21</v>
      </c>
      <c r="I1224" s="5" t="s">
        <v>3158</v>
      </c>
      <c r="J1224" s="12" t="str">
        <f>HYPERLINK("https://www.boe.es/gazeta/dias/1802/04/06/pdfs/GMD-1802-28.pdf#page=8","Abrir facsímil")</f>
        <v>Abrir facsímil</v>
      </c>
      <c r="K1224" s="15" t="s">
        <v>23</v>
      </c>
    </row>
    <row r="1225" spans="1:11" ht="42" customHeight="1">
      <c r="A1225" s="4" t="s">
        <v>3155</v>
      </c>
      <c r="B1225" s="5" t="s">
        <v>3156</v>
      </c>
      <c r="C1225" s="5" t="s">
        <v>160</v>
      </c>
      <c r="D1225" s="5" t="s">
        <v>91</v>
      </c>
      <c r="E1225" s="5" t="s">
        <v>170</v>
      </c>
      <c r="F1225" s="9">
        <v>28</v>
      </c>
      <c r="G1225" s="9">
        <v>329</v>
      </c>
      <c r="H1225" s="5" t="s">
        <v>21</v>
      </c>
      <c r="I1225" s="5" t="s">
        <v>3159</v>
      </c>
      <c r="J1225" s="12" t="str">
        <f>HYPERLINK("https://www.boe.es/gazeta/dias/1802/04/06/pdfs/GMD-1802-28.pdf#page=9","Abrir facsímil")</f>
        <v>Abrir facsímil</v>
      </c>
      <c r="K1225" s="15" t="s">
        <v>23</v>
      </c>
    </row>
    <row r="1226" spans="1:11" ht="42" customHeight="1">
      <c r="A1226" s="4" t="s">
        <v>3160</v>
      </c>
      <c r="B1226" s="5" t="s">
        <v>3161</v>
      </c>
      <c r="C1226" s="5" t="s">
        <v>35</v>
      </c>
      <c r="D1226" s="5" t="s">
        <v>36</v>
      </c>
      <c r="E1226" s="5" t="s">
        <v>92</v>
      </c>
      <c r="F1226" s="9">
        <v>29</v>
      </c>
      <c r="G1226" s="9">
        <v>340</v>
      </c>
      <c r="H1226" s="5" t="s">
        <v>21</v>
      </c>
      <c r="I1226" s="5" t="s">
        <v>3162</v>
      </c>
      <c r="J1226" s="12" t="str">
        <f>HYPERLINK("https://www.boe.es/gazeta/dias/1802/04/09/pdfs/GMD-1802-29.pdf#page=8","Abrir facsímil")</f>
        <v>Abrir facsímil</v>
      </c>
      <c r="K1226" s="15" t="s">
        <v>23</v>
      </c>
    </row>
    <row r="1227" spans="1:11" ht="42" customHeight="1">
      <c r="A1227" s="4" t="s">
        <v>3155</v>
      </c>
      <c r="B1227" s="5" t="s">
        <v>3156</v>
      </c>
      <c r="C1227" s="5" t="s">
        <v>18</v>
      </c>
      <c r="D1227" s="5" t="s">
        <v>19</v>
      </c>
      <c r="E1227" s="5" t="s">
        <v>670</v>
      </c>
      <c r="F1227" s="9">
        <v>40</v>
      </c>
      <c r="G1227" s="9">
        <v>478</v>
      </c>
      <c r="H1227" s="5" t="s">
        <v>21</v>
      </c>
      <c r="I1227" s="5" t="s">
        <v>3163</v>
      </c>
      <c r="J1227" s="12" t="str">
        <f>HYPERLINK("https://www.boe.es/gazeta/dias/1802/05/18/pdfs/GMD-1802-40.pdf#page=6","Abrir facsímil")</f>
        <v>Abrir facsímil</v>
      </c>
      <c r="K1227" s="15" t="s">
        <v>23</v>
      </c>
    </row>
    <row r="1228" spans="1:11" ht="42" customHeight="1">
      <c r="A1228" s="4" t="s">
        <v>3155</v>
      </c>
      <c r="B1228" s="5" t="s">
        <v>3156</v>
      </c>
      <c r="C1228" s="5" t="s">
        <v>35</v>
      </c>
      <c r="D1228" s="5" t="s">
        <v>36</v>
      </c>
      <c r="E1228" s="5" t="s">
        <v>181</v>
      </c>
      <c r="F1228" s="9">
        <v>55</v>
      </c>
      <c r="G1228" s="9">
        <v>665</v>
      </c>
      <c r="H1228" s="5" t="s">
        <v>21</v>
      </c>
      <c r="I1228" s="5" t="s">
        <v>3164</v>
      </c>
      <c r="J1228" s="12" t="str">
        <f>HYPERLINK("https://www.boe.es/gazeta/dias/1802/07/09/pdfs/GMD-1802-55.pdf#page=9","Abrir facsímil")</f>
        <v>Abrir facsímil</v>
      </c>
      <c r="K1228" s="15" t="s">
        <v>23</v>
      </c>
    </row>
    <row r="1229" spans="1:11" ht="42" customHeight="1">
      <c r="A1229" s="4" t="s">
        <v>3165</v>
      </c>
      <c r="B1229" s="5" t="s">
        <v>3166</v>
      </c>
      <c r="C1229" s="5" t="s">
        <v>35</v>
      </c>
      <c r="D1229" s="5" t="s">
        <v>36</v>
      </c>
      <c r="E1229" s="5" t="s">
        <v>31</v>
      </c>
      <c r="F1229" s="9">
        <v>27</v>
      </c>
      <c r="G1229" s="9">
        <v>314</v>
      </c>
      <c r="H1229" s="5" t="s">
        <v>21</v>
      </c>
      <c r="I1229" s="5" t="s">
        <v>3167</v>
      </c>
      <c r="J1229" s="12" t="str">
        <f>HYPERLINK("https://www.boe.es/gazeta/dias/1802/04/02/pdfs/GMD-1802-27.pdf#page=10","Abrir facsímil")</f>
        <v>Abrir facsímil</v>
      </c>
      <c r="K1229" s="15" t="s">
        <v>23</v>
      </c>
    </row>
    <row r="1230" spans="1:11" ht="42" customHeight="1">
      <c r="A1230" s="4" t="s">
        <v>3168</v>
      </c>
      <c r="B1230" s="5" t="s">
        <v>3169</v>
      </c>
      <c r="C1230" s="5" t="s">
        <v>90</v>
      </c>
      <c r="D1230" s="5" t="s">
        <v>91</v>
      </c>
      <c r="E1230" s="5" t="s">
        <v>292</v>
      </c>
      <c r="F1230" s="9">
        <v>62</v>
      </c>
      <c r="G1230" s="9">
        <v>753</v>
      </c>
      <c r="H1230" s="5" t="s">
        <v>21</v>
      </c>
      <c r="I1230" s="5" t="s">
        <v>3170</v>
      </c>
      <c r="J1230" s="12" t="str">
        <f>HYPERLINK("https://www.boe.es/gazeta/dias/1802/07/30/pdfs/GMD-1802-62.pdf#page=9","Abrir facsímil")</f>
        <v>Abrir facsímil</v>
      </c>
      <c r="K1230" s="15" t="s">
        <v>23</v>
      </c>
    </row>
    <row r="1231" spans="1:11" ht="42" customHeight="1">
      <c r="A1231" s="4" t="s">
        <v>3171</v>
      </c>
      <c r="B1231" s="5" t="s">
        <v>3172</v>
      </c>
      <c r="C1231" s="5" t="s">
        <v>29</v>
      </c>
      <c r="D1231" s="5" t="s">
        <v>30</v>
      </c>
      <c r="E1231" s="5" t="s">
        <v>900</v>
      </c>
      <c r="F1231" s="9">
        <v>16</v>
      </c>
      <c r="G1231" s="9">
        <v>170</v>
      </c>
      <c r="H1231" s="5" t="s">
        <v>21</v>
      </c>
      <c r="I1231" s="5" t="s">
        <v>3173</v>
      </c>
      <c r="J1231" s="12" t="str">
        <f>HYPERLINK("https://www.boe.es/gazeta/dias/1802/02/23/pdfs/GMD-1802-16.pdf#page=10","Abrir facsímil")</f>
        <v>Abrir facsímil</v>
      </c>
      <c r="K1231" s="15" t="s">
        <v>23</v>
      </c>
    </row>
    <row r="1232" spans="1:11" ht="42" customHeight="1">
      <c r="A1232" s="4" t="s">
        <v>3174</v>
      </c>
      <c r="B1232" s="5" t="s">
        <v>3175</v>
      </c>
      <c r="C1232" s="5" t="s">
        <v>18</v>
      </c>
      <c r="D1232" s="5" t="s">
        <v>19</v>
      </c>
      <c r="E1232" s="5" t="s">
        <v>152</v>
      </c>
      <c r="F1232" s="9">
        <v>25</v>
      </c>
      <c r="G1232" s="9">
        <v>284</v>
      </c>
      <c r="H1232" s="5" t="s">
        <v>21</v>
      </c>
      <c r="I1232" s="5" t="s">
        <v>3176</v>
      </c>
      <c r="J1232" s="12" t="str">
        <f>HYPERLINK("https://www.boe.es/gazeta/dias/1802/03/26/pdfs/GMD-1802-25.pdf#page=8","Abrir facsímil")</f>
        <v>Abrir facsímil</v>
      </c>
      <c r="K1232" s="15" t="s">
        <v>23</v>
      </c>
    </row>
    <row r="1233" spans="1:11" ht="42" customHeight="1">
      <c r="A1233" s="4" t="s">
        <v>3174</v>
      </c>
      <c r="B1233" s="5" t="s">
        <v>3175</v>
      </c>
      <c r="C1233" s="5" t="s">
        <v>18</v>
      </c>
      <c r="D1233" s="5" t="s">
        <v>19</v>
      </c>
      <c r="E1233" s="5" t="s">
        <v>152</v>
      </c>
      <c r="F1233" s="9">
        <v>25</v>
      </c>
      <c r="G1233" s="9">
        <v>285</v>
      </c>
      <c r="H1233" s="5" t="s">
        <v>21</v>
      </c>
      <c r="I1233" s="5" t="s">
        <v>3177</v>
      </c>
      <c r="J1233" s="12" t="str">
        <f>HYPERLINK("https://www.boe.es/gazeta/dias/1802/03/26/pdfs/GMD-1802-25.pdf#page=9","Abrir facsímil")</f>
        <v>Abrir facsímil</v>
      </c>
      <c r="K1233" s="15" t="s">
        <v>23</v>
      </c>
    </row>
    <row r="1234" spans="1:11" ht="42" customHeight="1">
      <c r="A1234" s="4" t="s">
        <v>3178</v>
      </c>
      <c r="B1234" s="5" t="s">
        <v>3179</v>
      </c>
      <c r="C1234" s="5" t="s">
        <v>29</v>
      </c>
      <c r="D1234" s="5" t="s">
        <v>30</v>
      </c>
      <c r="E1234" s="5" t="s">
        <v>148</v>
      </c>
      <c r="F1234" s="9">
        <v>66</v>
      </c>
      <c r="G1234" s="9">
        <v>808</v>
      </c>
      <c r="H1234" s="5" t="s">
        <v>21</v>
      </c>
      <c r="I1234" s="5" t="s">
        <v>3180</v>
      </c>
      <c r="J1234" s="12" t="str">
        <f>HYPERLINK("https://www.boe.es/gazeta/dias/1802/08/13/pdfs/GMD-1802-66.pdf#page=12","Abrir facsímil")</f>
        <v>Abrir facsímil</v>
      </c>
      <c r="K1234" s="15" t="s">
        <v>23</v>
      </c>
    </row>
    <row r="1235" spans="1:11" ht="42" customHeight="1">
      <c r="A1235" s="4" t="s">
        <v>3181</v>
      </c>
      <c r="B1235" s="5" t="s">
        <v>3182</v>
      </c>
      <c r="C1235" s="5" t="s">
        <v>29</v>
      </c>
      <c r="D1235" s="5" t="s">
        <v>30</v>
      </c>
      <c r="E1235" s="5" t="s">
        <v>247</v>
      </c>
      <c r="F1235" s="9">
        <v>14</v>
      </c>
      <c r="G1235" s="9">
        <v>145</v>
      </c>
      <c r="H1235" s="5" t="s">
        <v>21</v>
      </c>
      <c r="I1235" s="5" t="s">
        <v>3183</v>
      </c>
      <c r="J1235" s="12" t="str">
        <f>HYPERLINK("https://www.boe.es/gazeta/dias/1802/02/16/pdfs/GMD-1802-14.pdf#page=9","Abrir facsímil")</f>
        <v>Abrir facsímil</v>
      </c>
      <c r="K1235" s="15" t="s">
        <v>23</v>
      </c>
    </row>
    <row r="1236" spans="1:11" ht="42" customHeight="1">
      <c r="A1236" s="4" t="s">
        <v>3184</v>
      </c>
      <c r="B1236" s="5" t="s">
        <v>3185</v>
      </c>
      <c r="C1236" s="5" t="s">
        <v>18</v>
      </c>
      <c r="D1236" s="5" t="s">
        <v>19</v>
      </c>
      <c r="E1236" s="5" t="s">
        <v>635</v>
      </c>
      <c r="F1236" s="9">
        <v>47</v>
      </c>
      <c r="G1236" s="9">
        <v>575</v>
      </c>
      <c r="H1236" s="5" t="s">
        <v>21</v>
      </c>
      <c r="I1236" s="5" t="s">
        <v>3186</v>
      </c>
      <c r="J1236" s="12" t="str">
        <f>HYPERLINK("https://www.boe.es/gazeta/dias/1802/06/11/pdfs/GMD-1802-47.pdf#page=11","Abrir facsímil")</f>
        <v>Abrir facsímil</v>
      </c>
      <c r="K1236" s="15" t="s">
        <v>23</v>
      </c>
    </row>
    <row r="1237" spans="1:11" ht="42" customHeight="1">
      <c r="A1237" s="4" t="s">
        <v>3187</v>
      </c>
      <c r="B1237" s="5" t="s">
        <v>3188</v>
      </c>
      <c r="C1237" s="5" t="s">
        <v>18</v>
      </c>
      <c r="D1237" s="5" t="s">
        <v>19</v>
      </c>
      <c r="E1237" s="5" t="s">
        <v>82</v>
      </c>
      <c r="F1237" s="9">
        <v>74</v>
      </c>
      <c r="G1237" s="9">
        <v>916</v>
      </c>
      <c r="H1237" s="5" t="s">
        <v>21</v>
      </c>
      <c r="I1237" s="5" t="s">
        <v>3189</v>
      </c>
      <c r="J1237" s="12" t="str">
        <f>HYPERLINK("https://www.boe.es/gazeta/dias/1802/09/10/pdfs/GMD-1802-74.pdf#page=12","Abrir facsímil")</f>
        <v>Abrir facsímil</v>
      </c>
      <c r="K1237" s="15" t="s">
        <v>23</v>
      </c>
    </row>
    <row r="1238" spans="1:11" ht="42" customHeight="1">
      <c r="A1238" s="4" t="s">
        <v>3190</v>
      </c>
      <c r="B1238" s="5" t="s">
        <v>3191</v>
      </c>
      <c r="C1238" s="5" t="s">
        <v>18</v>
      </c>
      <c r="D1238" s="5" t="s">
        <v>19</v>
      </c>
      <c r="E1238" s="5" t="s">
        <v>706</v>
      </c>
      <c r="F1238" s="9">
        <v>80</v>
      </c>
      <c r="G1238" s="9">
        <v>987</v>
      </c>
      <c r="H1238" s="5" t="s">
        <v>21</v>
      </c>
      <c r="I1238" s="5" t="s">
        <v>3192</v>
      </c>
      <c r="J1238" s="12" t="str">
        <f>HYPERLINK("https://www.boe.es/gazeta/dias/1802/10/01/pdfs/GMD-1802-80.pdf#page=11","Abrir facsímil")</f>
        <v>Abrir facsímil</v>
      </c>
      <c r="K1238" s="15" t="s">
        <v>23</v>
      </c>
    </row>
    <row r="1239" spans="1:11" ht="42" customHeight="1">
      <c r="A1239" s="4" t="s">
        <v>3193</v>
      </c>
      <c r="B1239" s="5" t="s">
        <v>3194</v>
      </c>
      <c r="C1239" s="5" t="s">
        <v>18</v>
      </c>
      <c r="D1239" s="5" t="s">
        <v>19</v>
      </c>
      <c r="E1239" s="5" t="s">
        <v>49</v>
      </c>
      <c r="F1239" s="9">
        <v>83</v>
      </c>
      <c r="G1239" s="9">
        <v>1022</v>
      </c>
      <c r="H1239" s="5" t="s">
        <v>21</v>
      </c>
      <c r="I1239" s="5" t="s">
        <v>3195</v>
      </c>
      <c r="J1239" s="12" t="str">
        <f>HYPERLINK("https://www.boe.es/gazeta/dias/1802/10/12/pdfs/GMD-1802-83.pdf#page=10","Abrir facsímil")</f>
        <v>Abrir facsímil</v>
      </c>
      <c r="K1239" s="15" t="s">
        <v>23</v>
      </c>
    </row>
    <row r="1240" spans="1:11" ht="42" customHeight="1">
      <c r="A1240" s="4" t="s">
        <v>3196</v>
      </c>
      <c r="B1240" s="5" t="s">
        <v>3197</v>
      </c>
      <c r="C1240" s="5" t="s">
        <v>29</v>
      </c>
      <c r="D1240" s="5" t="s">
        <v>30</v>
      </c>
      <c r="E1240" s="5" t="s">
        <v>163</v>
      </c>
      <c r="F1240" s="9">
        <v>1</v>
      </c>
      <c r="G1240" s="9">
        <v>7</v>
      </c>
      <c r="H1240" s="5" t="s">
        <v>21</v>
      </c>
      <c r="I1240" s="5" t="s">
        <v>3198</v>
      </c>
      <c r="J1240" s="12" t="str">
        <f>HYPERLINK("https://www.boe.es/gazeta/dias/1802/01/01/pdfs/GMD-1802-1.pdf#page=7","Abrir facsímil")</f>
        <v>Abrir facsímil</v>
      </c>
      <c r="K1240" s="15" t="s">
        <v>23</v>
      </c>
    </row>
    <row r="1241" spans="1:11" ht="42" customHeight="1">
      <c r="A1241" s="4" t="s">
        <v>3199</v>
      </c>
      <c r="B1241" s="5" t="s">
        <v>3200</v>
      </c>
      <c r="C1241" s="5" t="s">
        <v>35</v>
      </c>
      <c r="D1241" s="5" t="s">
        <v>36</v>
      </c>
      <c r="E1241" s="5" t="s">
        <v>881</v>
      </c>
      <c r="F1241" s="9">
        <v>65</v>
      </c>
      <c r="G1241" s="9">
        <v>785</v>
      </c>
      <c r="H1241" s="5" t="s">
        <v>21</v>
      </c>
      <c r="I1241" s="5" t="s">
        <v>3201</v>
      </c>
      <c r="J1241" s="12" t="str">
        <f>HYPERLINK("https://www.boe.es/gazeta/dias/1802/08/10/pdfs/GMD-1802-65.pdf#page=1","Abrir facsímil")</f>
        <v>Abrir facsímil</v>
      </c>
      <c r="K1241" s="15" t="s">
        <v>23</v>
      </c>
    </row>
    <row r="1242" spans="1:11" ht="42" customHeight="1">
      <c r="A1242" s="4" t="s">
        <v>3202</v>
      </c>
      <c r="B1242" s="5" t="s">
        <v>3203</v>
      </c>
      <c r="C1242" s="5" t="s">
        <v>18</v>
      </c>
      <c r="D1242" s="5" t="s">
        <v>19</v>
      </c>
      <c r="E1242" s="5" t="s">
        <v>20</v>
      </c>
      <c r="F1242" s="9">
        <v>84</v>
      </c>
      <c r="G1242" s="9">
        <v>1047</v>
      </c>
      <c r="H1242" s="5" t="s">
        <v>21</v>
      </c>
      <c r="I1242" s="5" t="s">
        <v>3204</v>
      </c>
      <c r="J1242" s="12" t="str">
        <f>HYPERLINK("https://www.boe.es/gazeta/dias/1802/10/15/pdfs/GMD-1802-84.pdf#page=15","Abrir facsímil")</f>
        <v>Abrir facsímil</v>
      </c>
      <c r="K1242" s="15" t="s">
        <v>23</v>
      </c>
    </row>
    <row r="1243" spans="1:11" ht="42" customHeight="1">
      <c r="A1243" s="4" t="s">
        <v>3205</v>
      </c>
      <c r="B1243" s="5" t="s">
        <v>3205</v>
      </c>
      <c r="C1243" s="5" t="s">
        <v>55</v>
      </c>
      <c r="D1243" s="5" t="s">
        <v>56</v>
      </c>
      <c r="E1243" s="5" t="s">
        <v>109</v>
      </c>
      <c r="F1243" s="9">
        <v>10</v>
      </c>
      <c r="G1243" s="9">
        <v>100</v>
      </c>
      <c r="H1243" s="5" t="s">
        <v>21</v>
      </c>
      <c r="I1243" s="5" t="s">
        <v>3206</v>
      </c>
      <c r="J1243" s="12" t="str">
        <f>HYPERLINK("https://www.boe.es/gazeta/dias/1802/02/02/pdfs/GMD-1802-10.pdf#page=8","Abrir facsímil")</f>
        <v>Abrir facsímil</v>
      </c>
      <c r="K1243" s="15" t="s">
        <v>23</v>
      </c>
    </row>
    <row r="1244" spans="1:11" ht="42" customHeight="1">
      <c r="A1244" s="4" t="s">
        <v>3207</v>
      </c>
      <c r="B1244" s="5" t="s">
        <v>3207</v>
      </c>
      <c r="C1244" s="5" t="s">
        <v>18</v>
      </c>
      <c r="D1244" s="5" t="s">
        <v>19</v>
      </c>
      <c r="E1244" s="5" t="s">
        <v>20</v>
      </c>
      <c r="F1244" s="9">
        <v>84</v>
      </c>
      <c r="G1244" s="9">
        <v>1040</v>
      </c>
      <c r="H1244" s="5" t="s">
        <v>21</v>
      </c>
      <c r="I1244" s="5" t="s">
        <v>3208</v>
      </c>
      <c r="J1244" s="12" t="str">
        <f>HYPERLINK("https://www.boe.es/gazeta/dias/1802/10/15/pdfs/GMD-1802-84.pdf#page=8","Abrir facsímil")</f>
        <v>Abrir facsímil</v>
      </c>
      <c r="K1244" s="15" t="s">
        <v>23</v>
      </c>
    </row>
    <row r="1245" spans="1:11" ht="42" customHeight="1">
      <c r="A1245" s="4" t="s">
        <v>3209</v>
      </c>
      <c r="B1245" s="5" t="s">
        <v>3209</v>
      </c>
      <c r="C1245" s="5" t="s">
        <v>42</v>
      </c>
      <c r="D1245" s="5" t="s">
        <v>43</v>
      </c>
      <c r="E1245" s="5" t="s">
        <v>44</v>
      </c>
      <c r="F1245" s="9">
        <v>99</v>
      </c>
      <c r="G1245" s="9" t="s">
        <v>78</v>
      </c>
      <c r="H1245" s="5" t="s">
        <v>21</v>
      </c>
      <c r="I1245" s="5" t="s">
        <v>3210</v>
      </c>
      <c r="J1245" s="12" t="str">
        <f>HYPERLINK("https://www.boe.es/gazeta/dias/1802/12/07/pdfs/GMD-D-1802-99.pdf#page=15","Abrir facsímil")</f>
        <v>Abrir facsímil</v>
      </c>
      <c r="K1245" s="15" t="s">
        <v>23</v>
      </c>
    </row>
    <row r="1246" spans="1:11" ht="42" customHeight="1">
      <c r="A1246" s="4" t="s">
        <v>3211</v>
      </c>
      <c r="B1246" s="5" t="s">
        <v>3211</v>
      </c>
      <c r="C1246" s="5" t="s">
        <v>18</v>
      </c>
      <c r="D1246" s="5" t="s">
        <v>19</v>
      </c>
      <c r="E1246" s="5" t="s">
        <v>146</v>
      </c>
      <c r="F1246" s="9">
        <v>42</v>
      </c>
      <c r="G1246" s="9">
        <v>507</v>
      </c>
      <c r="H1246" s="5" t="s">
        <v>21</v>
      </c>
      <c r="I1246" s="5" t="s">
        <v>3212</v>
      </c>
      <c r="J1246" s="12" t="str">
        <f>HYPERLINK("https://www.boe.es/gazeta/dias/1802/05/25/pdfs/GMD-1802-42.pdf#page=11","Abrir facsímil")</f>
        <v>Abrir facsímil</v>
      </c>
      <c r="K1246" s="15" t="s">
        <v>23</v>
      </c>
    </row>
    <row r="1247" spans="1:11" ht="42" customHeight="1">
      <c r="A1247" s="4" t="s">
        <v>3213</v>
      </c>
      <c r="B1247" s="5" t="s">
        <v>3213</v>
      </c>
      <c r="C1247" s="5" t="s">
        <v>35</v>
      </c>
      <c r="D1247" s="5" t="s">
        <v>36</v>
      </c>
      <c r="E1247" s="5" t="s">
        <v>745</v>
      </c>
      <c r="F1247" s="9">
        <v>92</v>
      </c>
      <c r="G1247" s="9">
        <v>1138</v>
      </c>
      <c r="H1247" s="5" t="s">
        <v>21</v>
      </c>
      <c r="I1247" s="5" t="s">
        <v>3214</v>
      </c>
      <c r="J1247" s="12" t="str">
        <f>HYPERLINK("https://www.boe.es/gazeta/dias/1802/11/12/pdfs/GMD-1802-92.pdf#page=6","Abrir facsímil")</f>
        <v>Abrir facsímil</v>
      </c>
      <c r="K1247" s="15" t="s">
        <v>23</v>
      </c>
    </row>
    <row r="1248" spans="1:11" ht="42" customHeight="1">
      <c r="A1248" s="4" t="s">
        <v>3215</v>
      </c>
      <c r="B1248" s="5" t="s">
        <v>3215</v>
      </c>
      <c r="C1248" s="5" t="s">
        <v>160</v>
      </c>
      <c r="D1248" s="5" t="s">
        <v>91</v>
      </c>
      <c r="E1248" s="5" t="s">
        <v>611</v>
      </c>
      <c r="F1248" s="9">
        <v>68</v>
      </c>
      <c r="G1248" s="9">
        <v>834</v>
      </c>
      <c r="H1248" s="5" t="s">
        <v>21</v>
      </c>
      <c r="I1248" s="5" t="s">
        <v>3216</v>
      </c>
      <c r="J1248" s="12" t="str">
        <f>HYPERLINK("https://www.boe.es/gazeta/dias/1802/08/20/pdfs/GMD-1802-68.pdf#page=10","Abrir facsímil")</f>
        <v>Abrir facsímil</v>
      </c>
      <c r="K1248" s="15" t="s">
        <v>23</v>
      </c>
    </row>
    <row r="1249" spans="1:11" ht="42" customHeight="1">
      <c r="A1249" s="4" t="s">
        <v>3217</v>
      </c>
      <c r="B1249" s="5" t="s">
        <v>3217</v>
      </c>
      <c r="C1249" s="5" t="s">
        <v>160</v>
      </c>
      <c r="D1249" s="5" t="s">
        <v>91</v>
      </c>
      <c r="E1249" s="5" t="s">
        <v>292</v>
      </c>
      <c r="F1249" s="9">
        <v>62</v>
      </c>
      <c r="G1249" s="9">
        <v>755</v>
      </c>
      <c r="H1249" s="5" t="s">
        <v>21</v>
      </c>
      <c r="I1249" s="5" t="s">
        <v>3218</v>
      </c>
      <c r="J1249" s="12" t="str">
        <f>HYPERLINK("https://www.boe.es/gazeta/dias/1802/07/30/pdfs/GMD-1802-62.pdf#page=11","Abrir facsímil")</f>
        <v>Abrir facsímil</v>
      </c>
      <c r="K1249" s="15" t="s">
        <v>23</v>
      </c>
    </row>
    <row r="1250" spans="1:11" ht="42" customHeight="1">
      <c r="A1250" s="4" t="s">
        <v>3219</v>
      </c>
      <c r="B1250" s="5" t="s">
        <v>3220</v>
      </c>
      <c r="C1250" s="5" t="s">
        <v>35</v>
      </c>
      <c r="D1250" s="5" t="s">
        <v>36</v>
      </c>
      <c r="E1250" s="5" t="s">
        <v>385</v>
      </c>
      <c r="F1250" s="9">
        <v>70</v>
      </c>
      <c r="G1250" s="9">
        <v>854</v>
      </c>
      <c r="H1250" s="5" t="s">
        <v>21</v>
      </c>
      <c r="I1250" s="5" t="s">
        <v>3221</v>
      </c>
      <c r="J1250" s="12" t="str">
        <f>HYPERLINK("https://www.boe.es/gazeta/dias/1802/08/27/pdfs/GMD-1802-70.pdf#page=2","Abrir facsímil")</f>
        <v>Abrir facsímil</v>
      </c>
      <c r="K1250" s="15" t="s">
        <v>23</v>
      </c>
    </row>
    <row r="1251" spans="1:11" ht="42" customHeight="1">
      <c r="A1251" s="4" t="s">
        <v>3222</v>
      </c>
      <c r="B1251" s="5" t="s">
        <v>3223</v>
      </c>
      <c r="C1251" s="5" t="s">
        <v>18</v>
      </c>
      <c r="D1251" s="5" t="s">
        <v>19</v>
      </c>
      <c r="E1251" s="5" t="s">
        <v>172</v>
      </c>
      <c r="F1251" s="9">
        <v>35</v>
      </c>
      <c r="G1251" s="9">
        <v>414</v>
      </c>
      <c r="H1251" s="5" t="s">
        <v>21</v>
      </c>
      <c r="I1251" s="5" t="s">
        <v>3224</v>
      </c>
      <c r="J1251" s="12" t="str">
        <f>HYPERLINK("https://www.boe.es/gazeta/dias/1802/04/30/pdfs/GMD-1802-35.pdf#page=14","Abrir facsímil")</f>
        <v>Abrir facsímil</v>
      </c>
      <c r="K1251" s="15" t="s">
        <v>23</v>
      </c>
    </row>
    <row r="1252" spans="1:11" ht="42" customHeight="1">
      <c r="A1252" s="4" t="s">
        <v>3222</v>
      </c>
      <c r="B1252" s="5" t="s">
        <v>3223</v>
      </c>
      <c r="C1252" s="5" t="s">
        <v>29</v>
      </c>
      <c r="D1252" s="5" t="s">
        <v>30</v>
      </c>
      <c r="E1252" s="5" t="s">
        <v>49</v>
      </c>
      <c r="F1252" s="9">
        <v>83</v>
      </c>
      <c r="G1252" s="9">
        <v>1020</v>
      </c>
      <c r="H1252" s="5" t="s">
        <v>21</v>
      </c>
      <c r="I1252" s="5" t="s">
        <v>3225</v>
      </c>
      <c r="J1252" s="12" t="str">
        <f>HYPERLINK("https://www.boe.es/gazeta/dias/1802/10/12/pdfs/GMD-1802-83.pdf#page=8","Abrir facsímil")</f>
        <v>Abrir facsímil</v>
      </c>
      <c r="K1252" s="15" t="s">
        <v>23</v>
      </c>
    </row>
    <row r="1253" spans="1:11" ht="42" customHeight="1">
      <c r="A1253" s="4" t="s">
        <v>3226</v>
      </c>
      <c r="B1253" s="5" t="s">
        <v>3227</v>
      </c>
      <c r="C1253" s="5" t="s">
        <v>90</v>
      </c>
      <c r="D1253" s="5" t="s">
        <v>91</v>
      </c>
      <c r="E1253" s="5" t="s">
        <v>82</v>
      </c>
      <c r="F1253" s="9">
        <v>74</v>
      </c>
      <c r="G1253" s="9">
        <v>915</v>
      </c>
      <c r="H1253" s="5" t="s">
        <v>21</v>
      </c>
      <c r="I1253" s="5" t="s">
        <v>3228</v>
      </c>
      <c r="J1253" s="12" t="str">
        <f>HYPERLINK("https://www.boe.es/gazeta/dias/1802/09/10/pdfs/GMD-1802-74.pdf#page=11","Abrir facsímil")</f>
        <v>Abrir facsímil</v>
      </c>
      <c r="K1253" s="15" t="s">
        <v>23</v>
      </c>
    </row>
    <row r="1254" spans="1:11" ht="42" customHeight="1">
      <c r="A1254" s="4" t="s">
        <v>3229</v>
      </c>
      <c r="B1254" s="5" t="s">
        <v>3230</v>
      </c>
      <c r="C1254" s="5" t="s">
        <v>35</v>
      </c>
      <c r="D1254" s="5" t="s">
        <v>36</v>
      </c>
      <c r="E1254" s="5" t="s">
        <v>907</v>
      </c>
      <c r="F1254" s="9">
        <v>77</v>
      </c>
      <c r="G1254" s="9">
        <v>949</v>
      </c>
      <c r="H1254" s="5" t="s">
        <v>21</v>
      </c>
      <c r="I1254" s="5" t="s">
        <v>3231</v>
      </c>
      <c r="J1254" s="12" t="str">
        <f>HYPERLINK("https://www.boe.es/gazeta/dias/1802/09/21/pdfs/GMD-1802-77.pdf#page=9","Abrir facsímil")</f>
        <v>Abrir facsímil</v>
      </c>
      <c r="K1254" s="15" t="s">
        <v>23</v>
      </c>
    </row>
    <row r="1255" spans="1:11" ht="42" customHeight="1">
      <c r="A1255" s="4" t="s">
        <v>3232</v>
      </c>
      <c r="B1255" s="5" t="s">
        <v>3233</v>
      </c>
      <c r="C1255" s="5" t="s">
        <v>18</v>
      </c>
      <c r="D1255" s="5" t="s">
        <v>19</v>
      </c>
      <c r="E1255" s="5" t="s">
        <v>152</v>
      </c>
      <c r="F1255" s="9">
        <v>25</v>
      </c>
      <c r="G1255" s="9">
        <v>284</v>
      </c>
      <c r="H1255" s="5" t="s">
        <v>21</v>
      </c>
      <c r="I1255" s="5" t="s">
        <v>3234</v>
      </c>
      <c r="J1255" s="12" t="str">
        <f>HYPERLINK("https://www.boe.es/gazeta/dias/1802/03/26/pdfs/GMD-1802-25.pdf#page=8","Abrir facsímil")</f>
        <v>Abrir facsímil</v>
      </c>
      <c r="K1255" s="15" t="s">
        <v>23</v>
      </c>
    </row>
    <row r="1256" spans="1:11" ht="42" customHeight="1">
      <c r="A1256" s="4" t="s">
        <v>3235</v>
      </c>
      <c r="B1256" s="5" t="s">
        <v>3235</v>
      </c>
      <c r="C1256" s="5" t="s">
        <v>18</v>
      </c>
      <c r="D1256" s="5" t="s">
        <v>19</v>
      </c>
      <c r="E1256" s="5" t="s">
        <v>530</v>
      </c>
      <c r="F1256" s="9">
        <v>48</v>
      </c>
      <c r="G1256" s="9">
        <v>584</v>
      </c>
      <c r="H1256" s="5" t="s">
        <v>21</v>
      </c>
      <c r="I1256" s="5" t="s">
        <v>3236</v>
      </c>
      <c r="J1256" s="12" t="str">
        <f>HYPERLINK("https://www.boe.es/gazeta/dias/1802/06/15/pdfs/GMD-1802-48.pdf#page=8","Abrir facsímil")</f>
        <v>Abrir facsímil</v>
      </c>
      <c r="K1256" s="15" t="s">
        <v>23</v>
      </c>
    </row>
    <row r="1257" spans="1:11" ht="42" customHeight="1">
      <c r="A1257" s="4" t="s">
        <v>3237</v>
      </c>
      <c r="B1257" s="5" t="s">
        <v>3238</v>
      </c>
      <c r="C1257" s="5" t="s">
        <v>29</v>
      </c>
      <c r="D1257" s="5" t="s">
        <v>30</v>
      </c>
      <c r="E1257" s="5" t="s">
        <v>71</v>
      </c>
      <c r="F1257" s="9">
        <v>21</v>
      </c>
      <c r="G1257" s="9">
        <v>226</v>
      </c>
      <c r="H1257" s="5" t="s">
        <v>21</v>
      </c>
      <c r="I1257" s="5" t="s">
        <v>3239</v>
      </c>
      <c r="J1257" s="12" t="str">
        <f>HYPERLINK("https://www.boe.es/gazeta/dias/1802/03/12/pdfs/GMD-1802-21.pdf#page=2","Abrir facsímil")</f>
        <v>Abrir facsímil</v>
      </c>
      <c r="K1257" s="15" t="s">
        <v>23</v>
      </c>
    </row>
    <row r="1258" spans="1:11" ht="42" customHeight="1">
      <c r="A1258" s="4" t="s">
        <v>3240</v>
      </c>
      <c r="B1258" s="5" t="s">
        <v>3241</v>
      </c>
      <c r="C1258" s="5" t="s">
        <v>18</v>
      </c>
      <c r="D1258" s="5" t="s">
        <v>19</v>
      </c>
      <c r="E1258" s="5" t="s">
        <v>49</v>
      </c>
      <c r="F1258" s="9">
        <v>83</v>
      </c>
      <c r="G1258" s="9">
        <v>1023</v>
      </c>
      <c r="H1258" s="5" t="s">
        <v>21</v>
      </c>
      <c r="I1258" s="5" t="s">
        <v>3242</v>
      </c>
      <c r="J1258" s="12" t="str">
        <f>HYPERLINK("https://www.boe.es/gazeta/dias/1802/10/12/pdfs/GMD-1802-83.pdf#page=11","Abrir facsímil")</f>
        <v>Abrir facsímil</v>
      </c>
      <c r="K1258" s="15" t="s">
        <v>23</v>
      </c>
    </row>
    <row r="1259" spans="1:11" ht="42" customHeight="1">
      <c r="A1259" s="4" t="s">
        <v>3243</v>
      </c>
      <c r="B1259" s="5" t="s">
        <v>3244</v>
      </c>
      <c r="C1259" s="5" t="s">
        <v>18</v>
      </c>
      <c r="D1259" s="5" t="s">
        <v>19</v>
      </c>
      <c r="E1259" s="5" t="s">
        <v>152</v>
      </c>
      <c r="F1259" s="9">
        <v>25</v>
      </c>
      <c r="G1259" s="9">
        <v>281</v>
      </c>
      <c r="H1259" s="5" t="s">
        <v>21</v>
      </c>
      <c r="I1259" s="5" t="s">
        <v>3245</v>
      </c>
      <c r="J1259" s="12" t="str">
        <f>HYPERLINK("https://www.boe.es/gazeta/dias/1802/03/26/pdfs/GMD-1802-25.pdf#page=5","Abrir facsímil")</f>
        <v>Abrir facsímil</v>
      </c>
      <c r="K1259" s="15" t="s">
        <v>23</v>
      </c>
    </row>
    <row r="1260" spans="1:11" ht="42" customHeight="1">
      <c r="A1260" s="4" t="s">
        <v>3246</v>
      </c>
      <c r="B1260" s="5" t="s">
        <v>3247</v>
      </c>
      <c r="C1260" s="5" t="s">
        <v>35</v>
      </c>
      <c r="D1260" s="5" t="s">
        <v>36</v>
      </c>
      <c r="E1260" s="5" t="s">
        <v>185</v>
      </c>
      <c r="F1260" s="9">
        <v>95</v>
      </c>
      <c r="G1260" s="9">
        <v>1173</v>
      </c>
      <c r="H1260" s="5" t="s">
        <v>21</v>
      </c>
      <c r="I1260" s="5" t="s">
        <v>3248</v>
      </c>
      <c r="J1260" s="12" t="str">
        <f>HYPERLINK("https://www.boe.es/gazeta/dias/1802/11/23/pdfs/GMD-1802-95.pdf#page=9","Abrir facsímil")</f>
        <v>Abrir facsímil</v>
      </c>
      <c r="K1260" s="15" t="s">
        <v>23</v>
      </c>
    </row>
    <row r="1261" spans="1:11" ht="42" customHeight="1">
      <c r="A1261" s="4" t="s">
        <v>3249</v>
      </c>
      <c r="B1261" s="5" t="s">
        <v>3249</v>
      </c>
      <c r="C1261" s="5" t="s">
        <v>55</v>
      </c>
      <c r="D1261" s="5" t="s">
        <v>56</v>
      </c>
      <c r="E1261" s="5" t="s">
        <v>49</v>
      </c>
      <c r="F1261" s="9">
        <v>83</v>
      </c>
      <c r="G1261" s="9">
        <v>1024</v>
      </c>
      <c r="H1261" s="5" t="s">
        <v>21</v>
      </c>
      <c r="I1261" s="5" t="s">
        <v>3250</v>
      </c>
      <c r="J1261" s="12" t="str">
        <f>HYPERLINK("https://www.boe.es/gazeta/dias/1802/10/12/pdfs/GMD-1802-83.pdf#page=12","Abrir facsímil")</f>
        <v>Abrir facsímil</v>
      </c>
      <c r="K1261" s="15" t="s">
        <v>23</v>
      </c>
    </row>
    <row r="1262" spans="1:11" ht="42" customHeight="1">
      <c r="A1262" s="4" t="s">
        <v>3251</v>
      </c>
      <c r="B1262" s="5" t="s">
        <v>3251</v>
      </c>
      <c r="C1262" s="5" t="s">
        <v>18</v>
      </c>
      <c r="D1262" s="5" t="s">
        <v>19</v>
      </c>
      <c r="E1262" s="5" t="s">
        <v>49</v>
      </c>
      <c r="F1262" s="9">
        <v>83</v>
      </c>
      <c r="G1262" s="9">
        <v>1021</v>
      </c>
      <c r="H1262" s="5" t="s">
        <v>21</v>
      </c>
      <c r="I1262" s="5" t="s">
        <v>3252</v>
      </c>
      <c r="J1262" s="12" t="str">
        <f>HYPERLINK("https://www.boe.es/gazeta/dias/1802/10/12/pdfs/GMD-1802-83.pdf#page=9","Abrir facsímil")</f>
        <v>Abrir facsímil</v>
      </c>
      <c r="K1262" s="15" t="s">
        <v>23</v>
      </c>
    </row>
    <row r="1263" spans="1:11" ht="42" customHeight="1">
      <c r="A1263" s="4" t="s">
        <v>3253</v>
      </c>
      <c r="B1263" s="5" t="s">
        <v>3254</v>
      </c>
      <c r="C1263" s="5" t="s">
        <v>42</v>
      </c>
      <c r="D1263" s="5" t="s">
        <v>43</v>
      </c>
      <c r="E1263" s="5" t="s">
        <v>44</v>
      </c>
      <c r="F1263" s="9">
        <v>99</v>
      </c>
      <c r="G1263" s="9" t="s">
        <v>544</v>
      </c>
      <c r="H1263" s="5" t="s">
        <v>21</v>
      </c>
      <c r="I1263" s="5" t="s">
        <v>3255</v>
      </c>
      <c r="J1263" s="12" t="str">
        <f>HYPERLINK("https://www.boe.es/gazeta/dias/1802/12/07/pdfs/GMD-D-1802-99.pdf#page=11","Abrir facsímil")</f>
        <v>Abrir facsímil</v>
      </c>
      <c r="K1263" s="15" t="s">
        <v>23</v>
      </c>
    </row>
    <row r="1264" spans="1:11" ht="42" customHeight="1">
      <c r="A1264" s="4" t="s">
        <v>3256</v>
      </c>
      <c r="B1264" s="5" t="s">
        <v>3257</v>
      </c>
      <c r="C1264" s="5" t="s">
        <v>18</v>
      </c>
      <c r="D1264" s="5" t="s">
        <v>19</v>
      </c>
      <c r="E1264" s="5" t="s">
        <v>678</v>
      </c>
      <c r="F1264" s="9">
        <v>15</v>
      </c>
      <c r="G1264" s="9">
        <v>151</v>
      </c>
      <c r="H1264" s="5" t="s">
        <v>21</v>
      </c>
      <c r="I1264" s="5" t="s">
        <v>3258</v>
      </c>
      <c r="J1264" s="12" t="str">
        <f>HYPERLINK("https://www.boe.es/gazeta/dias/1802/02/19/pdfs/GMD-1802-15.pdf#page=3","Abrir facsímil")</f>
        <v>Abrir facsímil</v>
      </c>
      <c r="K1264" s="15" t="s">
        <v>23</v>
      </c>
    </row>
    <row r="1265" spans="1:11" ht="42" customHeight="1">
      <c r="A1265" s="4" t="s">
        <v>3256</v>
      </c>
      <c r="B1265" s="5" t="s">
        <v>3257</v>
      </c>
      <c r="C1265" s="5" t="s">
        <v>18</v>
      </c>
      <c r="D1265" s="5" t="s">
        <v>19</v>
      </c>
      <c r="E1265" s="5" t="s">
        <v>152</v>
      </c>
      <c r="F1265" s="9">
        <v>25</v>
      </c>
      <c r="G1265" s="9">
        <v>288</v>
      </c>
      <c r="H1265" s="5" t="s">
        <v>21</v>
      </c>
      <c r="I1265" s="5" t="s">
        <v>3259</v>
      </c>
      <c r="J1265" s="12" t="str">
        <f>HYPERLINK("https://www.boe.es/gazeta/dias/1802/03/26/pdfs/GMD-1802-25.pdf#page=12","Abrir facsímil")</f>
        <v>Abrir facsímil</v>
      </c>
      <c r="K1265" s="15" t="s">
        <v>23</v>
      </c>
    </row>
    <row r="1266" spans="1:11" ht="42" customHeight="1">
      <c r="A1266" s="4" t="s">
        <v>3260</v>
      </c>
      <c r="B1266" s="5" t="s">
        <v>3261</v>
      </c>
      <c r="C1266" s="5" t="s">
        <v>55</v>
      </c>
      <c r="D1266" s="5" t="s">
        <v>56</v>
      </c>
      <c r="E1266" s="5" t="s">
        <v>1829</v>
      </c>
      <c r="F1266" s="9">
        <v>32</v>
      </c>
      <c r="G1266" s="9">
        <v>377</v>
      </c>
      <c r="H1266" s="5" t="s">
        <v>21</v>
      </c>
      <c r="I1266" s="5" t="s">
        <v>3262</v>
      </c>
      <c r="J1266" s="12" t="str">
        <f>HYPERLINK("https://www.boe.es/gazeta/dias/1802/04/20/pdfs/GMD-1802-32.pdf#page=9","Abrir facsímil")</f>
        <v>Abrir facsímil</v>
      </c>
      <c r="K1266" s="15" t="s">
        <v>23</v>
      </c>
    </row>
    <row r="1267" spans="1:11" ht="42" customHeight="1">
      <c r="A1267" s="4" t="s">
        <v>3263</v>
      </c>
      <c r="B1267" s="5" t="s">
        <v>3264</v>
      </c>
      <c r="C1267" s="5" t="s">
        <v>18</v>
      </c>
      <c r="D1267" s="5" t="s">
        <v>19</v>
      </c>
      <c r="E1267" s="5" t="s">
        <v>232</v>
      </c>
      <c r="F1267" s="9">
        <v>30</v>
      </c>
      <c r="G1267" s="9">
        <v>349</v>
      </c>
      <c r="H1267" s="5" t="s">
        <v>21</v>
      </c>
      <c r="I1267" s="5" t="s">
        <v>3265</v>
      </c>
      <c r="J1267" s="12" t="str">
        <f>HYPERLINK("https://www.boe.es/gazeta/dias/1802/04/13/pdfs/GMD-1802-30.pdf#page=5","Abrir facsímil")</f>
        <v>Abrir facsímil</v>
      </c>
      <c r="K1267" s="15" t="s">
        <v>23</v>
      </c>
    </row>
    <row r="1268" spans="1:11" ht="42" customHeight="1">
      <c r="A1268" s="4" t="s">
        <v>3266</v>
      </c>
      <c r="B1268" s="5" t="s">
        <v>3267</v>
      </c>
      <c r="C1268" s="5" t="s">
        <v>55</v>
      </c>
      <c r="D1268" s="5" t="s">
        <v>56</v>
      </c>
      <c r="E1268" s="5" t="s">
        <v>1113</v>
      </c>
      <c r="F1268" s="9">
        <v>6</v>
      </c>
      <c r="G1268" s="9">
        <v>60</v>
      </c>
      <c r="H1268" s="5" t="s">
        <v>21</v>
      </c>
      <c r="I1268" s="5" t="s">
        <v>3268</v>
      </c>
      <c r="J1268" s="12" t="str">
        <f>HYPERLINK("https://www.boe.es/gazeta/dias/1802/01/19/pdfs/GMD-1802-6.pdf#page=8","Abrir facsímil")</f>
        <v>Abrir facsímil</v>
      </c>
      <c r="K1268" s="15" t="s">
        <v>23</v>
      </c>
    </row>
    <row r="1269" spans="1:11" ht="42" customHeight="1">
      <c r="A1269" s="4" t="s">
        <v>3269</v>
      </c>
      <c r="B1269" s="5" t="s">
        <v>3270</v>
      </c>
      <c r="C1269" s="5" t="s">
        <v>35</v>
      </c>
      <c r="D1269" s="5" t="s">
        <v>36</v>
      </c>
      <c r="E1269" s="5" t="s">
        <v>71</v>
      </c>
      <c r="F1269" s="9">
        <v>21</v>
      </c>
      <c r="G1269" s="9">
        <v>226</v>
      </c>
      <c r="H1269" s="5" t="s">
        <v>21</v>
      </c>
      <c r="I1269" s="5" t="s">
        <v>3271</v>
      </c>
      <c r="J1269" s="12" t="str">
        <f>HYPERLINK("https://www.boe.es/gazeta/dias/1802/03/12/pdfs/GMD-1802-21.pdf#page=2","Abrir facsímil")</f>
        <v>Abrir facsímil</v>
      </c>
      <c r="K1269" s="15" t="s">
        <v>23</v>
      </c>
    </row>
    <row r="1270" spans="1:11" ht="42" customHeight="1">
      <c r="A1270" s="4" t="s">
        <v>3272</v>
      </c>
      <c r="B1270" s="5" t="s">
        <v>3273</v>
      </c>
      <c r="C1270" s="5" t="s">
        <v>35</v>
      </c>
      <c r="D1270" s="5" t="s">
        <v>36</v>
      </c>
      <c r="E1270" s="5" t="s">
        <v>436</v>
      </c>
      <c r="F1270" s="9">
        <v>58</v>
      </c>
      <c r="G1270" s="9">
        <v>696</v>
      </c>
      <c r="H1270" s="5" t="s">
        <v>21</v>
      </c>
      <c r="I1270" s="5" t="s">
        <v>3274</v>
      </c>
      <c r="J1270" s="12" t="str">
        <f>HYPERLINK("https://www.boe.es/gazeta/dias/1802/07/20/pdfs/GMD-1802-58.pdf#page=4","Abrir facsímil")</f>
        <v>Abrir facsímil</v>
      </c>
      <c r="K1270" s="15" t="s">
        <v>23</v>
      </c>
    </row>
    <row r="1271" spans="1:11" ht="42" customHeight="1">
      <c r="A1271" s="4" t="s">
        <v>3275</v>
      </c>
      <c r="B1271" s="5" t="s">
        <v>3276</v>
      </c>
      <c r="C1271" s="5" t="s">
        <v>29</v>
      </c>
      <c r="D1271" s="5" t="s">
        <v>30</v>
      </c>
      <c r="E1271" s="5" t="s">
        <v>886</v>
      </c>
      <c r="F1271" s="9">
        <v>7</v>
      </c>
      <c r="G1271" s="9">
        <v>68</v>
      </c>
      <c r="H1271" s="5" t="s">
        <v>21</v>
      </c>
      <c r="I1271" s="5" t="s">
        <v>3277</v>
      </c>
      <c r="J1271" s="12" t="str">
        <f>HYPERLINK("https://www.boe.es/gazeta/dias/1802/01/22/pdfs/GMD-1802-7.pdf#page=8","Abrir facsímil")</f>
        <v>Abrir facsímil</v>
      </c>
      <c r="K1271" s="15" t="s">
        <v>23</v>
      </c>
    </row>
    <row r="1272" spans="1:11" ht="42" customHeight="1">
      <c r="A1272" s="4" t="s">
        <v>3278</v>
      </c>
      <c r="B1272" s="5" t="s">
        <v>3279</v>
      </c>
      <c r="C1272" s="5" t="s">
        <v>18</v>
      </c>
      <c r="D1272" s="5" t="s">
        <v>19</v>
      </c>
      <c r="E1272" s="5" t="s">
        <v>82</v>
      </c>
      <c r="F1272" s="9">
        <v>74</v>
      </c>
      <c r="G1272" s="9">
        <v>914</v>
      </c>
      <c r="H1272" s="5" t="s">
        <v>21</v>
      </c>
      <c r="I1272" s="5" t="s">
        <v>3280</v>
      </c>
      <c r="J1272" s="12" t="str">
        <f>HYPERLINK("https://www.boe.es/gazeta/dias/1802/09/10/pdfs/GMD-1802-74.pdf#page=10","Abrir facsímil")</f>
        <v>Abrir facsímil</v>
      </c>
      <c r="K1272" s="15" t="s">
        <v>23</v>
      </c>
    </row>
    <row r="1273" spans="1:11" ht="42" customHeight="1">
      <c r="A1273" s="4" t="s">
        <v>3281</v>
      </c>
      <c r="B1273" s="5" t="s">
        <v>3282</v>
      </c>
      <c r="C1273" s="5" t="s">
        <v>42</v>
      </c>
      <c r="D1273" s="5" t="s">
        <v>43</v>
      </c>
      <c r="E1273" s="5" t="s">
        <v>44</v>
      </c>
      <c r="F1273" s="9">
        <v>99</v>
      </c>
      <c r="G1273" s="9" t="s">
        <v>78</v>
      </c>
      <c r="H1273" s="5" t="s">
        <v>21</v>
      </c>
      <c r="I1273" s="5" t="s">
        <v>3283</v>
      </c>
      <c r="J1273" s="12" t="str">
        <f>HYPERLINK("https://www.boe.es/gazeta/dias/1802/12/07/pdfs/GMD-D-1802-99.pdf#page=15","Abrir facsímil")</f>
        <v>Abrir facsímil</v>
      </c>
      <c r="K1273" s="15" t="s">
        <v>23</v>
      </c>
    </row>
    <row r="1274" spans="1:11" ht="42" customHeight="1">
      <c r="A1274" s="4" t="s">
        <v>3284</v>
      </c>
      <c r="B1274" s="5" t="s">
        <v>3284</v>
      </c>
      <c r="C1274" s="5" t="s">
        <v>55</v>
      </c>
      <c r="D1274" s="5" t="s">
        <v>56</v>
      </c>
      <c r="E1274" s="5" t="s">
        <v>751</v>
      </c>
      <c r="F1274" s="9">
        <v>98</v>
      </c>
      <c r="G1274" s="9">
        <v>1215</v>
      </c>
      <c r="H1274" s="5" t="s">
        <v>21</v>
      </c>
      <c r="I1274" s="5" t="s">
        <v>3285</v>
      </c>
      <c r="J1274" s="12" t="str">
        <f>HYPERLINK("https://www.boe.es/gazeta/dias/1802/12/03/pdfs/GMD-1802-98.pdf#page=11","Abrir facsímil")</f>
        <v>Abrir facsímil</v>
      </c>
      <c r="K1274" s="15" t="s">
        <v>23</v>
      </c>
    </row>
    <row r="1275" spans="1:11" ht="42" customHeight="1">
      <c r="A1275" s="4" t="s">
        <v>3286</v>
      </c>
      <c r="B1275" s="5" t="s">
        <v>3287</v>
      </c>
      <c r="C1275" s="5" t="s">
        <v>18</v>
      </c>
      <c r="D1275" s="5" t="s">
        <v>19</v>
      </c>
      <c r="E1275" s="5" t="s">
        <v>1374</v>
      </c>
      <c r="F1275" s="9">
        <v>71</v>
      </c>
      <c r="G1275" s="9">
        <v>874</v>
      </c>
      <c r="H1275" s="5" t="s">
        <v>21</v>
      </c>
      <c r="I1275" s="5" t="s">
        <v>3288</v>
      </c>
      <c r="J1275" s="12" t="str">
        <f>HYPERLINK("https://www.boe.es/gazeta/dias/1802/08/31/pdfs/GMD-1802-71.pdf#page=10","Abrir facsímil")</f>
        <v>Abrir facsímil</v>
      </c>
      <c r="K1275" s="15" t="s">
        <v>23</v>
      </c>
    </row>
    <row r="1276" spans="1:11" ht="42" customHeight="1">
      <c r="A1276" s="4" t="s">
        <v>3286</v>
      </c>
      <c r="B1276" s="5" t="s">
        <v>3287</v>
      </c>
      <c r="C1276" s="5" t="s">
        <v>18</v>
      </c>
      <c r="D1276" s="5" t="s">
        <v>19</v>
      </c>
      <c r="E1276" s="5" t="s">
        <v>1289</v>
      </c>
      <c r="F1276" s="9">
        <v>72</v>
      </c>
      <c r="G1276" s="9">
        <v>888</v>
      </c>
      <c r="H1276" s="5" t="s">
        <v>21</v>
      </c>
      <c r="I1276" s="5" t="s">
        <v>3289</v>
      </c>
      <c r="J1276" s="12" t="str">
        <f>HYPERLINK("https://www.boe.es/gazeta/dias/1802/09/03/pdfs/GMD-1802-72.pdf#page=8","Abrir facsímil")</f>
        <v>Abrir facsímil</v>
      </c>
      <c r="K1276" s="15" t="s">
        <v>23</v>
      </c>
    </row>
    <row r="1277" spans="1:11" ht="42" customHeight="1">
      <c r="A1277" s="4" t="s">
        <v>3290</v>
      </c>
      <c r="B1277" s="5" t="s">
        <v>3291</v>
      </c>
      <c r="C1277" s="5" t="s">
        <v>160</v>
      </c>
      <c r="D1277" s="5" t="s">
        <v>91</v>
      </c>
      <c r="E1277" s="5" t="s">
        <v>481</v>
      </c>
      <c r="F1277" s="9">
        <v>79</v>
      </c>
      <c r="G1277" s="9">
        <v>975</v>
      </c>
      <c r="H1277" s="5" t="s">
        <v>21</v>
      </c>
      <c r="I1277" s="5" t="s">
        <v>3292</v>
      </c>
      <c r="J1277" s="12" t="str">
        <f>HYPERLINK("https://www.boe.es/gazeta/dias/1802/09/28/pdfs/GMD-1802-79.pdf#page=11","Abrir facsímil")</f>
        <v>Abrir facsímil</v>
      </c>
      <c r="K1277" s="15" t="s">
        <v>23</v>
      </c>
    </row>
    <row r="1278" spans="1:11" ht="42" customHeight="1">
      <c r="A1278" s="4" t="s">
        <v>3293</v>
      </c>
      <c r="B1278" s="5" t="s">
        <v>3294</v>
      </c>
      <c r="C1278" s="5" t="s">
        <v>29</v>
      </c>
      <c r="D1278" s="5" t="s">
        <v>30</v>
      </c>
      <c r="E1278" s="5" t="s">
        <v>44</v>
      </c>
      <c r="F1278" s="9">
        <v>99</v>
      </c>
      <c r="G1278" s="9">
        <v>1217</v>
      </c>
      <c r="H1278" s="5" t="s">
        <v>21</v>
      </c>
      <c r="I1278" s="5" t="s">
        <v>3295</v>
      </c>
      <c r="J1278" s="12" t="str">
        <f>HYPERLINK("https://www.boe.es/gazeta/dias/1802/12/07/pdfs/GMD-1802-99.pdf#page=1","Abrir facsímil")</f>
        <v>Abrir facsímil</v>
      </c>
      <c r="K1278" s="15" t="s">
        <v>23</v>
      </c>
    </row>
    <row r="1279" spans="1:11" ht="42" customHeight="1">
      <c r="A1279" s="4" t="s">
        <v>3296</v>
      </c>
      <c r="B1279" s="5" t="s">
        <v>3297</v>
      </c>
      <c r="C1279" s="5" t="s">
        <v>35</v>
      </c>
      <c r="D1279" s="5" t="s">
        <v>36</v>
      </c>
      <c r="E1279" s="5" t="s">
        <v>385</v>
      </c>
      <c r="F1279" s="9">
        <v>70</v>
      </c>
      <c r="G1279" s="9">
        <v>862</v>
      </c>
      <c r="H1279" s="5" t="s">
        <v>21</v>
      </c>
      <c r="I1279" s="5" t="s">
        <v>3298</v>
      </c>
      <c r="J1279" s="12" t="str">
        <f>HYPERLINK("https://www.boe.es/gazeta/dias/1802/08/27/pdfs/GMD-1802-70.pdf#page=10","Abrir facsímil")</f>
        <v>Abrir facsímil</v>
      </c>
      <c r="K1279" s="15" t="s">
        <v>23</v>
      </c>
    </row>
    <row r="1280" spans="1:11" ht="42" customHeight="1">
      <c r="A1280" s="4" t="s">
        <v>3299</v>
      </c>
      <c r="B1280" s="5" t="s">
        <v>3299</v>
      </c>
      <c r="C1280" s="5" t="s">
        <v>18</v>
      </c>
      <c r="D1280" s="5" t="s">
        <v>19</v>
      </c>
      <c r="E1280" s="5" t="s">
        <v>814</v>
      </c>
      <c r="F1280" s="9">
        <v>41</v>
      </c>
      <c r="G1280" s="9">
        <v>489</v>
      </c>
      <c r="H1280" s="5" t="s">
        <v>21</v>
      </c>
      <c r="I1280" s="5" t="s">
        <v>3300</v>
      </c>
      <c r="J1280" s="12" t="str">
        <f>HYPERLINK("https://www.boe.es/gazeta/dias/1802/05/21/pdfs/GMD-1802-41.pdf#page=5","Abrir facsímil")</f>
        <v>Abrir facsímil</v>
      </c>
      <c r="K1280" s="15" t="s">
        <v>23</v>
      </c>
    </row>
    <row r="1281" spans="1:11" ht="42" customHeight="1">
      <c r="A1281" s="4" t="s">
        <v>3301</v>
      </c>
      <c r="B1281" s="5" t="s">
        <v>3301</v>
      </c>
      <c r="C1281" s="5" t="s">
        <v>18</v>
      </c>
      <c r="D1281" s="5" t="s">
        <v>19</v>
      </c>
      <c r="E1281" s="5" t="s">
        <v>175</v>
      </c>
      <c r="F1281" s="9">
        <v>37</v>
      </c>
      <c r="G1281" s="9">
        <v>444</v>
      </c>
      <c r="H1281" s="5" t="s">
        <v>21</v>
      </c>
      <c r="I1281" s="5" t="s">
        <v>3302</v>
      </c>
      <c r="J1281" s="12" t="str">
        <f>HYPERLINK("https://www.boe.es/gazeta/dias/1802/05/07/pdfs/GMD-1802-37.pdf#page=12","Abrir facsímil")</f>
        <v>Abrir facsímil</v>
      </c>
      <c r="K1281" s="15" t="s">
        <v>23</v>
      </c>
    </row>
    <row r="1282" spans="1:11" ht="42" customHeight="1">
      <c r="A1282" s="4" t="s">
        <v>3303</v>
      </c>
      <c r="B1282" s="5" t="s">
        <v>3304</v>
      </c>
      <c r="C1282" s="5" t="s">
        <v>160</v>
      </c>
      <c r="D1282" s="5" t="s">
        <v>91</v>
      </c>
      <c r="E1282" s="5" t="s">
        <v>299</v>
      </c>
      <c r="F1282" s="9">
        <v>19</v>
      </c>
      <c r="G1282" s="9">
        <v>208</v>
      </c>
      <c r="H1282" s="5" t="s">
        <v>21</v>
      </c>
      <c r="I1282" s="5" t="s">
        <v>3305</v>
      </c>
      <c r="J1282" s="12" t="str">
        <f>HYPERLINK("https://www.boe.es/gazeta/dias/1802/03/05/pdfs/GMD-1802-19.pdf#page=8","Abrir facsímil")</f>
        <v>Abrir facsímil</v>
      </c>
      <c r="K1282" s="15" t="s">
        <v>23</v>
      </c>
    </row>
    <row r="1283" spans="1:11" ht="42" customHeight="1">
      <c r="A1283" s="4" t="s">
        <v>3306</v>
      </c>
      <c r="B1283" s="5" t="s">
        <v>3307</v>
      </c>
      <c r="C1283" s="5" t="s">
        <v>29</v>
      </c>
      <c r="D1283" s="5" t="s">
        <v>30</v>
      </c>
      <c r="E1283" s="5" t="s">
        <v>670</v>
      </c>
      <c r="F1283" s="9">
        <v>40</v>
      </c>
      <c r="G1283" s="9">
        <v>481</v>
      </c>
      <c r="H1283" s="5" t="s">
        <v>21</v>
      </c>
      <c r="I1283" s="5" t="s">
        <v>3308</v>
      </c>
      <c r="J1283" s="12" t="str">
        <f>HYPERLINK("https://www.boe.es/gazeta/dias/1802/05/18/pdfs/GMD-1802-40.pdf#page=9","Abrir facsímil")</f>
        <v>Abrir facsímil</v>
      </c>
      <c r="K1283" s="15" t="s">
        <v>23</v>
      </c>
    </row>
    <row r="1284" spans="1:11" ht="42" customHeight="1">
      <c r="A1284" s="4" t="s">
        <v>3309</v>
      </c>
      <c r="B1284" s="5" t="s">
        <v>3310</v>
      </c>
      <c r="C1284" s="5" t="s">
        <v>18</v>
      </c>
      <c r="D1284" s="5" t="s">
        <v>19</v>
      </c>
      <c r="E1284" s="5" t="s">
        <v>49</v>
      </c>
      <c r="F1284" s="9">
        <v>83</v>
      </c>
      <c r="G1284" s="9">
        <v>1025</v>
      </c>
      <c r="H1284" s="5" t="s">
        <v>21</v>
      </c>
      <c r="I1284" s="5" t="s">
        <v>3311</v>
      </c>
      <c r="J1284" s="12" t="str">
        <f>HYPERLINK("https://www.boe.es/gazeta/dias/1802/10/12/pdfs/GMD-1802-83.pdf#page=13","Abrir facsímil")</f>
        <v>Abrir facsímil</v>
      </c>
      <c r="K1284" s="15" t="s">
        <v>23</v>
      </c>
    </row>
    <row r="1285" spans="1:11" ht="42" customHeight="1">
      <c r="A1285" s="4" t="s">
        <v>3312</v>
      </c>
      <c r="B1285" s="5" t="s">
        <v>3313</v>
      </c>
      <c r="C1285" s="5" t="s">
        <v>35</v>
      </c>
      <c r="D1285" s="5" t="s">
        <v>36</v>
      </c>
      <c r="E1285" s="5" t="s">
        <v>1381</v>
      </c>
      <c r="F1285" s="9">
        <v>17</v>
      </c>
      <c r="G1285" s="9">
        <v>180</v>
      </c>
      <c r="H1285" s="5" t="s">
        <v>21</v>
      </c>
      <c r="I1285" s="5" t="s">
        <v>3314</v>
      </c>
      <c r="J1285" s="12" t="str">
        <f>HYPERLINK("https://www.boe.es/gazeta/dias/1802/02/26/pdfs/GMD-1802-17.pdf#page=4","Abrir facsímil")</f>
        <v>Abrir facsímil</v>
      </c>
      <c r="K1285" s="15" t="s">
        <v>23</v>
      </c>
    </row>
    <row r="1286" spans="1:11" ht="42" customHeight="1">
      <c r="A1286" s="4" t="s">
        <v>3315</v>
      </c>
      <c r="B1286" s="5" t="s">
        <v>3316</v>
      </c>
      <c r="C1286" s="5" t="s">
        <v>29</v>
      </c>
      <c r="D1286" s="5" t="s">
        <v>30</v>
      </c>
      <c r="E1286" s="5" t="s">
        <v>20</v>
      </c>
      <c r="F1286" s="9">
        <v>84</v>
      </c>
      <c r="G1286" s="9">
        <v>1041</v>
      </c>
      <c r="H1286" s="5" t="s">
        <v>21</v>
      </c>
      <c r="I1286" s="5" t="s">
        <v>3317</v>
      </c>
      <c r="J1286" s="12" t="str">
        <f>HYPERLINK("https://www.boe.es/gazeta/dias/1802/10/15/pdfs/GMD-1802-84.pdf#page=9","Abrir facsímil")</f>
        <v>Abrir facsímil</v>
      </c>
      <c r="K1286" s="15" t="s">
        <v>23</v>
      </c>
    </row>
    <row r="1287" spans="1:11" ht="42" customHeight="1">
      <c r="A1287" s="4" t="s">
        <v>3318</v>
      </c>
      <c r="B1287" s="5" t="s">
        <v>3318</v>
      </c>
      <c r="C1287" s="5" t="s">
        <v>18</v>
      </c>
      <c r="D1287" s="5" t="s">
        <v>19</v>
      </c>
      <c r="E1287" s="5" t="s">
        <v>678</v>
      </c>
      <c r="F1287" s="9">
        <v>15</v>
      </c>
      <c r="G1287" s="9">
        <v>155</v>
      </c>
      <c r="H1287" s="5" t="s">
        <v>21</v>
      </c>
      <c r="I1287" s="5" t="s">
        <v>3319</v>
      </c>
      <c r="J1287" s="12" t="str">
        <f>HYPERLINK("https://www.boe.es/gazeta/dias/1802/02/19/pdfs/GMD-1802-15.pdf#page=7","Abrir facsímil")</f>
        <v>Abrir facsímil</v>
      </c>
      <c r="K1287" s="15" t="s">
        <v>23</v>
      </c>
    </row>
    <row r="1288" spans="1:11" ht="42" customHeight="1">
      <c r="A1288" s="4" t="s">
        <v>3318</v>
      </c>
      <c r="B1288" s="5" t="s">
        <v>3318</v>
      </c>
      <c r="C1288" s="5" t="s">
        <v>160</v>
      </c>
      <c r="D1288" s="5" t="s">
        <v>91</v>
      </c>
      <c r="E1288" s="5" t="s">
        <v>678</v>
      </c>
      <c r="F1288" s="9">
        <v>15</v>
      </c>
      <c r="G1288" s="9">
        <v>156</v>
      </c>
      <c r="H1288" s="5" t="s">
        <v>21</v>
      </c>
      <c r="I1288" s="5" t="s">
        <v>3320</v>
      </c>
      <c r="J1288" s="12" t="str">
        <f>HYPERLINK("https://www.boe.es/gazeta/dias/1802/02/19/pdfs/GMD-1802-15.pdf#page=8","Abrir facsímil")</f>
        <v>Abrir facsímil</v>
      </c>
      <c r="K1288" s="15" t="s">
        <v>23</v>
      </c>
    </row>
    <row r="1289" spans="1:11" ht="42" customHeight="1">
      <c r="A1289" s="4" t="s">
        <v>3321</v>
      </c>
      <c r="B1289" s="5" t="s">
        <v>3322</v>
      </c>
      <c r="C1289" s="5" t="s">
        <v>29</v>
      </c>
      <c r="D1289" s="5" t="s">
        <v>30</v>
      </c>
      <c r="E1289" s="5" t="s">
        <v>751</v>
      </c>
      <c r="F1289" s="9">
        <v>98</v>
      </c>
      <c r="G1289" s="9">
        <v>1214</v>
      </c>
      <c r="H1289" s="5" t="s">
        <v>21</v>
      </c>
      <c r="I1289" s="5" t="s">
        <v>3323</v>
      </c>
      <c r="J1289" s="12" t="str">
        <f>HYPERLINK("https://www.boe.es/gazeta/dias/1802/12/03/pdfs/GMD-1802-98.pdf#page=10","Abrir facsímil")</f>
        <v>Abrir facsímil</v>
      </c>
      <c r="K1289" s="15" t="s">
        <v>23</v>
      </c>
    </row>
    <row r="1290" spans="1:11" ht="42" customHeight="1">
      <c r="A1290" s="4" t="s">
        <v>3324</v>
      </c>
      <c r="B1290" s="5" t="s">
        <v>3325</v>
      </c>
      <c r="C1290" s="5" t="s">
        <v>29</v>
      </c>
      <c r="D1290" s="5" t="s">
        <v>30</v>
      </c>
      <c r="E1290" s="5" t="s">
        <v>339</v>
      </c>
      <c r="F1290" s="9">
        <v>39</v>
      </c>
      <c r="G1290" s="9">
        <v>471</v>
      </c>
      <c r="H1290" s="5" t="s">
        <v>21</v>
      </c>
      <c r="I1290" s="5" t="s">
        <v>3326</v>
      </c>
      <c r="J1290" s="12" t="str">
        <f>HYPERLINK("https://www.boe.es/gazeta/dias/1802/05/14/pdfs/GMD-1802-39.pdf#page=15","Abrir facsímil")</f>
        <v>Abrir facsímil</v>
      </c>
      <c r="K1290" s="15" t="s">
        <v>23</v>
      </c>
    </row>
    <row r="1291" spans="1:11" ht="42" customHeight="1">
      <c r="A1291" s="4" t="s">
        <v>3324</v>
      </c>
      <c r="B1291" s="5" t="s">
        <v>3325</v>
      </c>
      <c r="C1291" s="5" t="s">
        <v>160</v>
      </c>
      <c r="D1291" s="5" t="s">
        <v>91</v>
      </c>
      <c r="E1291" s="5" t="s">
        <v>749</v>
      </c>
      <c r="F1291" s="9">
        <v>97</v>
      </c>
      <c r="G1291" s="9">
        <v>1202</v>
      </c>
      <c r="H1291" s="5" t="s">
        <v>21</v>
      </c>
      <c r="I1291" s="5" t="s">
        <v>3327</v>
      </c>
      <c r="J1291" s="12" t="str">
        <f>HYPERLINK("https://www.boe.es/gazeta/dias/1802/11/30/pdfs/GMD-1802-97.pdf#page=10","Abrir facsímil")</f>
        <v>Abrir facsímil</v>
      </c>
      <c r="K1291" s="15" t="s">
        <v>23</v>
      </c>
    </row>
    <row r="1292" spans="1:11" ht="42" customHeight="1">
      <c r="A1292" s="4" t="s">
        <v>3328</v>
      </c>
      <c r="B1292" s="5" t="s">
        <v>3329</v>
      </c>
      <c r="C1292" s="5" t="s">
        <v>18</v>
      </c>
      <c r="D1292" s="5" t="s">
        <v>19</v>
      </c>
      <c r="E1292" s="5" t="s">
        <v>49</v>
      </c>
      <c r="F1292" s="9">
        <v>83</v>
      </c>
      <c r="G1292" s="9">
        <v>1022</v>
      </c>
      <c r="H1292" s="5" t="s">
        <v>21</v>
      </c>
      <c r="I1292" s="5" t="s">
        <v>3330</v>
      </c>
      <c r="J1292" s="12" t="str">
        <f>HYPERLINK("https://www.boe.es/gazeta/dias/1802/10/12/pdfs/GMD-1802-83.pdf#page=10","Abrir facsímil")</f>
        <v>Abrir facsímil</v>
      </c>
      <c r="K1292" s="15" t="s">
        <v>23</v>
      </c>
    </row>
    <row r="1293" spans="1:11" ht="42" customHeight="1">
      <c r="A1293" s="4" t="s">
        <v>3331</v>
      </c>
      <c r="B1293" s="5" t="s">
        <v>3332</v>
      </c>
      <c r="C1293" s="5" t="s">
        <v>18</v>
      </c>
      <c r="D1293" s="5" t="s">
        <v>19</v>
      </c>
      <c r="E1293" s="5" t="s">
        <v>429</v>
      </c>
      <c r="F1293" s="9">
        <v>91</v>
      </c>
      <c r="G1293" s="9">
        <v>1130</v>
      </c>
      <c r="H1293" s="5" t="s">
        <v>21</v>
      </c>
      <c r="I1293" s="5" t="s">
        <v>3333</v>
      </c>
      <c r="J1293" s="12" t="str">
        <f>HYPERLINK("https://www.boe.es/gazeta/dias/1802/11/09/pdfs/GMD-1802-91.pdf#page=10","Abrir facsímil")</f>
        <v>Abrir facsímil</v>
      </c>
      <c r="K1293" s="15" t="s">
        <v>23</v>
      </c>
    </row>
    <row r="1294" spans="1:11" ht="42" customHeight="1">
      <c r="A1294" s="4" t="s">
        <v>3334</v>
      </c>
      <c r="B1294" s="5" t="s">
        <v>3335</v>
      </c>
      <c r="C1294" s="5" t="s">
        <v>90</v>
      </c>
      <c r="D1294" s="5" t="s">
        <v>91</v>
      </c>
      <c r="E1294" s="5" t="s">
        <v>121</v>
      </c>
      <c r="F1294" s="9">
        <v>87</v>
      </c>
      <c r="G1294" s="9">
        <v>1081</v>
      </c>
      <c r="H1294" s="5" t="s">
        <v>21</v>
      </c>
      <c r="I1294" s="5" t="s">
        <v>3336</v>
      </c>
      <c r="J1294" s="12" t="str">
        <f>HYPERLINK("https://www.boe.es/gazeta/dias/1802/10/26/pdfs/GMD-1802-87.pdf#page=9","Abrir facsímil")</f>
        <v>Abrir facsímil</v>
      </c>
      <c r="K1294" s="15" t="s">
        <v>23</v>
      </c>
    </row>
    <row r="1295" spans="1:11" ht="42" customHeight="1">
      <c r="A1295" s="4" t="s">
        <v>3337</v>
      </c>
      <c r="B1295" s="5" t="s">
        <v>3337</v>
      </c>
      <c r="C1295" s="5" t="s">
        <v>55</v>
      </c>
      <c r="D1295" s="5" t="s">
        <v>56</v>
      </c>
      <c r="E1295" s="5" t="s">
        <v>71</v>
      </c>
      <c r="F1295" s="9">
        <v>21</v>
      </c>
      <c r="G1295" s="9">
        <v>227</v>
      </c>
      <c r="H1295" s="5" t="s">
        <v>21</v>
      </c>
      <c r="I1295" s="5" t="s">
        <v>3338</v>
      </c>
      <c r="J1295" s="12" t="str">
        <f>HYPERLINK("https://www.boe.es/gazeta/dias/1802/03/12/pdfs/GMD-1802-21.pdf#page=3","Abrir facsímil")</f>
        <v>Abrir facsímil</v>
      </c>
      <c r="K1295" s="15" t="s">
        <v>23</v>
      </c>
    </row>
    <row r="1296" spans="1:11" ht="42" customHeight="1">
      <c r="A1296" s="4" t="s">
        <v>3339</v>
      </c>
      <c r="B1296" s="5" t="s">
        <v>3339</v>
      </c>
      <c r="C1296" s="5" t="s">
        <v>90</v>
      </c>
      <c r="D1296" s="5" t="s">
        <v>91</v>
      </c>
      <c r="E1296" s="5" t="s">
        <v>86</v>
      </c>
      <c r="F1296" s="9">
        <v>26</v>
      </c>
      <c r="G1296" s="9">
        <v>296</v>
      </c>
      <c r="H1296" s="5" t="s">
        <v>21</v>
      </c>
      <c r="I1296" s="5" t="s">
        <v>3340</v>
      </c>
      <c r="J1296" s="12" t="str">
        <f>HYPERLINK("https://www.boe.es/gazeta/dias/1802/03/30/pdfs/GMD-1802-26.pdf#page=8","Abrir facsímil")</f>
        <v>Abrir facsímil</v>
      </c>
      <c r="K1296" s="15" t="s">
        <v>23</v>
      </c>
    </row>
    <row r="1297" spans="1:11" ht="42" customHeight="1">
      <c r="A1297" s="4" t="s">
        <v>3341</v>
      </c>
      <c r="B1297" s="5" t="s">
        <v>3341</v>
      </c>
      <c r="C1297" s="5" t="s">
        <v>35</v>
      </c>
      <c r="D1297" s="5" t="s">
        <v>36</v>
      </c>
      <c r="E1297" s="5" t="s">
        <v>389</v>
      </c>
      <c r="F1297" s="9">
        <v>96</v>
      </c>
      <c r="G1297" s="9">
        <v>1182</v>
      </c>
      <c r="H1297" s="5" t="s">
        <v>21</v>
      </c>
      <c r="I1297" s="5" t="s">
        <v>3342</v>
      </c>
      <c r="J1297" s="12" t="str">
        <f>HYPERLINK("https://www.boe.es/gazeta/dias/1802/11/26/pdfs/GMD-1802-96.pdf#page=2","Abrir facsímil")</f>
        <v>Abrir facsímil</v>
      </c>
      <c r="K1297" s="15" t="s">
        <v>23</v>
      </c>
    </row>
    <row r="1298" spans="1:11" ht="42" customHeight="1">
      <c r="A1298" s="4" t="s">
        <v>3343</v>
      </c>
      <c r="B1298" s="5" t="s">
        <v>3343</v>
      </c>
      <c r="C1298" s="5" t="s">
        <v>35</v>
      </c>
      <c r="D1298" s="5" t="s">
        <v>36</v>
      </c>
      <c r="E1298" s="5" t="s">
        <v>611</v>
      </c>
      <c r="F1298" s="9">
        <v>68</v>
      </c>
      <c r="G1298" s="9">
        <v>826</v>
      </c>
      <c r="H1298" s="5" t="s">
        <v>21</v>
      </c>
      <c r="I1298" s="5" t="s">
        <v>3344</v>
      </c>
      <c r="J1298" s="12" t="str">
        <f>HYPERLINK("https://www.boe.es/gazeta/dias/1802/08/20/pdfs/GMD-1802-68.pdf#page=2","Abrir facsímil")</f>
        <v>Abrir facsímil</v>
      </c>
      <c r="K1298" s="15" t="s">
        <v>23</v>
      </c>
    </row>
    <row r="1299" spans="1:11" ht="42" customHeight="1">
      <c r="A1299" s="4" t="s">
        <v>3345</v>
      </c>
      <c r="B1299" s="5" t="s">
        <v>3345</v>
      </c>
      <c r="C1299" s="5" t="s">
        <v>160</v>
      </c>
      <c r="D1299" s="5" t="s">
        <v>91</v>
      </c>
      <c r="E1299" s="5" t="s">
        <v>590</v>
      </c>
      <c r="F1299" s="9">
        <v>38</v>
      </c>
      <c r="G1299" s="9">
        <v>446</v>
      </c>
      <c r="H1299" s="5" t="s">
        <v>21</v>
      </c>
      <c r="I1299" s="5" t="s">
        <v>3346</v>
      </c>
      <c r="J1299" s="12" t="str">
        <f>HYPERLINK("https://www.boe.es/gazeta/dias/1802/05/11/pdfs/GMD-1802-38.pdf#page=2","Abrir facsímil")</f>
        <v>Abrir facsímil</v>
      </c>
      <c r="K1299" s="15" t="s">
        <v>23</v>
      </c>
    </row>
    <row r="1300" spans="1:11" ht="42" customHeight="1">
      <c r="A1300" s="4" t="s">
        <v>3347</v>
      </c>
      <c r="B1300" s="5" t="s">
        <v>3347</v>
      </c>
      <c r="C1300" s="5" t="s">
        <v>29</v>
      </c>
      <c r="D1300" s="5" t="s">
        <v>30</v>
      </c>
      <c r="E1300" s="5" t="s">
        <v>299</v>
      </c>
      <c r="F1300" s="9">
        <v>19</v>
      </c>
      <c r="G1300" s="9">
        <v>211</v>
      </c>
      <c r="H1300" s="5" t="s">
        <v>21</v>
      </c>
      <c r="I1300" s="5" t="s">
        <v>3348</v>
      </c>
      <c r="J1300" s="12" t="str">
        <f>HYPERLINK("https://www.boe.es/gazeta/dias/1802/03/05/pdfs/GMD-1802-19.pdf#page=11","Abrir facsímil")</f>
        <v>Abrir facsímil</v>
      </c>
      <c r="K1300" s="15" t="s">
        <v>23</v>
      </c>
    </row>
    <row r="1301" spans="1:11" ht="42" customHeight="1">
      <c r="A1301" s="4" t="s">
        <v>3349</v>
      </c>
      <c r="B1301" s="5" t="s">
        <v>3349</v>
      </c>
      <c r="C1301" s="5" t="s">
        <v>35</v>
      </c>
      <c r="D1301" s="5" t="s">
        <v>36</v>
      </c>
      <c r="E1301" s="5" t="s">
        <v>311</v>
      </c>
      <c r="F1301" s="9">
        <v>88</v>
      </c>
      <c r="G1301" s="9">
        <v>1089</v>
      </c>
      <c r="H1301" s="5" t="s">
        <v>21</v>
      </c>
      <c r="I1301" s="5" t="s">
        <v>3350</v>
      </c>
      <c r="J1301" s="12" t="str">
        <f>HYPERLINK("https://www.boe.es/gazeta/dias/1802/10/29/pdfs/GMD-1802-88.pdf#page=5","Abrir facsímil")</f>
        <v>Abrir facsímil</v>
      </c>
      <c r="K1301" s="15" t="s">
        <v>23</v>
      </c>
    </row>
    <row r="1302" spans="1:11" ht="42" customHeight="1">
      <c r="A1302" s="4" t="s">
        <v>3351</v>
      </c>
      <c r="B1302" s="5" t="s">
        <v>3352</v>
      </c>
      <c r="C1302" s="5" t="s">
        <v>18</v>
      </c>
      <c r="D1302" s="5" t="s">
        <v>19</v>
      </c>
      <c r="E1302" s="5" t="s">
        <v>764</v>
      </c>
      <c r="F1302" s="9">
        <v>69</v>
      </c>
      <c r="G1302" s="9">
        <v>849</v>
      </c>
      <c r="H1302" s="5" t="s">
        <v>21</v>
      </c>
      <c r="I1302" s="5" t="s">
        <v>3353</v>
      </c>
      <c r="J1302" s="12" t="str">
        <f>HYPERLINK("https://www.boe.es/gazeta/dias/1802/08/24/pdfs/GMD-1802-69.pdf#page=9","Abrir facsímil")</f>
        <v>Abrir facsímil</v>
      </c>
      <c r="K1302" s="15" t="s">
        <v>23</v>
      </c>
    </row>
    <row r="1303" spans="1:11" ht="42" customHeight="1">
      <c r="A1303" s="4" t="s">
        <v>3351</v>
      </c>
      <c r="B1303" s="5" t="s">
        <v>3352</v>
      </c>
      <c r="C1303" s="5" t="s">
        <v>29</v>
      </c>
      <c r="D1303" s="5" t="s">
        <v>30</v>
      </c>
      <c r="E1303" s="5" t="s">
        <v>385</v>
      </c>
      <c r="F1303" s="9">
        <v>70</v>
      </c>
      <c r="G1303" s="9">
        <v>862</v>
      </c>
      <c r="H1303" s="5" t="s">
        <v>21</v>
      </c>
      <c r="I1303" s="5" t="s">
        <v>3354</v>
      </c>
      <c r="J1303" s="12" t="str">
        <f>HYPERLINK("https://www.boe.es/gazeta/dias/1802/08/27/pdfs/GMD-1802-70.pdf#page=10","Abrir facsímil")</f>
        <v>Abrir facsímil</v>
      </c>
      <c r="K1303" s="15" t="s">
        <v>23</v>
      </c>
    </row>
    <row r="1304" spans="1:11" ht="42" customHeight="1">
      <c r="A1304" s="4" t="s">
        <v>3355</v>
      </c>
      <c r="B1304" s="5" t="s">
        <v>3355</v>
      </c>
      <c r="C1304" s="5" t="s">
        <v>29</v>
      </c>
      <c r="D1304" s="5" t="s">
        <v>30</v>
      </c>
      <c r="E1304" s="5" t="s">
        <v>611</v>
      </c>
      <c r="F1304" s="9">
        <v>68</v>
      </c>
      <c r="G1304" s="9">
        <v>834</v>
      </c>
      <c r="H1304" s="5" t="s">
        <v>21</v>
      </c>
      <c r="I1304" s="5" t="s">
        <v>3356</v>
      </c>
      <c r="J1304" s="12" t="str">
        <f>HYPERLINK("https://www.boe.es/gazeta/dias/1802/08/20/pdfs/GMD-1802-68.pdf#page=10","Abrir facsímil")</f>
        <v>Abrir facsímil</v>
      </c>
      <c r="K1304" s="15" t="s">
        <v>23</v>
      </c>
    </row>
    <row r="1305" spans="1:11" ht="42" customHeight="1">
      <c r="A1305" s="4" t="s">
        <v>3357</v>
      </c>
      <c r="B1305" s="5" t="s">
        <v>3357</v>
      </c>
      <c r="C1305" s="5" t="s">
        <v>18</v>
      </c>
      <c r="D1305" s="5" t="s">
        <v>19</v>
      </c>
      <c r="E1305" s="5" t="s">
        <v>206</v>
      </c>
      <c r="F1305" s="9">
        <v>22</v>
      </c>
      <c r="G1305" s="9">
        <v>238</v>
      </c>
      <c r="H1305" s="5" t="s">
        <v>21</v>
      </c>
      <c r="I1305" s="5" t="s">
        <v>3358</v>
      </c>
      <c r="J1305" s="12" t="str">
        <f>HYPERLINK("https://www.boe.es/gazeta/dias/1802/03/16/pdfs/GMD-1802-22.pdf#page=6","Abrir facsímil")</f>
        <v>Abrir facsímil</v>
      </c>
      <c r="K1305" s="15" t="s">
        <v>23</v>
      </c>
    </row>
    <row r="1306" spans="1:11" ht="42" customHeight="1">
      <c r="A1306" s="4" t="s">
        <v>3359</v>
      </c>
      <c r="B1306" s="5" t="s">
        <v>3359</v>
      </c>
      <c r="C1306" s="5" t="s">
        <v>18</v>
      </c>
      <c r="D1306" s="5" t="s">
        <v>19</v>
      </c>
      <c r="E1306" s="5" t="s">
        <v>678</v>
      </c>
      <c r="F1306" s="9">
        <v>15</v>
      </c>
      <c r="G1306" s="9">
        <v>153</v>
      </c>
      <c r="H1306" s="5" t="s">
        <v>21</v>
      </c>
      <c r="I1306" s="5" t="s">
        <v>3360</v>
      </c>
      <c r="J1306" s="12" t="str">
        <f>HYPERLINK("https://www.boe.es/gazeta/dias/1802/02/19/pdfs/GMD-1802-15.pdf#page=5","Abrir facsímil")</f>
        <v>Abrir facsímil</v>
      </c>
      <c r="K1306" s="15" t="s">
        <v>23</v>
      </c>
    </row>
    <row r="1307" spans="1:11" ht="42" customHeight="1">
      <c r="A1307" s="4" t="s">
        <v>3361</v>
      </c>
      <c r="B1307" s="5" t="s">
        <v>3362</v>
      </c>
      <c r="C1307" s="5" t="s">
        <v>29</v>
      </c>
      <c r="D1307" s="5" t="s">
        <v>30</v>
      </c>
      <c r="E1307" s="5" t="s">
        <v>642</v>
      </c>
      <c r="F1307" s="9">
        <v>51</v>
      </c>
      <c r="G1307" s="9">
        <v>623</v>
      </c>
      <c r="H1307" s="5" t="s">
        <v>21</v>
      </c>
      <c r="I1307" s="5" t="s">
        <v>3363</v>
      </c>
      <c r="J1307" s="12" t="str">
        <f>HYPERLINK("https://www.boe.es/gazeta/dias/1802/06/25/pdfs/GMD-1802-51.pdf#page=11","Abrir facsímil")</f>
        <v>Abrir facsímil</v>
      </c>
      <c r="K1307" s="15" t="s">
        <v>23</v>
      </c>
    </row>
    <row r="1308" spans="1:11" ht="42" customHeight="1">
      <c r="A1308" s="4" t="s">
        <v>3364</v>
      </c>
      <c r="B1308" s="5" t="s">
        <v>3365</v>
      </c>
      <c r="C1308" s="5" t="s">
        <v>18</v>
      </c>
      <c r="D1308" s="5" t="s">
        <v>19</v>
      </c>
      <c r="E1308" s="5" t="s">
        <v>25</v>
      </c>
      <c r="F1308" s="9">
        <v>44</v>
      </c>
      <c r="G1308" s="9">
        <v>535</v>
      </c>
      <c r="H1308" s="5" t="s">
        <v>21</v>
      </c>
      <c r="I1308" s="5" t="s">
        <v>3366</v>
      </c>
      <c r="J1308" s="12" t="str">
        <f>HYPERLINK("https://www.boe.es/gazeta/dias/1802/06/01/pdfs/GMD-1802-44.pdf#page=11","Abrir facsímil")</f>
        <v>Abrir facsímil</v>
      </c>
      <c r="K1308" s="15" t="s">
        <v>23</v>
      </c>
    </row>
    <row r="1309" spans="1:11" ht="42" customHeight="1">
      <c r="A1309" s="4" t="s">
        <v>3367</v>
      </c>
      <c r="B1309" s="5" t="s">
        <v>3368</v>
      </c>
      <c r="C1309" s="5" t="s">
        <v>35</v>
      </c>
      <c r="D1309" s="5" t="s">
        <v>36</v>
      </c>
      <c r="E1309" s="5" t="s">
        <v>60</v>
      </c>
      <c r="F1309" s="9">
        <v>5</v>
      </c>
      <c r="G1309" s="9">
        <v>47</v>
      </c>
      <c r="H1309" s="5" t="s">
        <v>21</v>
      </c>
      <c r="I1309" s="5" t="s">
        <v>3369</v>
      </c>
      <c r="J1309" s="12" t="str">
        <f>HYPERLINK("https://www.boe.es/gazeta/dias/1802/01/15/pdfs/GMD-1802-5.pdf#page=3","Abrir facsímil")</f>
        <v>Abrir facsímil</v>
      </c>
      <c r="K1309" s="15" t="s">
        <v>23</v>
      </c>
    </row>
    <row r="1310" spans="1:11" ht="42" customHeight="1">
      <c r="A1310" s="4" t="s">
        <v>3370</v>
      </c>
      <c r="B1310" s="5" t="s">
        <v>3371</v>
      </c>
      <c r="C1310" s="5" t="s">
        <v>35</v>
      </c>
      <c r="D1310" s="5" t="s">
        <v>36</v>
      </c>
      <c r="E1310" s="5" t="s">
        <v>332</v>
      </c>
      <c r="F1310" s="9">
        <v>24</v>
      </c>
      <c r="G1310" s="9">
        <v>265</v>
      </c>
      <c r="H1310" s="5" t="s">
        <v>21</v>
      </c>
      <c r="I1310" s="5" t="s">
        <v>3372</v>
      </c>
      <c r="J1310" s="12" t="str">
        <f>HYPERLINK("https://www.boe.es/gazeta/dias/1802/03/23/pdfs/GMD-1802-24.pdf#page=1","Abrir facsímil")</f>
        <v>Abrir facsímil</v>
      </c>
      <c r="K1310" s="15" t="s">
        <v>23</v>
      </c>
    </row>
    <row r="1311" spans="1:11" ht="42" customHeight="1">
      <c r="A1311" s="4" t="s">
        <v>3373</v>
      </c>
      <c r="B1311" s="5" t="s">
        <v>3374</v>
      </c>
      <c r="C1311" s="5" t="s">
        <v>29</v>
      </c>
      <c r="D1311" s="5" t="s">
        <v>30</v>
      </c>
      <c r="E1311" s="5" t="s">
        <v>339</v>
      </c>
      <c r="F1311" s="9">
        <v>39</v>
      </c>
      <c r="G1311" s="9">
        <v>468</v>
      </c>
      <c r="H1311" s="5" t="s">
        <v>21</v>
      </c>
      <c r="I1311" s="5" t="s">
        <v>3375</v>
      </c>
      <c r="J1311" s="12" t="str">
        <f>HYPERLINK("https://www.boe.es/gazeta/dias/1802/05/14/pdfs/GMD-1802-39.pdf#page=12","Abrir facsímil")</f>
        <v>Abrir facsímil</v>
      </c>
      <c r="K1311" s="15" t="s">
        <v>23</v>
      </c>
    </row>
    <row r="1312" spans="1:11" ht="42" customHeight="1">
      <c r="A1312" s="4" t="s">
        <v>3376</v>
      </c>
      <c r="B1312" s="5" t="s">
        <v>3377</v>
      </c>
      <c r="C1312" s="5" t="s">
        <v>35</v>
      </c>
      <c r="D1312" s="5" t="s">
        <v>36</v>
      </c>
      <c r="E1312" s="5" t="s">
        <v>436</v>
      </c>
      <c r="F1312" s="9">
        <v>58</v>
      </c>
      <c r="G1312" s="9">
        <v>694</v>
      </c>
      <c r="H1312" s="5" t="s">
        <v>21</v>
      </c>
      <c r="I1312" s="5" t="s">
        <v>3378</v>
      </c>
      <c r="J1312" s="12" t="str">
        <f>HYPERLINK("https://www.boe.es/gazeta/dias/1802/07/20/pdfs/GMD-1802-58.pdf#page=2","Abrir facsímil")</f>
        <v>Abrir facsímil</v>
      </c>
      <c r="K1312" s="15" t="s">
        <v>23</v>
      </c>
    </row>
    <row r="1313" spans="1:11" ht="42" customHeight="1">
      <c r="A1313" s="4" t="s">
        <v>3379</v>
      </c>
      <c r="B1313" s="5" t="s">
        <v>3380</v>
      </c>
      <c r="C1313" s="5" t="s">
        <v>90</v>
      </c>
      <c r="D1313" s="5" t="s">
        <v>91</v>
      </c>
      <c r="E1313" s="5" t="s">
        <v>655</v>
      </c>
      <c r="F1313" s="9">
        <v>46</v>
      </c>
      <c r="G1313" s="9">
        <v>550</v>
      </c>
      <c r="H1313" s="5" t="s">
        <v>21</v>
      </c>
      <c r="I1313" s="5" t="s">
        <v>3381</v>
      </c>
      <c r="J1313" s="12" t="str">
        <f>HYPERLINK("https://www.boe.es/gazeta/dias/1802/06/08/pdfs/GMD-1802-46.pdf#page=2","Abrir facsímil")</f>
        <v>Abrir facsímil</v>
      </c>
      <c r="K1313" s="15" t="s">
        <v>23</v>
      </c>
    </row>
    <row r="1314" spans="1:11" ht="42" customHeight="1">
      <c r="A1314" s="4" t="s">
        <v>3382</v>
      </c>
      <c r="B1314" s="5" t="s">
        <v>3383</v>
      </c>
      <c r="C1314" s="5" t="s">
        <v>29</v>
      </c>
      <c r="D1314" s="5" t="s">
        <v>30</v>
      </c>
      <c r="E1314" s="5" t="s">
        <v>247</v>
      </c>
      <c r="F1314" s="9">
        <v>14</v>
      </c>
      <c r="G1314" s="9">
        <v>145</v>
      </c>
      <c r="H1314" s="5" t="s">
        <v>21</v>
      </c>
      <c r="I1314" s="5" t="s">
        <v>3384</v>
      </c>
      <c r="J1314" s="12" t="str">
        <f>HYPERLINK("https://www.boe.es/gazeta/dias/1802/02/16/pdfs/GMD-1802-14.pdf#page=9","Abrir facsímil")</f>
        <v>Abrir facsímil</v>
      </c>
      <c r="K1314" s="15" t="s">
        <v>23</v>
      </c>
    </row>
    <row r="1315" spans="1:11" ht="42" customHeight="1">
      <c r="A1315" s="4" t="s">
        <v>3385</v>
      </c>
      <c r="B1315" s="5" t="s">
        <v>3386</v>
      </c>
      <c r="C1315" s="5" t="s">
        <v>29</v>
      </c>
      <c r="D1315" s="5" t="s">
        <v>30</v>
      </c>
      <c r="E1315" s="5" t="s">
        <v>92</v>
      </c>
      <c r="F1315" s="9">
        <v>29</v>
      </c>
      <c r="G1315" s="9">
        <v>342</v>
      </c>
      <c r="H1315" s="5" t="s">
        <v>21</v>
      </c>
      <c r="I1315" s="5" t="s">
        <v>3387</v>
      </c>
      <c r="J1315" s="12" t="str">
        <f>HYPERLINK("https://www.boe.es/gazeta/dias/1802/04/09/pdfs/GMD-1802-29.pdf#page=10","Abrir facsímil")</f>
        <v>Abrir facsímil</v>
      </c>
      <c r="K1315" s="15" t="s">
        <v>23</v>
      </c>
    </row>
    <row r="1316" spans="1:11" ht="42" customHeight="1">
      <c r="A1316" s="4" t="s">
        <v>3388</v>
      </c>
      <c r="B1316" s="5" t="s">
        <v>3389</v>
      </c>
      <c r="C1316" s="5" t="s">
        <v>160</v>
      </c>
      <c r="D1316" s="5" t="s">
        <v>91</v>
      </c>
      <c r="E1316" s="5" t="s">
        <v>82</v>
      </c>
      <c r="F1316" s="9">
        <v>74</v>
      </c>
      <c r="G1316" s="9">
        <v>908</v>
      </c>
      <c r="H1316" s="5" t="s">
        <v>21</v>
      </c>
      <c r="I1316" s="5" t="s">
        <v>3390</v>
      </c>
      <c r="J1316" s="12" t="str">
        <f>HYPERLINK("https://www.boe.es/gazeta/dias/1802/09/10/pdfs/GMD-1802-74.pdf#page=4","Abrir facsímil")</f>
        <v>Abrir facsímil</v>
      </c>
      <c r="K1316" s="15" t="s">
        <v>23</v>
      </c>
    </row>
    <row r="1317" spans="1:11" ht="42" customHeight="1">
      <c r="A1317" s="4" t="s">
        <v>3391</v>
      </c>
      <c r="B1317" s="5" t="s">
        <v>3392</v>
      </c>
      <c r="C1317" s="5" t="s">
        <v>29</v>
      </c>
      <c r="D1317" s="5" t="s">
        <v>30</v>
      </c>
      <c r="E1317" s="5" t="s">
        <v>389</v>
      </c>
      <c r="F1317" s="9">
        <v>96</v>
      </c>
      <c r="G1317" s="9">
        <v>1182</v>
      </c>
      <c r="H1317" s="5" t="s">
        <v>21</v>
      </c>
      <c r="I1317" s="5" t="s">
        <v>3393</v>
      </c>
      <c r="J1317" s="12" t="str">
        <f>HYPERLINK("https://www.boe.es/gazeta/dias/1802/11/26/pdfs/GMD-1802-96.pdf#page=2","Abrir facsímil")</f>
        <v>Abrir facsímil</v>
      </c>
      <c r="K1317" s="15" t="s">
        <v>23</v>
      </c>
    </row>
    <row r="1318" spans="1:11" ht="42" customHeight="1">
      <c r="A1318" s="4" t="s">
        <v>3394</v>
      </c>
      <c r="B1318" s="5" t="s">
        <v>3395</v>
      </c>
      <c r="C1318" s="5" t="s">
        <v>35</v>
      </c>
      <c r="D1318" s="5" t="s">
        <v>36</v>
      </c>
      <c r="E1318" s="5" t="s">
        <v>751</v>
      </c>
      <c r="F1318" s="9">
        <v>98</v>
      </c>
      <c r="G1318" s="9">
        <v>1206</v>
      </c>
      <c r="H1318" s="5" t="s">
        <v>21</v>
      </c>
      <c r="I1318" s="5" t="s">
        <v>3396</v>
      </c>
      <c r="J1318" s="12" t="str">
        <f>HYPERLINK("https://www.boe.es/gazeta/dias/1802/12/03/pdfs/GMD-1802-98.pdf#page=2","Abrir facsímil")</f>
        <v>Abrir facsímil</v>
      </c>
      <c r="K1318" s="15" t="s">
        <v>23</v>
      </c>
    </row>
    <row r="1319" spans="1:11" ht="42" customHeight="1">
      <c r="A1319" s="4" t="s">
        <v>3397</v>
      </c>
      <c r="B1319" s="5" t="s">
        <v>3398</v>
      </c>
      <c r="C1319" s="5" t="s">
        <v>29</v>
      </c>
      <c r="D1319" s="5" t="s">
        <v>30</v>
      </c>
      <c r="E1319" s="5" t="s">
        <v>385</v>
      </c>
      <c r="F1319" s="9">
        <v>70</v>
      </c>
      <c r="G1319" s="9">
        <v>853</v>
      </c>
      <c r="H1319" s="5" t="s">
        <v>21</v>
      </c>
      <c r="I1319" s="5" t="s">
        <v>3399</v>
      </c>
      <c r="J1319" s="12" t="str">
        <f>HYPERLINK("https://www.boe.es/gazeta/dias/1802/08/27/pdfs/GMD-1802-70.pdf#page=1","Abrir facsímil")</f>
        <v>Abrir facsímil</v>
      </c>
      <c r="K1319" s="15" t="s">
        <v>23</v>
      </c>
    </row>
    <row r="1320" spans="1:11" ht="42" customHeight="1">
      <c r="A1320" s="4" t="s">
        <v>3400</v>
      </c>
      <c r="B1320" s="5" t="s">
        <v>3401</v>
      </c>
      <c r="C1320" s="5" t="s">
        <v>35</v>
      </c>
      <c r="D1320" s="5" t="s">
        <v>36</v>
      </c>
      <c r="E1320" s="5" t="s">
        <v>491</v>
      </c>
      <c r="F1320" s="9">
        <v>57</v>
      </c>
      <c r="G1320" s="9">
        <v>683</v>
      </c>
      <c r="H1320" s="5" t="s">
        <v>21</v>
      </c>
      <c r="I1320" s="5" t="s">
        <v>3402</v>
      </c>
      <c r="J1320" s="12" t="str">
        <f>HYPERLINK("https://www.boe.es/gazeta/dias/1802/07/16/pdfs/GMD-1802-57.pdf#page=3","Abrir facsímil")</f>
        <v>Abrir facsímil</v>
      </c>
      <c r="K1320" s="15" t="s">
        <v>23</v>
      </c>
    </row>
    <row r="1321" spans="1:11" ht="42" customHeight="1">
      <c r="A1321" s="4" t="s">
        <v>3403</v>
      </c>
      <c r="B1321" s="5" t="s">
        <v>3404</v>
      </c>
      <c r="C1321" s="5" t="s">
        <v>29</v>
      </c>
      <c r="D1321" s="5" t="s">
        <v>30</v>
      </c>
      <c r="E1321" s="5" t="s">
        <v>44</v>
      </c>
      <c r="F1321" s="9">
        <v>99</v>
      </c>
      <c r="G1321" s="9">
        <v>1218</v>
      </c>
      <c r="H1321" s="5" t="s">
        <v>21</v>
      </c>
      <c r="I1321" s="5" t="s">
        <v>3405</v>
      </c>
      <c r="J1321" s="12" t="str">
        <f>HYPERLINK("https://www.boe.es/gazeta/dias/1802/12/07/pdfs/GMD-1802-99.pdf#page=2","Abrir facsímil")</f>
        <v>Abrir facsímil</v>
      </c>
      <c r="K1321" s="15" t="s">
        <v>23</v>
      </c>
    </row>
    <row r="1322" spans="1:11" ht="42" customHeight="1">
      <c r="A1322" s="4" t="s">
        <v>3406</v>
      </c>
      <c r="B1322" s="5" t="s">
        <v>3407</v>
      </c>
      <c r="C1322" s="5" t="s">
        <v>90</v>
      </c>
      <c r="D1322" s="5" t="s">
        <v>91</v>
      </c>
      <c r="E1322" s="5" t="s">
        <v>152</v>
      </c>
      <c r="F1322" s="9">
        <v>25</v>
      </c>
      <c r="G1322" s="9">
        <v>286</v>
      </c>
      <c r="H1322" s="5" t="s">
        <v>21</v>
      </c>
      <c r="I1322" s="5" t="s">
        <v>3408</v>
      </c>
      <c r="J1322" s="12" t="str">
        <f>HYPERLINK("https://www.boe.es/gazeta/dias/1802/03/26/pdfs/GMD-1802-25.pdf#page=10","Abrir facsímil")</f>
        <v>Abrir facsímil</v>
      </c>
      <c r="K1322" s="15" t="s">
        <v>23</v>
      </c>
    </row>
    <row r="1323" spans="1:11" ht="42" customHeight="1">
      <c r="A1323" s="4" t="s">
        <v>3409</v>
      </c>
      <c r="B1323" s="5" t="s">
        <v>3410</v>
      </c>
      <c r="C1323" s="5" t="s">
        <v>18</v>
      </c>
      <c r="D1323" s="5" t="s">
        <v>19</v>
      </c>
      <c r="E1323" s="5" t="s">
        <v>49</v>
      </c>
      <c r="F1323" s="9">
        <v>83</v>
      </c>
      <c r="G1323" s="9">
        <v>1022</v>
      </c>
      <c r="H1323" s="5" t="s">
        <v>21</v>
      </c>
      <c r="I1323" s="5" t="s">
        <v>3411</v>
      </c>
      <c r="J1323" s="12" t="str">
        <f>HYPERLINK("https://www.boe.es/gazeta/dias/1802/10/12/pdfs/GMD-1802-83.pdf#page=10","Abrir facsímil")</f>
        <v>Abrir facsímil</v>
      </c>
      <c r="K1323" s="15" t="s">
        <v>23</v>
      </c>
    </row>
    <row r="1324" spans="1:11" ht="42" customHeight="1">
      <c r="A1324" s="4" t="s">
        <v>3412</v>
      </c>
      <c r="B1324" s="5" t="s">
        <v>3413</v>
      </c>
      <c r="C1324" s="5" t="s">
        <v>35</v>
      </c>
      <c r="D1324" s="5" t="s">
        <v>36</v>
      </c>
      <c r="E1324" s="5" t="s">
        <v>823</v>
      </c>
      <c r="F1324" s="9">
        <v>94</v>
      </c>
      <c r="G1324" s="9">
        <v>1161</v>
      </c>
      <c r="H1324" s="5" t="s">
        <v>21</v>
      </c>
      <c r="I1324" s="5" t="s">
        <v>3414</v>
      </c>
      <c r="J1324" s="12" t="str">
        <f>HYPERLINK("https://www.boe.es/gazeta/dias/1802/11/19/pdfs/GMD-1802-94.pdf#page=9","Abrir facsímil")</f>
        <v>Abrir facsímil</v>
      </c>
      <c r="K1324" s="15" t="s">
        <v>23</v>
      </c>
    </row>
    <row r="1325" spans="1:11" ht="42" customHeight="1">
      <c r="A1325" s="4" t="s">
        <v>3415</v>
      </c>
      <c r="B1325" s="5" t="s">
        <v>3416</v>
      </c>
      <c r="C1325" s="5" t="s">
        <v>18</v>
      </c>
      <c r="D1325" s="5" t="s">
        <v>19</v>
      </c>
      <c r="E1325" s="5" t="s">
        <v>1374</v>
      </c>
      <c r="F1325" s="9">
        <v>71</v>
      </c>
      <c r="G1325" s="9">
        <v>876</v>
      </c>
      <c r="H1325" s="5" t="s">
        <v>21</v>
      </c>
      <c r="I1325" s="5" t="s">
        <v>3417</v>
      </c>
      <c r="J1325" s="12" t="str">
        <f>HYPERLINK("https://www.boe.es/gazeta/dias/1802/08/31/pdfs/GMD-1802-71.pdf#page=12","Abrir facsímil")</f>
        <v>Abrir facsímil</v>
      </c>
      <c r="K1325" s="15" t="s">
        <v>23</v>
      </c>
    </row>
    <row r="1326" spans="1:11" ht="42" customHeight="1">
      <c r="A1326" s="4" t="s">
        <v>3418</v>
      </c>
      <c r="B1326" s="5" t="s">
        <v>3419</v>
      </c>
      <c r="C1326" s="5" t="s">
        <v>29</v>
      </c>
      <c r="D1326" s="5" t="s">
        <v>30</v>
      </c>
      <c r="E1326" s="5" t="s">
        <v>188</v>
      </c>
      <c r="F1326" s="9">
        <v>49</v>
      </c>
      <c r="G1326" s="9">
        <v>599</v>
      </c>
      <c r="H1326" s="5" t="s">
        <v>21</v>
      </c>
      <c r="I1326" s="5" t="s">
        <v>3420</v>
      </c>
      <c r="J1326" s="12" t="str">
        <f>HYPERLINK("https://www.boe.es/gazeta/dias/1802/06/18/pdfs/GMD-1802-49.pdf#page=11","Abrir facsímil")</f>
        <v>Abrir facsímil</v>
      </c>
      <c r="K1326" s="15" t="s">
        <v>23</v>
      </c>
    </row>
    <row r="1327" spans="1:11" ht="42" customHeight="1">
      <c r="A1327" s="4" t="s">
        <v>3421</v>
      </c>
      <c r="B1327" s="5" t="s">
        <v>3422</v>
      </c>
      <c r="C1327" s="5" t="s">
        <v>35</v>
      </c>
      <c r="D1327" s="5" t="s">
        <v>36</v>
      </c>
      <c r="E1327" s="5" t="s">
        <v>148</v>
      </c>
      <c r="F1327" s="9">
        <v>66</v>
      </c>
      <c r="G1327" s="9">
        <v>797</v>
      </c>
      <c r="H1327" s="5" t="s">
        <v>21</v>
      </c>
      <c r="I1327" s="5" t="s">
        <v>3423</v>
      </c>
      <c r="J1327" s="12" t="str">
        <f>HYPERLINK("https://www.boe.es/gazeta/dias/1802/08/13/pdfs/GMD-1802-66.pdf#page=1","Abrir facsímil")</f>
        <v>Abrir facsímil</v>
      </c>
      <c r="K1327" s="15" t="s">
        <v>23</v>
      </c>
    </row>
    <row r="1328" spans="1:11" ht="42" customHeight="1">
      <c r="A1328" s="4" t="s">
        <v>3424</v>
      </c>
      <c r="B1328" s="5" t="s">
        <v>3425</v>
      </c>
      <c r="C1328" s="5" t="s">
        <v>42</v>
      </c>
      <c r="D1328" s="5" t="s">
        <v>43</v>
      </c>
      <c r="E1328" s="5" t="s">
        <v>44</v>
      </c>
      <c r="F1328" s="9">
        <v>99</v>
      </c>
      <c r="G1328" s="9" t="s">
        <v>45</v>
      </c>
      <c r="H1328" s="5" t="s">
        <v>21</v>
      </c>
      <c r="I1328" s="5" t="s">
        <v>3426</v>
      </c>
      <c r="J1328" s="12" t="str">
        <f>HYPERLINK("https://www.boe.es/gazeta/dias/1802/12/07/pdfs/GMD-D-1802-99.pdf#page=14","Abrir facsímil")</f>
        <v>Abrir facsímil</v>
      </c>
      <c r="K1328" s="15" t="s">
        <v>23</v>
      </c>
    </row>
    <row r="1329" spans="1:11" ht="42" customHeight="1">
      <c r="A1329" s="4" t="s">
        <v>3427</v>
      </c>
      <c r="B1329" s="5" t="s">
        <v>3427</v>
      </c>
      <c r="C1329" s="5" t="s">
        <v>18</v>
      </c>
      <c r="D1329" s="5" t="s">
        <v>19</v>
      </c>
      <c r="E1329" s="5" t="s">
        <v>714</v>
      </c>
      <c r="F1329" s="9">
        <v>89</v>
      </c>
      <c r="G1329" s="9">
        <v>1105</v>
      </c>
      <c r="H1329" s="5" t="s">
        <v>21</v>
      </c>
      <c r="I1329" s="5" t="s">
        <v>3428</v>
      </c>
      <c r="J1329" s="12" t="str">
        <f>HYPERLINK("https://www.boe.es/gazeta/dias/1802/11/02/pdfs/GMD-1802-89.pdf#page=9","Abrir facsímil")</f>
        <v>Abrir facsímil</v>
      </c>
      <c r="K1329" s="15" t="s">
        <v>23</v>
      </c>
    </row>
    <row r="1330" spans="1:11" ht="42" customHeight="1">
      <c r="A1330" s="4" t="s">
        <v>3429</v>
      </c>
      <c r="B1330" s="5" t="s">
        <v>3430</v>
      </c>
      <c r="C1330" s="5" t="s">
        <v>35</v>
      </c>
      <c r="D1330" s="5" t="s">
        <v>36</v>
      </c>
      <c r="E1330" s="5" t="s">
        <v>146</v>
      </c>
      <c r="F1330" s="9">
        <v>42</v>
      </c>
      <c r="G1330" s="9">
        <v>501</v>
      </c>
      <c r="H1330" s="5" t="s">
        <v>21</v>
      </c>
      <c r="I1330" s="5" t="s">
        <v>3431</v>
      </c>
      <c r="J1330" s="12" t="str">
        <f>HYPERLINK("https://www.boe.es/gazeta/dias/1802/05/25/pdfs/GMD-1802-42.pdf#page=5","Abrir facsímil")</f>
        <v>Abrir facsímil</v>
      </c>
      <c r="K1330" s="15" t="s">
        <v>23</v>
      </c>
    </row>
    <row r="1331" spans="1:11" ht="42" customHeight="1">
      <c r="A1331" s="4" t="s">
        <v>3429</v>
      </c>
      <c r="B1331" s="5" t="s">
        <v>3430</v>
      </c>
      <c r="C1331" s="5" t="s">
        <v>18</v>
      </c>
      <c r="D1331" s="5" t="s">
        <v>19</v>
      </c>
      <c r="E1331" s="5" t="s">
        <v>114</v>
      </c>
      <c r="F1331" s="9">
        <v>82</v>
      </c>
      <c r="G1331" s="9">
        <v>1009</v>
      </c>
      <c r="H1331" s="5" t="s">
        <v>21</v>
      </c>
      <c r="I1331" s="5" t="s">
        <v>3432</v>
      </c>
      <c r="J1331" s="12" t="str">
        <f>HYPERLINK("https://www.boe.es/gazeta/dias/1802/10/08/pdfs/GMD-1802-82.pdf#page=9","Abrir facsímil")</f>
        <v>Abrir facsímil</v>
      </c>
      <c r="K1331" s="15" t="s">
        <v>23</v>
      </c>
    </row>
    <row r="1332" spans="1:11" ht="42" customHeight="1">
      <c r="A1332" s="4" t="s">
        <v>3433</v>
      </c>
      <c r="B1332" s="5" t="s">
        <v>3433</v>
      </c>
      <c r="C1332" s="5" t="s">
        <v>35</v>
      </c>
      <c r="D1332" s="5" t="s">
        <v>36</v>
      </c>
      <c r="E1332" s="5" t="s">
        <v>206</v>
      </c>
      <c r="F1332" s="9">
        <v>22</v>
      </c>
      <c r="G1332" s="9">
        <v>237</v>
      </c>
      <c r="H1332" s="5" t="s">
        <v>21</v>
      </c>
      <c r="I1332" s="5" t="s">
        <v>3434</v>
      </c>
      <c r="J1332" s="12" t="str">
        <f>HYPERLINK("https://www.boe.es/gazeta/dias/1802/03/16/pdfs/GMD-1802-22.pdf#page=5","Abrir facsímil")</f>
        <v>Abrir facsímil</v>
      </c>
      <c r="K1332" s="15" t="s">
        <v>23</v>
      </c>
    </row>
    <row r="1333" spans="1:11" ht="42" customHeight="1">
      <c r="A1333" s="4" t="s">
        <v>3435</v>
      </c>
      <c r="B1333" s="5" t="s">
        <v>3435</v>
      </c>
      <c r="C1333" s="5" t="s">
        <v>18</v>
      </c>
      <c r="D1333" s="5" t="s">
        <v>19</v>
      </c>
      <c r="E1333" s="5" t="s">
        <v>128</v>
      </c>
      <c r="F1333" s="9">
        <v>9</v>
      </c>
      <c r="G1333" s="9">
        <v>86</v>
      </c>
      <c r="H1333" s="5" t="s">
        <v>21</v>
      </c>
      <c r="I1333" s="5" t="s">
        <v>3436</v>
      </c>
      <c r="J1333" s="12" t="str">
        <f>HYPERLINK("https://www.boe.es/gazeta/dias/1802/01/29/pdfs/GMD-1802-9.pdf#page=6","Abrir facsímil")</f>
        <v>Abrir facsímil</v>
      </c>
      <c r="K1333" s="15" t="s">
        <v>23</v>
      </c>
    </row>
    <row r="1334" spans="1:11" ht="42" customHeight="1">
      <c r="A1334" s="4" t="s">
        <v>3437</v>
      </c>
      <c r="B1334" s="5" t="s">
        <v>3437</v>
      </c>
      <c r="C1334" s="5" t="s">
        <v>35</v>
      </c>
      <c r="D1334" s="5" t="s">
        <v>36</v>
      </c>
      <c r="E1334" s="5" t="s">
        <v>175</v>
      </c>
      <c r="F1334" s="9">
        <v>37</v>
      </c>
      <c r="G1334" s="9">
        <v>434</v>
      </c>
      <c r="H1334" s="5" t="s">
        <v>21</v>
      </c>
      <c r="I1334" s="5" t="s">
        <v>3438</v>
      </c>
      <c r="J1334" s="12" t="str">
        <f>HYPERLINK("https://www.boe.es/gazeta/dias/1802/05/07/pdfs/GMD-1802-37.pdf#page=2","Abrir facsímil")</f>
        <v>Abrir facsímil</v>
      </c>
      <c r="K1334" s="15" t="s">
        <v>23</v>
      </c>
    </row>
    <row r="1335" spans="1:11" ht="42" customHeight="1">
      <c r="A1335" s="4" t="s">
        <v>3439</v>
      </c>
      <c r="B1335" s="5" t="s">
        <v>3439</v>
      </c>
      <c r="C1335" s="5" t="s">
        <v>18</v>
      </c>
      <c r="D1335" s="5" t="s">
        <v>19</v>
      </c>
      <c r="E1335" s="5" t="s">
        <v>1051</v>
      </c>
      <c r="F1335" s="9">
        <v>43</v>
      </c>
      <c r="G1335" s="9">
        <v>513</v>
      </c>
      <c r="H1335" s="5" t="s">
        <v>21</v>
      </c>
      <c r="I1335" s="5" t="s">
        <v>3440</v>
      </c>
      <c r="J1335" s="12" t="str">
        <f>HYPERLINK("https://www.boe.es/gazeta/dias/1802/05/28/pdfs/GMD-1802-43.pdf#page=5","Abrir facsímil")</f>
        <v>Abrir facsímil</v>
      </c>
      <c r="K1335" s="15" t="s">
        <v>23</v>
      </c>
    </row>
    <row r="1336" spans="1:11" ht="42" customHeight="1">
      <c r="A1336" s="4" t="s">
        <v>3441</v>
      </c>
      <c r="B1336" s="5" t="s">
        <v>3441</v>
      </c>
      <c r="C1336" s="5" t="s">
        <v>55</v>
      </c>
      <c r="D1336" s="5" t="s">
        <v>56</v>
      </c>
      <c r="E1336" s="5" t="s">
        <v>823</v>
      </c>
      <c r="F1336" s="9">
        <v>94</v>
      </c>
      <c r="G1336" s="9">
        <v>1161</v>
      </c>
      <c r="H1336" s="5" t="s">
        <v>21</v>
      </c>
      <c r="I1336" s="5" t="s">
        <v>3442</v>
      </c>
      <c r="J1336" s="12" t="str">
        <f>HYPERLINK("https://www.boe.es/gazeta/dias/1802/11/19/pdfs/GMD-1802-94.pdf#page=9","Abrir facsímil")</f>
        <v>Abrir facsímil</v>
      </c>
      <c r="K1336" s="15" t="s">
        <v>23</v>
      </c>
    </row>
    <row r="1337" spans="1:11" ht="42" customHeight="1">
      <c r="A1337" s="4" t="s">
        <v>3443</v>
      </c>
      <c r="B1337" s="5" t="s">
        <v>3444</v>
      </c>
      <c r="C1337" s="5" t="s">
        <v>35</v>
      </c>
      <c r="D1337" s="5" t="s">
        <v>36</v>
      </c>
      <c r="E1337" s="5" t="s">
        <v>389</v>
      </c>
      <c r="F1337" s="9">
        <v>96</v>
      </c>
      <c r="G1337" s="9">
        <v>1183</v>
      </c>
      <c r="H1337" s="5" t="s">
        <v>21</v>
      </c>
      <c r="I1337" s="5" t="s">
        <v>3445</v>
      </c>
      <c r="J1337" s="12" t="str">
        <f>HYPERLINK("https://www.boe.es/gazeta/dias/1802/11/26/pdfs/GMD-1802-96.pdf#page=3","Abrir facsímil")</f>
        <v>Abrir facsímil</v>
      </c>
      <c r="K1337" s="15" t="s">
        <v>23</v>
      </c>
    </row>
    <row r="1338" spans="1:11" ht="42" customHeight="1">
      <c r="A1338" s="4" t="s">
        <v>3446</v>
      </c>
      <c r="B1338" s="5" t="s">
        <v>3447</v>
      </c>
      <c r="C1338" s="5" t="s">
        <v>18</v>
      </c>
      <c r="D1338" s="5" t="s">
        <v>19</v>
      </c>
      <c r="E1338" s="5" t="s">
        <v>44</v>
      </c>
      <c r="F1338" s="9">
        <v>99</v>
      </c>
      <c r="G1338" s="9">
        <v>1217</v>
      </c>
      <c r="H1338" s="5" t="s">
        <v>21</v>
      </c>
      <c r="I1338" s="5" t="s">
        <v>3448</v>
      </c>
      <c r="J1338" s="12" t="str">
        <f>HYPERLINK("https://www.boe.es/gazeta/dias/1802/12/07/pdfs/GMD-1802-99.pdf#page=1","Abrir facsímil")</f>
        <v>Abrir facsímil</v>
      </c>
      <c r="K1338" s="15" t="s">
        <v>23</v>
      </c>
    </row>
    <row r="1339" spans="1:11" ht="42" customHeight="1">
      <c r="A1339" s="4" t="s">
        <v>3446</v>
      </c>
      <c r="B1339" s="5" t="s">
        <v>3447</v>
      </c>
      <c r="C1339" s="5" t="s">
        <v>35</v>
      </c>
      <c r="D1339" s="5" t="s">
        <v>36</v>
      </c>
      <c r="E1339" s="5" t="s">
        <v>75</v>
      </c>
      <c r="F1339" s="9">
        <v>103</v>
      </c>
      <c r="G1339" s="9">
        <v>1257</v>
      </c>
      <c r="H1339" s="5" t="s">
        <v>21</v>
      </c>
      <c r="I1339" s="5" t="s">
        <v>3449</v>
      </c>
      <c r="J1339" s="12" t="str">
        <f>HYPERLINK("https://www.boe.es/gazeta/dias/1802/12/21/pdfs/GMD-1802-103.pdf#page=1","Abrir facsímil")</f>
        <v>Abrir facsímil</v>
      </c>
      <c r="K1339" s="15" t="s">
        <v>23</v>
      </c>
    </row>
    <row r="1340" spans="1:11" ht="42" customHeight="1">
      <c r="A1340" s="4" t="s">
        <v>3450</v>
      </c>
      <c r="B1340" s="5" t="s">
        <v>3451</v>
      </c>
      <c r="C1340" s="5" t="s">
        <v>35</v>
      </c>
      <c r="D1340" s="5" t="s">
        <v>36</v>
      </c>
      <c r="E1340" s="5" t="s">
        <v>751</v>
      </c>
      <c r="F1340" s="9">
        <v>98</v>
      </c>
      <c r="G1340" s="9">
        <v>1205</v>
      </c>
      <c r="H1340" s="5" t="s">
        <v>21</v>
      </c>
      <c r="I1340" s="5" t="s">
        <v>3452</v>
      </c>
      <c r="J1340" s="12" t="str">
        <f>HYPERLINK("https://www.boe.es/gazeta/dias/1802/12/03/pdfs/GMD-1802-98.pdf#page=1","Abrir facsímil")</f>
        <v>Abrir facsímil</v>
      </c>
      <c r="K1340" s="15" t="s">
        <v>23</v>
      </c>
    </row>
    <row r="1341" spans="1:11" ht="42" customHeight="1">
      <c r="A1341" s="4" t="s">
        <v>3453</v>
      </c>
      <c r="B1341" s="5" t="s">
        <v>3454</v>
      </c>
      <c r="C1341" s="5" t="s">
        <v>29</v>
      </c>
      <c r="D1341" s="5" t="s">
        <v>30</v>
      </c>
      <c r="E1341" s="5" t="s">
        <v>185</v>
      </c>
      <c r="F1341" s="9">
        <v>95</v>
      </c>
      <c r="G1341" s="9">
        <v>1167</v>
      </c>
      <c r="H1341" s="5" t="s">
        <v>21</v>
      </c>
      <c r="I1341" s="5" t="s">
        <v>3455</v>
      </c>
      <c r="J1341" s="12" t="str">
        <f>HYPERLINK("https://www.boe.es/gazeta/dias/1802/11/23/pdfs/GMD-1802-95.pdf#page=3","Abrir facsímil")</f>
        <v>Abrir facsímil</v>
      </c>
      <c r="K1341" s="15" t="s">
        <v>23</v>
      </c>
    </row>
    <row r="1342" spans="1:11" ht="42" customHeight="1">
      <c r="A1342" s="4" t="s">
        <v>3456</v>
      </c>
      <c r="B1342" s="5" t="s">
        <v>3456</v>
      </c>
      <c r="C1342" s="5" t="s">
        <v>18</v>
      </c>
      <c r="D1342" s="5" t="s">
        <v>19</v>
      </c>
      <c r="E1342" s="5" t="s">
        <v>1185</v>
      </c>
      <c r="F1342" s="9">
        <v>93</v>
      </c>
      <c r="G1342" s="9">
        <v>1149</v>
      </c>
      <c r="H1342" s="5" t="s">
        <v>21</v>
      </c>
      <c r="I1342" s="5" t="s">
        <v>3457</v>
      </c>
      <c r="J1342" s="12" t="str">
        <f>HYPERLINK("https://www.boe.es/gazeta/dias/1802/11/16/pdfs/GMD-1802-93.pdf#page=9","Abrir facsímil")</f>
        <v>Abrir facsímil</v>
      </c>
      <c r="K1342" s="15" t="s">
        <v>23</v>
      </c>
    </row>
    <row r="1343" spans="1:11" ht="42" customHeight="1">
      <c r="A1343" s="4" t="s">
        <v>3458</v>
      </c>
      <c r="B1343" s="5" t="s">
        <v>3459</v>
      </c>
      <c r="C1343" s="5" t="s">
        <v>18</v>
      </c>
      <c r="D1343" s="5" t="s">
        <v>19</v>
      </c>
      <c r="E1343" s="5" t="s">
        <v>152</v>
      </c>
      <c r="F1343" s="9">
        <v>25</v>
      </c>
      <c r="G1343" s="9">
        <v>277</v>
      </c>
      <c r="H1343" s="5" t="s">
        <v>21</v>
      </c>
      <c r="I1343" s="5" t="s">
        <v>3460</v>
      </c>
      <c r="J1343" s="12" t="str">
        <f>HYPERLINK("https://www.boe.es/gazeta/dias/1802/03/26/pdfs/GMD-1802-25.pdf#page=1","Abrir facsímil")</f>
        <v>Abrir facsímil</v>
      </c>
      <c r="K1343" s="15" t="s">
        <v>23</v>
      </c>
    </row>
    <row r="1344" spans="1:11" ht="42" customHeight="1">
      <c r="A1344" s="4" t="s">
        <v>3461</v>
      </c>
      <c r="B1344" s="5" t="s">
        <v>3462</v>
      </c>
      <c r="C1344" s="5" t="s">
        <v>35</v>
      </c>
      <c r="D1344" s="5" t="s">
        <v>36</v>
      </c>
      <c r="E1344" s="5" t="s">
        <v>1959</v>
      </c>
      <c r="F1344" s="9">
        <v>34</v>
      </c>
      <c r="G1344" s="9">
        <v>389</v>
      </c>
      <c r="H1344" s="5" t="s">
        <v>21</v>
      </c>
      <c r="I1344" s="5" t="s">
        <v>3463</v>
      </c>
      <c r="J1344" s="12" t="str">
        <f>HYPERLINK("https://www.boe.es/gazeta/dias/1802/04/27/pdfs/GMD-1802-34.pdf#page=1","Abrir facsímil")</f>
        <v>Abrir facsímil</v>
      </c>
      <c r="K1344" s="15" t="s">
        <v>23</v>
      </c>
    </row>
    <row r="1345" spans="1:11" ht="42" customHeight="1">
      <c r="A1345" s="4" t="s">
        <v>3464</v>
      </c>
      <c r="B1345" s="5" t="s">
        <v>3465</v>
      </c>
      <c r="C1345" s="5" t="s">
        <v>35</v>
      </c>
      <c r="D1345" s="5" t="s">
        <v>36</v>
      </c>
      <c r="E1345" s="5" t="s">
        <v>165</v>
      </c>
      <c r="F1345" s="9">
        <v>3</v>
      </c>
      <c r="G1345" s="9">
        <v>21</v>
      </c>
      <c r="H1345" s="5" t="s">
        <v>21</v>
      </c>
      <c r="I1345" s="5" t="s">
        <v>3466</v>
      </c>
      <c r="J1345" s="12" t="str">
        <f>HYPERLINK("https://www.boe.es/gazeta/dias/1802/01/08/pdfs/GMD-1802-3.pdf#page=1","Abrir facsímil")</f>
        <v>Abrir facsímil</v>
      </c>
      <c r="K1345" s="15" t="s">
        <v>23</v>
      </c>
    </row>
    <row r="1346" spans="1:11" ht="42" customHeight="1">
      <c r="A1346" s="4" t="s">
        <v>3464</v>
      </c>
      <c r="B1346" s="5" t="s">
        <v>3465</v>
      </c>
      <c r="C1346" s="5" t="s">
        <v>35</v>
      </c>
      <c r="D1346" s="5" t="s">
        <v>36</v>
      </c>
      <c r="E1346" s="5" t="s">
        <v>865</v>
      </c>
      <c r="F1346" s="9">
        <v>12</v>
      </c>
      <c r="G1346" s="9">
        <v>117</v>
      </c>
      <c r="H1346" s="5" t="s">
        <v>21</v>
      </c>
      <c r="I1346" s="5" t="s">
        <v>3467</v>
      </c>
      <c r="J1346" s="12" t="str">
        <f>HYPERLINK("https://www.boe.es/gazeta/dias/1802/02/09/pdfs/GMD-1802-12.pdf#page=1","Abrir facsímil")</f>
        <v>Abrir facsímil</v>
      </c>
      <c r="K1346" s="15" t="s">
        <v>23</v>
      </c>
    </row>
    <row r="1347" spans="1:11" ht="42" customHeight="1">
      <c r="A1347" s="4" t="s">
        <v>3464</v>
      </c>
      <c r="B1347" s="5" t="s">
        <v>3465</v>
      </c>
      <c r="C1347" s="5" t="s">
        <v>29</v>
      </c>
      <c r="D1347" s="5" t="s">
        <v>30</v>
      </c>
      <c r="E1347" s="5" t="s">
        <v>670</v>
      </c>
      <c r="F1347" s="9">
        <v>40</v>
      </c>
      <c r="G1347" s="9">
        <v>474</v>
      </c>
      <c r="H1347" s="5" t="s">
        <v>21</v>
      </c>
      <c r="I1347" s="5" t="s">
        <v>3468</v>
      </c>
      <c r="J1347" s="12" t="str">
        <f>HYPERLINK("https://www.boe.es/gazeta/dias/1802/05/18/pdfs/GMD-1802-40.pdf#page=2","Abrir facsímil")</f>
        <v>Abrir facsímil</v>
      </c>
      <c r="K1347" s="15" t="s">
        <v>23</v>
      </c>
    </row>
    <row r="1348" spans="1:11" ht="42" customHeight="1">
      <c r="A1348" s="4" t="s">
        <v>3464</v>
      </c>
      <c r="B1348" s="5" t="s">
        <v>3465</v>
      </c>
      <c r="C1348" s="5" t="s">
        <v>35</v>
      </c>
      <c r="D1348" s="5" t="s">
        <v>36</v>
      </c>
      <c r="E1348" s="5" t="s">
        <v>436</v>
      </c>
      <c r="F1348" s="9">
        <v>58</v>
      </c>
      <c r="G1348" s="9">
        <v>693</v>
      </c>
      <c r="H1348" s="5" t="s">
        <v>21</v>
      </c>
      <c r="I1348" s="5" t="s">
        <v>3469</v>
      </c>
      <c r="J1348" s="12" t="str">
        <f>HYPERLINK("https://www.boe.es/gazeta/dias/1802/07/20/pdfs/GMD-1802-58.pdf#page=1","Abrir facsímil")</f>
        <v>Abrir facsímil</v>
      </c>
      <c r="K1348" s="15" t="s">
        <v>23</v>
      </c>
    </row>
    <row r="1349" spans="1:11" ht="42" customHeight="1">
      <c r="A1349" s="4" t="s">
        <v>3464</v>
      </c>
      <c r="B1349" s="5" t="s">
        <v>3465</v>
      </c>
      <c r="C1349" s="5" t="s">
        <v>55</v>
      </c>
      <c r="D1349" s="5" t="s">
        <v>56</v>
      </c>
      <c r="E1349" s="5" t="s">
        <v>219</v>
      </c>
      <c r="F1349" s="9">
        <v>81</v>
      </c>
      <c r="G1349" s="9">
        <v>989</v>
      </c>
      <c r="H1349" s="5" t="s">
        <v>21</v>
      </c>
      <c r="I1349" s="5" t="s">
        <v>3470</v>
      </c>
      <c r="J1349" s="12" t="str">
        <f>HYPERLINK("https://www.boe.es/gazeta/dias/1802/10/05/pdfs/GMD-1802-81.pdf#page=1","Abrir facsímil")</f>
        <v>Abrir facsímil</v>
      </c>
      <c r="K1349" s="15" t="s">
        <v>23</v>
      </c>
    </row>
    <row r="1350" spans="1:11" ht="42" customHeight="1">
      <c r="A1350" s="4" t="s">
        <v>3464</v>
      </c>
      <c r="B1350" s="5" t="s">
        <v>3465</v>
      </c>
      <c r="C1350" s="5" t="s">
        <v>35</v>
      </c>
      <c r="D1350" s="5" t="s">
        <v>36</v>
      </c>
      <c r="E1350" s="5" t="s">
        <v>823</v>
      </c>
      <c r="F1350" s="9">
        <v>94</v>
      </c>
      <c r="G1350" s="9">
        <v>1154</v>
      </c>
      <c r="H1350" s="5" t="s">
        <v>21</v>
      </c>
      <c r="I1350" s="5" t="s">
        <v>3471</v>
      </c>
      <c r="J1350" s="12" t="str">
        <f>HYPERLINK("https://www.boe.es/gazeta/dias/1802/11/19/pdfs/GMD-1802-94.pdf#page=2","Abrir facsímil")</f>
        <v>Abrir facsímil</v>
      </c>
      <c r="K1350" s="15" t="s">
        <v>23</v>
      </c>
    </row>
    <row r="1351" spans="1:11" ht="42" customHeight="1">
      <c r="A1351" s="4" t="s">
        <v>3464</v>
      </c>
      <c r="B1351" s="5" t="s">
        <v>3465</v>
      </c>
      <c r="C1351" s="5" t="s">
        <v>35</v>
      </c>
      <c r="D1351" s="5" t="s">
        <v>36</v>
      </c>
      <c r="E1351" s="5" t="s">
        <v>604</v>
      </c>
      <c r="F1351" s="9">
        <v>100</v>
      </c>
      <c r="G1351" s="9">
        <v>1229</v>
      </c>
      <c r="H1351" s="5" t="s">
        <v>21</v>
      </c>
      <c r="I1351" s="5" t="s">
        <v>3472</v>
      </c>
      <c r="J1351" s="12" t="str">
        <f>HYPERLINK("https://www.boe.es/gazeta/dias/1802/12/10/pdfs/GMD-1802-100.pdf#page=1","Abrir facsímil")</f>
        <v>Abrir facsímil</v>
      </c>
      <c r="K1351" s="15" t="s">
        <v>23</v>
      </c>
    </row>
    <row r="1352" spans="1:11" ht="42" customHeight="1">
      <c r="A1352" s="4" t="s">
        <v>3473</v>
      </c>
      <c r="B1352" s="5" t="s">
        <v>3474</v>
      </c>
      <c r="C1352" s="5" t="s">
        <v>35</v>
      </c>
      <c r="D1352" s="5" t="s">
        <v>36</v>
      </c>
      <c r="E1352" s="5" t="s">
        <v>325</v>
      </c>
      <c r="F1352" s="9">
        <v>90</v>
      </c>
      <c r="G1352" s="9">
        <v>1109</v>
      </c>
      <c r="H1352" s="5" t="s">
        <v>21</v>
      </c>
      <c r="I1352" s="5" t="s">
        <v>3475</v>
      </c>
      <c r="J1352" s="12" t="str">
        <f>HYPERLINK("https://www.boe.es/gazeta/dias/1802/11/05/pdfs/GMD-1802-90.pdf#page=1","Abrir facsímil")</f>
        <v>Abrir facsímil</v>
      </c>
      <c r="K1352" s="15" t="s">
        <v>23</v>
      </c>
    </row>
    <row r="1353" spans="1:11" ht="42" customHeight="1">
      <c r="A1353" s="4" t="s">
        <v>3476</v>
      </c>
      <c r="B1353" s="5" t="s">
        <v>3476</v>
      </c>
      <c r="C1353" s="5" t="s">
        <v>18</v>
      </c>
      <c r="D1353" s="5" t="s">
        <v>19</v>
      </c>
      <c r="E1353" s="5" t="s">
        <v>886</v>
      </c>
      <c r="F1353" s="9">
        <v>7</v>
      </c>
      <c r="G1353" s="9">
        <v>65</v>
      </c>
      <c r="H1353" s="5" t="s">
        <v>21</v>
      </c>
      <c r="I1353" s="5" t="s">
        <v>3477</v>
      </c>
      <c r="J1353" s="12" t="str">
        <f>HYPERLINK("https://www.boe.es/gazeta/dias/1802/01/22/pdfs/GMD-1802-7.pdf#page=5","Abrir facsímil")</f>
        <v>Abrir facsímil</v>
      </c>
      <c r="K1353" s="15" t="s">
        <v>23</v>
      </c>
    </row>
    <row r="1354" spans="1:11" ht="42" customHeight="1">
      <c r="A1354" s="4" t="s">
        <v>3476</v>
      </c>
      <c r="B1354" s="5" t="s">
        <v>3476</v>
      </c>
      <c r="C1354" s="5" t="s">
        <v>18</v>
      </c>
      <c r="D1354" s="5" t="s">
        <v>19</v>
      </c>
      <c r="E1354" s="5" t="s">
        <v>1097</v>
      </c>
      <c r="F1354" s="9">
        <v>20</v>
      </c>
      <c r="G1354" s="9">
        <v>218</v>
      </c>
      <c r="H1354" s="5" t="s">
        <v>21</v>
      </c>
      <c r="I1354" s="5" t="s">
        <v>3478</v>
      </c>
      <c r="J1354" s="12" t="str">
        <f>HYPERLINK("https://www.boe.es/gazeta/dias/1802/03/09/pdfs/GMD-1802-20.pdf#page=6","Abrir facsímil")</f>
        <v>Abrir facsímil</v>
      </c>
      <c r="K1354" s="15" t="s">
        <v>23</v>
      </c>
    </row>
    <row r="1355" spans="1:11" ht="42" customHeight="1">
      <c r="A1355" s="4" t="s">
        <v>3479</v>
      </c>
      <c r="B1355" s="5" t="s">
        <v>3479</v>
      </c>
      <c r="C1355" s="5" t="s">
        <v>29</v>
      </c>
      <c r="D1355" s="5" t="s">
        <v>30</v>
      </c>
      <c r="E1355" s="5" t="s">
        <v>109</v>
      </c>
      <c r="F1355" s="9">
        <v>10</v>
      </c>
      <c r="G1355" s="9">
        <v>98</v>
      </c>
      <c r="H1355" s="5" t="s">
        <v>21</v>
      </c>
      <c r="I1355" s="5" t="s">
        <v>3480</v>
      </c>
      <c r="J1355" s="12" t="str">
        <f>HYPERLINK("https://www.boe.es/gazeta/dias/1802/02/02/pdfs/GMD-1802-10.pdf#page=6","Abrir facsímil")</f>
        <v>Abrir facsímil</v>
      </c>
      <c r="K1355" s="15" t="s">
        <v>23</v>
      </c>
    </row>
    <row r="1356" spans="1:11" ht="42" customHeight="1">
      <c r="A1356" s="4" t="s">
        <v>3479</v>
      </c>
      <c r="B1356" s="5" t="s">
        <v>3479</v>
      </c>
      <c r="C1356" s="5" t="s">
        <v>18</v>
      </c>
      <c r="D1356" s="5" t="s">
        <v>19</v>
      </c>
      <c r="E1356" s="5" t="s">
        <v>25</v>
      </c>
      <c r="F1356" s="9">
        <v>44</v>
      </c>
      <c r="G1356" s="9">
        <v>531</v>
      </c>
      <c r="H1356" s="5" t="s">
        <v>21</v>
      </c>
      <c r="I1356" s="5" t="s">
        <v>3481</v>
      </c>
      <c r="J1356" s="12" t="str">
        <f>HYPERLINK("https://www.boe.es/gazeta/dias/1802/06/01/pdfs/GMD-1802-44.pdf#page=7","Abrir facsímil")</f>
        <v>Abrir facsímil</v>
      </c>
      <c r="K1356" s="15" t="s">
        <v>23</v>
      </c>
    </row>
    <row r="1357" spans="1:11" ht="42" customHeight="1">
      <c r="A1357" s="4" t="s">
        <v>3482</v>
      </c>
      <c r="B1357" s="5" t="s">
        <v>3482</v>
      </c>
      <c r="C1357" s="5" t="s">
        <v>18</v>
      </c>
      <c r="D1357" s="5" t="s">
        <v>19</v>
      </c>
      <c r="E1357" s="5" t="s">
        <v>678</v>
      </c>
      <c r="F1357" s="9">
        <v>15</v>
      </c>
      <c r="G1357" s="9">
        <v>150</v>
      </c>
      <c r="H1357" s="5" t="s">
        <v>21</v>
      </c>
      <c r="I1357" s="5" t="s">
        <v>3483</v>
      </c>
      <c r="J1357" s="12" t="str">
        <f>HYPERLINK("https://www.boe.es/gazeta/dias/1802/02/19/pdfs/GMD-1802-15.pdf#page=2","Abrir facsímil")</f>
        <v>Abrir facsímil</v>
      </c>
      <c r="K1357" s="15" t="s">
        <v>23</v>
      </c>
    </row>
    <row r="1358" spans="1:11" ht="42" customHeight="1">
      <c r="A1358" s="4" t="s">
        <v>3484</v>
      </c>
      <c r="B1358" s="5" t="s">
        <v>3484</v>
      </c>
      <c r="C1358" s="5" t="s">
        <v>35</v>
      </c>
      <c r="D1358" s="5" t="s">
        <v>36</v>
      </c>
      <c r="E1358" s="5" t="s">
        <v>276</v>
      </c>
      <c r="F1358" s="9">
        <v>75</v>
      </c>
      <c r="G1358" s="9">
        <v>926</v>
      </c>
      <c r="H1358" s="5" t="s">
        <v>21</v>
      </c>
      <c r="I1358" s="5" t="s">
        <v>3485</v>
      </c>
      <c r="J1358" s="12" t="str">
        <f>HYPERLINK("https://www.boe.es/gazeta/dias/1802/09/14/pdfs/GMD-1802-75.pdf#page=10","Abrir facsímil")</f>
        <v>Abrir facsímil</v>
      </c>
      <c r="K1358" s="15" t="s">
        <v>23</v>
      </c>
    </row>
    <row r="1359" spans="1:11" ht="42" customHeight="1">
      <c r="A1359" s="4" t="s">
        <v>3484</v>
      </c>
      <c r="B1359" s="5" t="s">
        <v>3484</v>
      </c>
      <c r="C1359" s="5" t="s">
        <v>18</v>
      </c>
      <c r="D1359" s="5" t="s">
        <v>19</v>
      </c>
      <c r="E1359" s="5" t="s">
        <v>325</v>
      </c>
      <c r="F1359" s="9">
        <v>90</v>
      </c>
      <c r="G1359" s="9">
        <v>1118</v>
      </c>
      <c r="H1359" s="5" t="s">
        <v>21</v>
      </c>
      <c r="I1359" s="5" t="s">
        <v>3486</v>
      </c>
      <c r="J1359" s="12" t="str">
        <f>HYPERLINK("https://www.boe.es/gazeta/dias/1802/11/05/pdfs/GMD-1802-90.pdf#page=10","Abrir facsímil")</f>
        <v>Abrir facsímil</v>
      </c>
      <c r="K1359" s="15" t="s">
        <v>23</v>
      </c>
    </row>
    <row r="1360" spans="1:11" ht="42" customHeight="1">
      <c r="A1360" s="4" t="s">
        <v>3487</v>
      </c>
      <c r="B1360" s="5" t="s">
        <v>3488</v>
      </c>
      <c r="C1360" s="5" t="s">
        <v>35</v>
      </c>
      <c r="D1360" s="5" t="s">
        <v>36</v>
      </c>
      <c r="E1360" s="5" t="s">
        <v>276</v>
      </c>
      <c r="F1360" s="9">
        <v>75</v>
      </c>
      <c r="G1360" s="9">
        <v>926</v>
      </c>
      <c r="H1360" s="5" t="s">
        <v>21</v>
      </c>
      <c r="I1360" s="5" t="s">
        <v>3489</v>
      </c>
      <c r="J1360" s="12" t="str">
        <f>HYPERLINK("https://www.boe.es/gazeta/dias/1802/09/14/pdfs/GMD-1802-75.pdf#page=10","Abrir facsímil")</f>
        <v>Abrir facsímil</v>
      </c>
      <c r="K1360" s="15" t="s">
        <v>23</v>
      </c>
    </row>
    <row r="1361" spans="1:11" ht="42" customHeight="1">
      <c r="A1361" s="4" t="s">
        <v>3490</v>
      </c>
      <c r="B1361" s="5" t="s">
        <v>3490</v>
      </c>
      <c r="C1361" s="5" t="s">
        <v>35</v>
      </c>
      <c r="D1361" s="5" t="s">
        <v>36</v>
      </c>
      <c r="E1361" s="5" t="s">
        <v>109</v>
      </c>
      <c r="F1361" s="9">
        <v>10</v>
      </c>
      <c r="G1361" s="9">
        <v>97</v>
      </c>
      <c r="H1361" s="5" t="s">
        <v>21</v>
      </c>
      <c r="I1361" s="5" t="s">
        <v>3491</v>
      </c>
      <c r="J1361" s="12" t="str">
        <f>HYPERLINK("https://www.boe.es/gazeta/dias/1802/02/02/pdfs/GMD-1802-10.pdf#page=5","Abrir facsímil")</f>
        <v>Abrir facsímil</v>
      </c>
      <c r="K1361" s="15" t="s">
        <v>23</v>
      </c>
    </row>
    <row r="1362" spans="1:11" ht="42" customHeight="1">
      <c r="A1362" s="4" t="s">
        <v>3492</v>
      </c>
      <c r="B1362" s="5" t="s">
        <v>3492</v>
      </c>
      <c r="C1362" s="5" t="s">
        <v>35</v>
      </c>
      <c r="D1362" s="5" t="s">
        <v>36</v>
      </c>
      <c r="E1362" s="5" t="s">
        <v>325</v>
      </c>
      <c r="F1362" s="9">
        <v>90</v>
      </c>
      <c r="G1362" s="9">
        <v>1115</v>
      </c>
      <c r="H1362" s="5" t="s">
        <v>21</v>
      </c>
      <c r="I1362" s="5" t="s">
        <v>3493</v>
      </c>
      <c r="J1362" s="12" t="str">
        <f>HYPERLINK("https://www.boe.es/gazeta/dias/1802/11/05/pdfs/GMD-1802-90.pdf#page=7","Abrir facsímil")</f>
        <v>Abrir facsímil</v>
      </c>
      <c r="K1362" s="15" t="s">
        <v>23</v>
      </c>
    </row>
    <row r="1363" spans="1:11" ht="42" customHeight="1">
      <c r="A1363" s="4" t="s">
        <v>3494</v>
      </c>
      <c r="B1363" s="5" t="s">
        <v>3494</v>
      </c>
      <c r="C1363" s="5" t="s">
        <v>29</v>
      </c>
      <c r="D1363" s="5" t="s">
        <v>30</v>
      </c>
      <c r="E1363" s="5" t="s">
        <v>921</v>
      </c>
      <c r="F1363" s="9">
        <v>50</v>
      </c>
      <c r="G1363" s="9">
        <v>608</v>
      </c>
      <c r="H1363" s="5" t="s">
        <v>21</v>
      </c>
      <c r="I1363" s="5" t="s">
        <v>3495</v>
      </c>
      <c r="J1363" s="12" t="str">
        <f>HYPERLINK("https://www.boe.es/gazeta/dias/1802/06/22/pdfs/GMD-1802-50.pdf#page=8","Abrir facsímil")</f>
        <v>Abrir facsímil</v>
      </c>
      <c r="K1363" s="15" t="s">
        <v>23</v>
      </c>
    </row>
    <row r="1364" spans="1:11" ht="42" customHeight="1">
      <c r="A1364" s="4" t="s">
        <v>3496</v>
      </c>
      <c r="B1364" s="5" t="s">
        <v>3497</v>
      </c>
      <c r="C1364" s="5" t="s">
        <v>55</v>
      </c>
      <c r="D1364" s="5" t="s">
        <v>56</v>
      </c>
      <c r="E1364" s="5" t="s">
        <v>86</v>
      </c>
      <c r="F1364" s="9">
        <v>26</v>
      </c>
      <c r="G1364" s="9">
        <v>300</v>
      </c>
      <c r="H1364" s="5" t="s">
        <v>21</v>
      </c>
      <c r="I1364" s="5" t="s">
        <v>3498</v>
      </c>
      <c r="J1364" s="12" t="str">
        <f>HYPERLINK("https://www.boe.es/gazeta/dias/1802/03/30/pdfs/GMD-1802-26.pdf#page=12","Abrir facsímil")</f>
        <v>Abrir facsímil</v>
      </c>
      <c r="K1364" s="15" t="s">
        <v>23</v>
      </c>
    </row>
    <row r="1365" spans="1:11" ht="42" customHeight="1">
      <c r="A1365" s="4" t="s">
        <v>3499</v>
      </c>
      <c r="B1365" s="5" t="s">
        <v>3500</v>
      </c>
      <c r="C1365" s="5" t="s">
        <v>160</v>
      </c>
      <c r="D1365" s="5" t="s">
        <v>91</v>
      </c>
      <c r="E1365" s="5" t="s">
        <v>20</v>
      </c>
      <c r="F1365" s="9">
        <v>84</v>
      </c>
      <c r="G1365" s="9">
        <v>1042</v>
      </c>
      <c r="H1365" s="5" t="s">
        <v>21</v>
      </c>
      <c r="I1365" s="5" t="s">
        <v>3501</v>
      </c>
      <c r="J1365" s="12" t="str">
        <f>HYPERLINK("https://www.boe.es/gazeta/dias/1802/10/15/pdfs/GMD-1802-84.pdf#page=10","Abrir facsímil")</f>
        <v>Abrir facsímil</v>
      </c>
      <c r="K1365" s="15" t="s">
        <v>23</v>
      </c>
    </row>
    <row r="1366" spans="1:11" ht="42" customHeight="1">
      <c r="A1366" s="4" t="s">
        <v>3502</v>
      </c>
      <c r="B1366" s="5" t="s">
        <v>3503</v>
      </c>
      <c r="C1366" s="5" t="s">
        <v>18</v>
      </c>
      <c r="D1366" s="5" t="s">
        <v>19</v>
      </c>
      <c r="E1366" s="5" t="s">
        <v>49</v>
      </c>
      <c r="F1366" s="9">
        <v>83</v>
      </c>
      <c r="G1366" s="9">
        <v>1023</v>
      </c>
      <c r="H1366" s="5" t="s">
        <v>21</v>
      </c>
      <c r="I1366" s="5" t="s">
        <v>3504</v>
      </c>
      <c r="J1366" s="12" t="str">
        <f>HYPERLINK("https://www.boe.es/gazeta/dias/1802/10/12/pdfs/GMD-1802-83.pdf#page=11","Abrir facsímil")</f>
        <v>Abrir facsímil</v>
      </c>
      <c r="K1366" s="15" t="s">
        <v>23</v>
      </c>
    </row>
    <row r="1367" spans="1:11" ht="42" customHeight="1">
      <c r="A1367" s="4" t="s">
        <v>3505</v>
      </c>
      <c r="B1367" s="5" t="s">
        <v>3506</v>
      </c>
      <c r="C1367" s="5" t="s">
        <v>18</v>
      </c>
      <c r="D1367" s="5" t="s">
        <v>19</v>
      </c>
      <c r="E1367" s="5" t="s">
        <v>886</v>
      </c>
      <c r="F1367" s="9">
        <v>7</v>
      </c>
      <c r="G1367" s="9">
        <v>65</v>
      </c>
      <c r="H1367" s="5" t="s">
        <v>21</v>
      </c>
      <c r="I1367" s="5" t="s">
        <v>3507</v>
      </c>
      <c r="J1367" s="12" t="str">
        <f>HYPERLINK("https://www.boe.es/gazeta/dias/1802/01/22/pdfs/GMD-1802-7.pdf#page=5","Abrir facsímil")</f>
        <v>Abrir facsímil</v>
      </c>
      <c r="K1367" s="15" t="s">
        <v>23</v>
      </c>
    </row>
    <row r="1368" spans="1:11" ht="42" customHeight="1">
      <c r="A1368" s="4" t="s">
        <v>3508</v>
      </c>
      <c r="B1368" s="5" t="s">
        <v>3509</v>
      </c>
      <c r="C1368" s="5" t="s">
        <v>29</v>
      </c>
      <c r="D1368" s="5" t="s">
        <v>30</v>
      </c>
      <c r="E1368" s="5" t="s">
        <v>1097</v>
      </c>
      <c r="F1368" s="9">
        <v>20</v>
      </c>
      <c r="G1368" s="9">
        <v>221</v>
      </c>
      <c r="H1368" s="5" t="s">
        <v>21</v>
      </c>
      <c r="I1368" s="5" t="s">
        <v>3510</v>
      </c>
      <c r="J1368" s="12" t="str">
        <f>HYPERLINK("https://www.boe.es/gazeta/dias/1802/03/09/pdfs/GMD-1802-20.pdf#page=9","Abrir facsímil")</f>
        <v>Abrir facsímil</v>
      </c>
      <c r="K1368" s="15" t="s">
        <v>23</v>
      </c>
    </row>
    <row r="1369" spans="1:11" ht="42" customHeight="1">
      <c r="A1369" s="4" t="s">
        <v>3511</v>
      </c>
      <c r="B1369" s="5" t="s">
        <v>3512</v>
      </c>
      <c r="C1369" s="5" t="s">
        <v>18</v>
      </c>
      <c r="D1369" s="5" t="s">
        <v>19</v>
      </c>
      <c r="E1369" s="5" t="s">
        <v>453</v>
      </c>
      <c r="F1369" s="9">
        <v>52</v>
      </c>
      <c r="G1369" s="9">
        <v>631</v>
      </c>
      <c r="H1369" s="5" t="s">
        <v>21</v>
      </c>
      <c r="I1369" s="5" t="s">
        <v>3513</v>
      </c>
      <c r="J1369" s="12" t="str">
        <f>HYPERLINK("https://www.boe.es/gazeta/dias/1802/06/29/pdfs/GMD-1802-52.pdf#page=7","Abrir facsímil")</f>
        <v>Abrir facsímil</v>
      </c>
      <c r="K1369" s="15" t="s">
        <v>23</v>
      </c>
    </row>
    <row r="1370" spans="1:11" ht="42" customHeight="1">
      <c r="A1370" s="4" t="s">
        <v>3514</v>
      </c>
      <c r="B1370" s="5" t="s">
        <v>3515</v>
      </c>
      <c r="C1370" s="5" t="s">
        <v>55</v>
      </c>
      <c r="D1370" s="5" t="s">
        <v>56</v>
      </c>
      <c r="E1370" s="5" t="s">
        <v>232</v>
      </c>
      <c r="F1370" s="9">
        <v>30</v>
      </c>
      <c r="G1370" s="9">
        <v>351</v>
      </c>
      <c r="H1370" s="5" t="s">
        <v>21</v>
      </c>
      <c r="I1370" s="5" t="s">
        <v>3516</v>
      </c>
      <c r="J1370" s="12" t="str">
        <f>HYPERLINK("https://www.boe.es/gazeta/dias/1802/04/13/pdfs/GMD-1802-30.pdf#page=7","Abrir facsímil")</f>
        <v>Abrir facsímil</v>
      </c>
      <c r="K1370" s="15" t="s">
        <v>23</v>
      </c>
    </row>
    <row r="1371" spans="1:11" ht="42" customHeight="1">
      <c r="A1371" s="4" t="s">
        <v>3517</v>
      </c>
      <c r="B1371" s="5" t="s">
        <v>3518</v>
      </c>
      <c r="C1371" s="5" t="s">
        <v>29</v>
      </c>
      <c r="D1371" s="5" t="s">
        <v>30</v>
      </c>
      <c r="E1371" s="5" t="s">
        <v>146</v>
      </c>
      <c r="F1371" s="9">
        <v>42</v>
      </c>
      <c r="G1371" s="9">
        <v>504</v>
      </c>
      <c r="H1371" s="5" t="s">
        <v>21</v>
      </c>
      <c r="I1371" s="5" t="s">
        <v>3519</v>
      </c>
      <c r="J1371" s="12" t="str">
        <f>HYPERLINK("https://www.boe.es/gazeta/dias/1802/05/25/pdfs/GMD-1802-42.pdf#page=8","Abrir facsímil")</f>
        <v>Abrir facsímil</v>
      </c>
      <c r="K1371" s="15" t="s">
        <v>23</v>
      </c>
    </row>
    <row r="1372" spans="1:11" ht="42" customHeight="1">
      <c r="A1372" s="4" t="s">
        <v>3520</v>
      </c>
      <c r="B1372" s="5" t="s">
        <v>3521</v>
      </c>
      <c r="C1372" s="5" t="s">
        <v>18</v>
      </c>
      <c r="D1372" s="5" t="s">
        <v>19</v>
      </c>
      <c r="E1372" s="5" t="s">
        <v>292</v>
      </c>
      <c r="F1372" s="9">
        <v>62</v>
      </c>
      <c r="G1372" s="9">
        <v>753</v>
      </c>
      <c r="H1372" s="5" t="s">
        <v>21</v>
      </c>
      <c r="I1372" s="5" t="s">
        <v>3522</v>
      </c>
      <c r="J1372" s="12" t="str">
        <f>HYPERLINK("https://www.boe.es/gazeta/dias/1802/07/30/pdfs/GMD-1802-62.pdf#page=9","Abrir facsímil")</f>
        <v>Abrir facsímil</v>
      </c>
      <c r="K1372" s="15" t="s">
        <v>23</v>
      </c>
    </row>
    <row r="1373" spans="1:11" ht="42" customHeight="1">
      <c r="A1373" s="4" t="s">
        <v>3523</v>
      </c>
      <c r="B1373" s="5" t="s">
        <v>3524</v>
      </c>
      <c r="C1373" s="5" t="s">
        <v>18</v>
      </c>
      <c r="D1373" s="5" t="s">
        <v>19</v>
      </c>
      <c r="E1373" s="5" t="s">
        <v>75</v>
      </c>
      <c r="F1373" s="9">
        <v>103</v>
      </c>
      <c r="G1373" s="9">
        <v>1264</v>
      </c>
      <c r="H1373" s="5" t="s">
        <v>21</v>
      </c>
      <c r="I1373" s="5" t="s">
        <v>3525</v>
      </c>
      <c r="J1373" s="12" t="str">
        <f>HYPERLINK("https://www.boe.es/gazeta/dias/1802/12/21/pdfs/GMD-1802-103.pdf#page=8","Abrir facsímil")</f>
        <v>Abrir facsímil</v>
      </c>
      <c r="K1373" s="15" t="s">
        <v>23</v>
      </c>
    </row>
    <row r="1374" spans="1:11" ht="42" customHeight="1">
      <c r="A1374" s="4" t="s">
        <v>3526</v>
      </c>
      <c r="B1374" s="5" t="s">
        <v>3527</v>
      </c>
      <c r="C1374" s="5" t="s">
        <v>29</v>
      </c>
      <c r="D1374" s="5" t="s">
        <v>30</v>
      </c>
      <c r="E1374" s="5" t="s">
        <v>148</v>
      </c>
      <c r="F1374" s="9">
        <v>66</v>
      </c>
      <c r="G1374" s="9">
        <v>807</v>
      </c>
      <c r="H1374" s="5" t="s">
        <v>21</v>
      </c>
      <c r="I1374" s="5" t="s">
        <v>3528</v>
      </c>
      <c r="J1374" s="12" t="str">
        <f>HYPERLINK("https://www.boe.es/gazeta/dias/1802/08/13/pdfs/GMD-1802-66.pdf#page=11","Abrir facsímil")</f>
        <v>Abrir facsímil</v>
      </c>
      <c r="K1374" s="15" t="s">
        <v>23</v>
      </c>
    </row>
    <row r="1375" spans="1:11" ht="42" customHeight="1">
      <c r="A1375" s="4" t="s">
        <v>3529</v>
      </c>
      <c r="B1375" s="5" t="s">
        <v>3530</v>
      </c>
      <c r="C1375" s="5" t="s">
        <v>18</v>
      </c>
      <c r="D1375" s="5" t="s">
        <v>19</v>
      </c>
      <c r="E1375" s="5" t="s">
        <v>1332</v>
      </c>
      <c r="F1375" s="9">
        <v>4</v>
      </c>
      <c r="G1375" s="9">
        <v>34</v>
      </c>
      <c r="H1375" s="5" t="s">
        <v>21</v>
      </c>
      <c r="I1375" s="5" t="s">
        <v>3531</v>
      </c>
      <c r="J1375" s="12" t="str">
        <f>HYPERLINK("https://www.boe.es/gazeta/dias/1802/01/12/pdfs/GMD-1802-4.pdf#page=6","Abrir facsímil")</f>
        <v>Abrir facsímil</v>
      </c>
      <c r="K1375" s="15" t="s">
        <v>23</v>
      </c>
    </row>
    <row r="1376" spans="1:11" ht="42" customHeight="1">
      <c r="A1376" s="4" t="s">
        <v>3532</v>
      </c>
      <c r="B1376" s="5" t="s">
        <v>3533</v>
      </c>
      <c r="C1376" s="5" t="s">
        <v>29</v>
      </c>
      <c r="D1376" s="5" t="s">
        <v>30</v>
      </c>
      <c r="E1376" s="5" t="s">
        <v>31</v>
      </c>
      <c r="F1376" s="9">
        <v>27</v>
      </c>
      <c r="G1376" s="9">
        <v>308</v>
      </c>
      <c r="H1376" s="5" t="s">
        <v>21</v>
      </c>
      <c r="I1376" s="5" t="s">
        <v>3534</v>
      </c>
      <c r="J1376" s="12" t="str">
        <f>HYPERLINK("https://www.boe.es/gazeta/dias/1802/04/02/pdfs/GMD-1802-27.pdf#page=4","Abrir facsímil")</f>
        <v>Abrir facsímil</v>
      </c>
      <c r="K1376" s="15" t="s">
        <v>23</v>
      </c>
    </row>
    <row r="1377" spans="1:11" ht="42" customHeight="1">
      <c r="A1377" s="4" t="s">
        <v>3535</v>
      </c>
      <c r="B1377" s="5" t="s">
        <v>3535</v>
      </c>
      <c r="C1377" s="5" t="s">
        <v>29</v>
      </c>
      <c r="D1377" s="5" t="s">
        <v>30</v>
      </c>
      <c r="E1377" s="5" t="s">
        <v>1332</v>
      </c>
      <c r="F1377" s="9">
        <v>4</v>
      </c>
      <c r="G1377" s="9">
        <v>34</v>
      </c>
      <c r="H1377" s="5" t="s">
        <v>21</v>
      </c>
      <c r="I1377" s="5" t="s">
        <v>3536</v>
      </c>
      <c r="J1377" s="12" t="str">
        <f>HYPERLINK("https://www.boe.es/gazeta/dias/1802/01/12/pdfs/GMD-1802-4.pdf#page=6","Abrir facsímil")</f>
        <v>Abrir facsímil</v>
      </c>
      <c r="K1377" s="15" t="s">
        <v>23</v>
      </c>
    </row>
    <row r="1378" spans="1:11" ht="42" customHeight="1">
      <c r="A1378" s="4" t="s">
        <v>3537</v>
      </c>
      <c r="B1378" s="5" t="s">
        <v>3538</v>
      </c>
      <c r="C1378" s="5" t="s">
        <v>160</v>
      </c>
      <c r="D1378" s="5" t="s">
        <v>91</v>
      </c>
      <c r="E1378" s="5" t="s">
        <v>170</v>
      </c>
      <c r="F1378" s="9">
        <v>28</v>
      </c>
      <c r="G1378" s="9">
        <v>323</v>
      </c>
      <c r="H1378" s="5" t="s">
        <v>21</v>
      </c>
      <c r="I1378" s="5" t="s">
        <v>3539</v>
      </c>
      <c r="J1378" s="12" t="str">
        <f>HYPERLINK("https://www.boe.es/gazeta/dias/1802/04/06/pdfs/GMD-1802-28.pdf#page=3","Abrir facsímil")</f>
        <v>Abrir facsímil</v>
      </c>
      <c r="K1378" s="15" t="s">
        <v>23</v>
      </c>
    </row>
    <row r="1379" spans="1:11" ht="42" customHeight="1">
      <c r="A1379" s="4" t="s">
        <v>3537</v>
      </c>
      <c r="B1379" s="5" t="s">
        <v>3538</v>
      </c>
      <c r="C1379" s="5" t="s">
        <v>18</v>
      </c>
      <c r="D1379" s="5" t="s">
        <v>19</v>
      </c>
      <c r="E1379" s="5" t="s">
        <v>814</v>
      </c>
      <c r="F1379" s="9">
        <v>41</v>
      </c>
      <c r="G1379" s="9">
        <v>488</v>
      </c>
      <c r="H1379" s="5" t="s">
        <v>21</v>
      </c>
      <c r="I1379" s="5" t="s">
        <v>3540</v>
      </c>
      <c r="J1379" s="12" t="str">
        <f>HYPERLINK("https://www.boe.es/gazeta/dias/1802/05/21/pdfs/GMD-1802-41.pdf#page=4","Abrir facsímil")</f>
        <v>Abrir facsímil</v>
      </c>
      <c r="K1379" s="15" t="s">
        <v>23</v>
      </c>
    </row>
    <row r="1380" spans="1:11" ht="42" customHeight="1">
      <c r="A1380" s="4" t="s">
        <v>3541</v>
      </c>
      <c r="B1380" s="5" t="s">
        <v>3542</v>
      </c>
      <c r="C1380" s="5" t="s">
        <v>18</v>
      </c>
      <c r="D1380" s="5" t="s">
        <v>19</v>
      </c>
      <c r="E1380" s="5" t="s">
        <v>886</v>
      </c>
      <c r="F1380" s="9">
        <v>7</v>
      </c>
      <c r="G1380" s="9">
        <v>66</v>
      </c>
      <c r="H1380" s="5" t="s">
        <v>21</v>
      </c>
      <c r="I1380" s="5" t="s">
        <v>3543</v>
      </c>
      <c r="J1380" s="12" t="str">
        <f>HYPERLINK("https://www.boe.es/gazeta/dias/1802/01/22/pdfs/GMD-1802-7.pdf#page=6","Abrir facsímil")</f>
        <v>Abrir facsímil</v>
      </c>
      <c r="K1380" s="15" t="s">
        <v>23</v>
      </c>
    </row>
    <row r="1381" spans="1:11" ht="42" customHeight="1">
      <c r="A1381" s="4" t="s">
        <v>3541</v>
      </c>
      <c r="B1381" s="5" t="s">
        <v>3542</v>
      </c>
      <c r="C1381" s="5" t="s">
        <v>35</v>
      </c>
      <c r="D1381" s="5" t="s">
        <v>36</v>
      </c>
      <c r="E1381" s="5" t="s">
        <v>109</v>
      </c>
      <c r="F1381" s="9">
        <v>10</v>
      </c>
      <c r="G1381" s="9">
        <v>94</v>
      </c>
      <c r="H1381" s="5" t="s">
        <v>21</v>
      </c>
      <c r="I1381" s="5" t="s">
        <v>3544</v>
      </c>
      <c r="J1381" s="12" t="str">
        <f>HYPERLINK("https://www.boe.es/gazeta/dias/1802/02/02/pdfs/GMD-1802-10.pdf#page=2","Abrir facsímil")</f>
        <v>Abrir facsímil</v>
      </c>
      <c r="K1381" s="15" t="s">
        <v>23</v>
      </c>
    </row>
    <row r="1382" spans="1:11" ht="42" customHeight="1">
      <c r="A1382" s="4" t="s">
        <v>3541</v>
      </c>
      <c r="B1382" s="5" t="s">
        <v>3542</v>
      </c>
      <c r="C1382" s="5" t="s">
        <v>35</v>
      </c>
      <c r="D1382" s="5" t="s">
        <v>36</v>
      </c>
      <c r="E1382" s="5" t="s">
        <v>131</v>
      </c>
      <c r="F1382" s="9">
        <v>11</v>
      </c>
      <c r="G1382" s="9">
        <v>109</v>
      </c>
      <c r="H1382" s="5" t="s">
        <v>21</v>
      </c>
      <c r="I1382" s="5" t="s">
        <v>3545</v>
      </c>
      <c r="J1382" s="12" t="str">
        <f>HYPERLINK("https://www.boe.es/gazeta/dias/1802/02/05/pdfs/GMD-1802-11.pdf#page=5","Abrir facsímil")</f>
        <v>Abrir facsímil</v>
      </c>
      <c r="K1382" s="15" t="s">
        <v>23</v>
      </c>
    </row>
    <row r="1383" spans="1:11" ht="42" customHeight="1">
      <c r="A1383" s="4" t="s">
        <v>3541</v>
      </c>
      <c r="B1383" s="5" t="s">
        <v>3542</v>
      </c>
      <c r="C1383" s="5" t="s">
        <v>35</v>
      </c>
      <c r="D1383" s="5" t="s">
        <v>36</v>
      </c>
      <c r="E1383" s="5" t="s">
        <v>1588</v>
      </c>
      <c r="F1383" s="9">
        <v>18</v>
      </c>
      <c r="G1383" s="9">
        <v>192</v>
      </c>
      <c r="H1383" s="5" t="s">
        <v>21</v>
      </c>
      <c r="I1383" s="5" t="s">
        <v>3546</v>
      </c>
      <c r="J1383" s="12" t="str">
        <f>HYPERLINK("https://www.boe.es/gazeta/dias/1802/03/02/pdfs/GMD-1802-18.pdf#page=4","Abrir facsímil")</f>
        <v>Abrir facsímil</v>
      </c>
      <c r="K1383" s="15" t="s">
        <v>23</v>
      </c>
    </row>
    <row r="1384" spans="1:11" ht="42" customHeight="1">
      <c r="A1384" s="4" t="s">
        <v>3541</v>
      </c>
      <c r="B1384" s="5" t="s">
        <v>3542</v>
      </c>
      <c r="C1384" s="5" t="s">
        <v>35</v>
      </c>
      <c r="D1384" s="5" t="s">
        <v>36</v>
      </c>
      <c r="E1384" s="5" t="s">
        <v>92</v>
      </c>
      <c r="F1384" s="9">
        <v>29</v>
      </c>
      <c r="G1384" s="9">
        <v>336</v>
      </c>
      <c r="H1384" s="5" t="s">
        <v>21</v>
      </c>
      <c r="I1384" s="5" t="s">
        <v>3547</v>
      </c>
      <c r="J1384" s="12" t="str">
        <f>HYPERLINK("https://www.boe.es/gazeta/dias/1802/04/09/pdfs/GMD-1802-29.pdf#page=4","Abrir facsímil")</f>
        <v>Abrir facsímil</v>
      </c>
      <c r="K1384" s="15" t="s">
        <v>23</v>
      </c>
    </row>
    <row r="1385" spans="1:11" ht="42" customHeight="1">
      <c r="A1385" s="4" t="s">
        <v>3548</v>
      </c>
      <c r="B1385" s="5" t="s">
        <v>3549</v>
      </c>
      <c r="C1385" s="5" t="s">
        <v>29</v>
      </c>
      <c r="D1385" s="5" t="s">
        <v>30</v>
      </c>
      <c r="E1385" s="5" t="s">
        <v>530</v>
      </c>
      <c r="F1385" s="9">
        <v>48</v>
      </c>
      <c r="G1385" s="9">
        <v>580</v>
      </c>
      <c r="H1385" s="5" t="s">
        <v>21</v>
      </c>
      <c r="I1385" s="5" t="s">
        <v>3550</v>
      </c>
      <c r="J1385" s="12" t="str">
        <f>HYPERLINK("https://www.boe.es/gazeta/dias/1802/06/15/pdfs/GMD-1802-48.pdf#page=4","Abrir facsímil")</f>
        <v>Abrir facsímil</v>
      </c>
      <c r="K1385" s="15" t="s">
        <v>23</v>
      </c>
    </row>
    <row r="1386" spans="1:11" ht="42" customHeight="1">
      <c r="A1386" s="4" t="s">
        <v>3541</v>
      </c>
      <c r="B1386" s="5" t="s">
        <v>3542</v>
      </c>
      <c r="C1386" s="5" t="s">
        <v>29</v>
      </c>
      <c r="D1386" s="5" t="s">
        <v>30</v>
      </c>
      <c r="E1386" s="5" t="s">
        <v>443</v>
      </c>
      <c r="F1386" s="9">
        <v>78</v>
      </c>
      <c r="G1386" s="9">
        <v>956</v>
      </c>
      <c r="H1386" s="5" t="s">
        <v>21</v>
      </c>
      <c r="I1386" s="5" t="s">
        <v>3551</v>
      </c>
      <c r="J1386" s="12" t="str">
        <f>HYPERLINK("https://www.boe.es/gazeta/dias/1802/09/24/pdfs/GMD-1802-78.pdf#page=4","Abrir facsímil")</f>
        <v>Abrir facsímil</v>
      </c>
      <c r="K1386" s="15" t="s">
        <v>23</v>
      </c>
    </row>
    <row r="1387" spans="1:11" ht="42" customHeight="1">
      <c r="A1387" s="4" t="s">
        <v>3552</v>
      </c>
      <c r="B1387" s="5" t="s">
        <v>3553</v>
      </c>
      <c r="C1387" s="5" t="s">
        <v>35</v>
      </c>
      <c r="D1387" s="5" t="s">
        <v>36</v>
      </c>
      <c r="E1387" s="5" t="s">
        <v>745</v>
      </c>
      <c r="F1387" s="9">
        <v>92</v>
      </c>
      <c r="G1387" s="9">
        <v>1135</v>
      </c>
      <c r="H1387" s="5" t="s">
        <v>21</v>
      </c>
      <c r="I1387" s="5" t="s">
        <v>3554</v>
      </c>
      <c r="J1387" s="12" t="str">
        <f>HYPERLINK("https://www.boe.es/gazeta/dias/1802/11/12/pdfs/GMD-1802-92.pdf#page=3","Abrir facsímil")</f>
        <v>Abrir facsímil</v>
      </c>
      <c r="K1387" s="15" t="s">
        <v>23</v>
      </c>
    </row>
    <row r="1388" spans="1:11" ht="42" customHeight="1">
      <c r="A1388" s="4" t="s">
        <v>3555</v>
      </c>
      <c r="B1388" s="5" t="s">
        <v>3556</v>
      </c>
      <c r="C1388" s="5" t="s">
        <v>18</v>
      </c>
      <c r="D1388" s="5" t="s">
        <v>19</v>
      </c>
      <c r="E1388" s="5" t="s">
        <v>1332</v>
      </c>
      <c r="F1388" s="9">
        <v>4</v>
      </c>
      <c r="G1388" s="9">
        <v>32</v>
      </c>
      <c r="H1388" s="5" t="s">
        <v>21</v>
      </c>
      <c r="I1388" s="5" t="s">
        <v>3557</v>
      </c>
      <c r="J1388" s="12" t="str">
        <f>HYPERLINK("https://www.boe.es/gazeta/dias/1802/01/12/pdfs/GMD-1802-4.pdf#page=4","Abrir facsímil")</f>
        <v>Abrir facsímil</v>
      </c>
      <c r="K1388" s="15" t="s">
        <v>23</v>
      </c>
    </row>
    <row r="1389" spans="1:11" ht="42" customHeight="1">
      <c r="A1389" s="4" t="s">
        <v>3558</v>
      </c>
      <c r="B1389" s="5" t="s">
        <v>3559</v>
      </c>
      <c r="C1389" s="5" t="s">
        <v>29</v>
      </c>
      <c r="D1389" s="5" t="s">
        <v>30</v>
      </c>
      <c r="E1389" s="5" t="s">
        <v>25</v>
      </c>
      <c r="F1389" s="9">
        <v>44</v>
      </c>
      <c r="G1389" s="9">
        <v>527</v>
      </c>
      <c r="H1389" s="5" t="s">
        <v>21</v>
      </c>
      <c r="I1389" s="5" t="s">
        <v>3560</v>
      </c>
      <c r="J1389" s="12" t="str">
        <f>HYPERLINK("https://www.boe.es/gazeta/dias/1802/06/01/pdfs/GMD-1802-44.pdf#page=3","Abrir facsímil")</f>
        <v>Abrir facsímil</v>
      </c>
      <c r="K1389" s="15" t="s">
        <v>23</v>
      </c>
    </row>
    <row r="1390" spans="1:11" ht="42" customHeight="1">
      <c r="A1390" s="4" t="s">
        <v>3561</v>
      </c>
      <c r="B1390" s="5" t="s">
        <v>3562</v>
      </c>
      <c r="C1390" s="5" t="s">
        <v>18</v>
      </c>
      <c r="D1390" s="5" t="s">
        <v>19</v>
      </c>
      <c r="E1390" s="5" t="s">
        <v>20</v>
      </c>
      <c r="F1390" s="9">
        <v>84</v>
      </c>
      <c r="G1390" s="9">
        <v>1040</v>
      </c>
      <c r="H1390" s="5" t="s">
        <v>21</v>
      </c>
      <c r="I1390" s="5" t="s">
        <v>3563</v>
      </c>
      <c r="J1390" s="12" t="str">
        <f>HYPERLINK("https://www.boe.es/gazeta/dias/1802/10/15/pdfs/GMD-1802-84.pdf#page=8","Abrir facsímil")</f>
        <v>Abrir facsímil</v>
      </c>
      <c r="K1390" s="15" t="s">
        <v>23</v>
      </c>
    </row>
    <row r="1391" spans="1:11" ht="42" customHeight="1">
      <c r="A1391" s="4" t="s">
        <v>3564</v>
      </c>
      <c r="B1391" s="5" t="s">
        <v>3565</v>
      </c>
      <c r="C1391" s="5" t="s">
        <v>18</v>
      </c>
      <c r="D1391" s="5" t="s">
        <v>19</v>
      </c>
      <c r="E1391" s="5" t="s">
        <v>20</v>
      </c>
      <c r="F1391" s="9">
        <v>84</v>
      </c>
      <c r="G1391" s="9">
        <v>1044</v>
      </c>
      <c r="H1391" s="5" t="s">
        <v>21</v>
      </c>
      <c r="I1391" s="5" t="s">
        <v>3566</v>
      </c>
      <c r="J1391" s="12" t="str">
        <f>HYPERLINK("https://www.boe.es/gazeta/dias/1802/10/15/pdfs/GMD-1802-84.pdf#page=12","Abrir facsímil")</f>
        <v>Abrir facsímil</v>
      </c>
      <c r="K1391" s="15" t="s">
        <v>23</v>
      </c>
    </row>
    <row r="1392" spans="1:11" ht="42" customHeight="1">
      <c r="A1392" s="4" t="s">
        <v>3567</v>
      </c>
      <c r="B1392" s="5" t="s">
        <v>3568</v>
      </c>
      <c r="C1392" s="5" t="s">
        <v>18</v>
      </c>
      <c r="D1392" s="5" t="s">
        <v>19</v>
      </c>
      <c r="E1392" s="5" t="s">
        <v>491</v>
      </c>
      <c r="F1392" s="9">
        <v>57</v>
      </c>
      <c r="G1392" s="9">
        <v>689</v>
      </c>
      <c r="H1392" s="5" t="s">
        <v>21</v>
      </c>
      <c r="I1392" s="5" t="s">
        <v>3569</v>
      </c>
      <c r="J1392" s="12" t="str">
        <f>HYPERLINK("https://www.boe.es/gazeta/dias/1802/07/16/pdfs/GMD-1802-57.pdf#page=9","Abrir facsímil")</f>
        <v>Abrir facsímil</v>
      </c>
      <c r="K1392" s="15" t="s">
        <v>23</v>
      </c>
    </row>
    <row r="1393" spans="1:11" ht="42" customHeight="1">
      <c r="A1393" s="4" t="s">
        <v>3570</v>
      </c>
      <c r="B1393" s="5" t="s">
        <v>3571</v>
      </c>
      <c r="C1393" s="5" t="s">
        <v>35</v>
      </c>
      <c r="D1393" s="5" t="s">
        <v>36</v>
      </c>
      <c r="E1393" s="5" t="s">
        <v>670</v>
      </c>
      <c r="F1393" s="9">
        <v>40</v>
      </c>
      <c r="G1393" s="9">
        <v>474</v>
      </c>
      <c r="H1393" s="5" t="s">
        <v>21</v>
      </c>
      <c r="I1393" s="5" t="s">
        <v>3572</v>
      </c>
      <c r="J1393" s="12" t="str">
        <f>HYPERLINK("https://www.boe.es/gazeta/dias/1802/05/18/pdfs/GMD-1802-40.pdf#page=2","Abrir facsímil")</f>
        <v>Abrir facsímil</v>
      </c>
      <c r="K1393" s="15" t="s">
        <v>23</v>
      </c>
    </row>
    <row r="1394" spans="1:11" ht="42" customHeight="1">
      <c r="A1394" s="4" t="s">
        <v>3573</v>
      </c>
      <c r="B1394" s="5" t="s">
        <v>3574</v>
      </c>
      <c r="C1394" s="5" t="s">
        <v>18</v>
      </c>
      <c r="D1394" s="5" t="s">
        <v>19</v>
      </c>
      <c r="E1394" s="5" t="s">
        <v>1113</v>
      </c>
      <c r="F1394" s="9">
        <v>6</v>
      </c>
      <c r="G1394" s="9">
        <v>56</v>
      </c>
      <c r="H1394" s="5" t="s">
        <v>21</v>
      </c>
      <c r="I1394" s="5" t="s">
        <v>3575</v>
      </c>
      <c r="J1394" s="12" t="str">
        <f>HYPERLINK("https://www.boe.es/gazeta/dias/1802/01/19/pdfs/GMD-1802-6.pdf#page=4","Abrir facsímil")</f>
        <v>Abrir facsímil</v>
      </c>
      <c r="K1394" s="15" t="s">
        <v>23</v>
      </c>
    </row>
    <row r="1395" spans="1:11" ht="42" customHeight="1">
      <c r="A1395" s="4" t="s">
        <v>3573</v>
      </c>
      <c r="B1395" s="5" t="s">
        <v>3574</v>
      </c>
      <c r="C1395" s="5" t="s">
        <v>35</v>
      </c>
      <c r="D1395" s="5" t="s">
        <v>36</v>
      </c>
      <c r="E1395" s="5" t="s">
        <v>311</v>
      </c>
      <c r="F1395" s="9">
        <v>88</v>
      </c>
      <c r="G1395" s="9">
        <v>1088</v>
      </c>
      <c r="H1395" s="5" t="s">
        <v>21</v>
      </c>
      <c r="I1395" s="5" t="s">
        <v>3576</v>
      </c>
      <c r="J1395" s="12" t="str">
        <f>HYPERLINK("https://www.boe.es/gazeta/dias/1802/10/29/pdfs/GMD-1802-88.pdf#page=4","Abrir facsímil")</f>
        <v>Abrir facsímil</v>
      </c>
      <c r="K1395" s="15" t="s">
        <v>23</v>
      </c>
    </row>
    <row r="1396" spans="1:11" ht="42" customHeight="1">
      <c r="A1396" s="4" t="s">
        <v>3577</v>
      </c>
      <c r="B1396" s="5" t="s">
        <v>3578</v>
      </c>
      <c r="C1396" s="5" t="s">
        <v>18</v>
      </c>
      <c r="D1396" s="5" t="s">
        <v>19</v>
      </c>
      <c r="E1396" s="5" t="s">
        <v>1113</v>
      </c>
      <c r="F1396" s="9">
        <v>6</v>
      </c>
      <c r="G1396" s="9">
        <v>56</v>
      </c>
      <c r="H1396" s="5" t="s">
        <v>21</v>
      </c>
      <c r="I1396" s="5" t="s">
        <v>3579</v>
      </c>
      <c r="J1396" s="12" t="str">
        <f>HYPERLINK("https://www.boe.es/gazeta/dias/1802/01/19/pdfs/GMD-1802-6.pdf#page=4","Abrir facsímil")</f>
        <v>Abrir facsímil</v>
      </c>
      <c r="K1396" s="15" t="s">
        <v>23</v>
      </c>
    </row>
    <row r="1397" spans="1:11" ht="42" customHeight="1">
      <c r="A1397" s="4" t="s">
        <v>3577</v>
      </c>
      <c r="B1397" s="5" t="s">
        <v>3578</v>
      </c>
      <c r="C1397" s="5" t="s">
        <v>29</v>
      </c>
      <c r="D1397" s="5" t="s">
        <v>30</v>
      </c>
      <c r="E1397" s="5" t="s">
        <v>31</v>
      </c>
      <c r="F1397" s="9">
        <v>27</v>
      </c>
      <c r="G1397" s="9">
        <v>309</v>
      </c>
      <c r="H1397" s="5" t="s">
        <v>21</v>
      </c>
      <c r="I1397" s="5" t="s">
        <v>3580</v>
      </c>
      <c r="J1397" s="12" t="str">
        <f>HYPERLINK("https://www.boe.es/gazeta/dias/1802/04/02/pdfs/GMD-1802-27.pdf#page=5","Abrir facsímil")</f>
        <v>Abrir facsímil</v>
      </c>
      <c r="K1397" s="15" t="s">
        <v>23</v>
      </c>
    </row>
    <row r="1398" spans="1:11" ht="42" customHeight="1">
      <c r="A1398" s="4" t="s">
        <v>3577</v>
      </c>
      <c r="B1398" s="5" t="s">
        <v>3578</v>
      </c>
      <c r="C1398" s="5" t="s">
        <v>18</v>
      </c>
      <c r="D1398" s="5" t="s">
        <v>19</v>
      </c>
      <c r="E1398" s="5" t="s">
        <v>453</v>
      </c>
      <c r="F1398" s="9">
        <v>52</v>
      </c>
      <c r="G1398" s="9">
        <v>629</v>
      </c>
      <c r="H1398" s="5" t="s">
        <v>21</v>
      </c>
      <c r="I1398" s="5" t="s">
        <v>3581</v>
      </c>
      <c r="J1398" s="12" t="str">
        <f>HYPERLINK("https://www.boe.es/gazeta/dias/1802/06/29/pdfs/GMD-1802-52.pdf#page=5","Abrir facsímil")</f>
        <v>Abrir facsímil</v>
      </c>
      <c r="K1398" s="15" t="s">
        <v>23</v>
      </c>
    </row>
    <row r="1399" spans="1:11" ht="42" customHeight="1">
      <c r="A1399" s="4" t="s">
        <v>3577</v>
      </c>
      <c r="B1399" s="5" t="s">
        <v>3578</v>
      </c>
      <c r="C1399" s="5" t="s">
        <v>29</v>
      </c>
      <c r="D1399" s="5" t="s">
        <v>30</v>
      </c>
      <c r="E1399" s="5" t="s">
        <v>183</v>
      </c>
      <c r="F1399" s="9">
        <v>56</v>
      </c>
      <c r="G1399" s="9">
        <v>674</v>
      </c>
      <c r="H1399" s="5" t="s">
        <v>21</v>
      </c>
      <c r="I1399" s="5" t="s">
        <v>3582</v>
      </c>
      <c r="J1399" s="12" t="str">
        <f>HYPERLINK("https://www.boe.es/gazeta/dias/1802/07/13/pdfs/GMD-1802-56.pdf#page=6","Abrir facsímil")</f>
        <v>Abrir facsímil</v>
      </c>
      <c r="K1399" s="15" t="s">
        <v>23</v>
      </c>
    </row>
    <row r="1400" spans="1:11" ht="42" customHeight="1">
      <c r="A1400" s="4" t="s">
        <v>3583</v>
      </c>
      <c r="B1400" s="5" t="s">
        <v>3583</v>
      </c>
      <c r="C1400" s="5" t="s">
        <v>35</v>
      </c>
      <c r="D1400" s="5" t="s">
        <v>36</v>
      </c>
      <c r="E1400" s="5" t="s">
        <v>339</v>
      </c>
      <c r="F1400" s="9">
        <v>39</v>
      </c>
      <c r="G1400" s="9">
        <v>460</v>
      </c>
      <c r="H1400" s="5" t="s">
        <v>21</v>
      </c>
      <c r="I1400" s="5" t="s">
        <v>3584</v>
      </c>
      <c r="J1400" s="12" t="str">
        <f>HYPERLINK("https://www.boe.es/gazeta/dias/1802/05/14/pdfs/GMD-1802-39.pdf#page=4","Abrir facsímil")</f>
        <v>Abrir facsímil</v>
      </c>
      <c r="K1400" s="15" t="s">
        <v>23</v>
      </c>
    </row>
    <row r="1401" spans="1:11" ht="42" customHeight="1">
      <c r="A1401" s="4" t="s">
        <v>3585</v>
      </c>
      <c r="B1401" s="5" t="s">
        <v>3586</v>
      </c>
      <c r="C1401" s="5" t="s">
        <v>18</v>
      </c>
      <c r="D1401" s="5" t="s">
        <v>19</v>
      </c>
      <c r="E1401" s="5" t="s">
        <v>49</v>
      </c>
      <c r="F1401" s="9">
        <v>83</v>
      </c>
      <c r="G1401" s="9">
        <v>1023</v>
      </c>
      <c r="H1401" s="5" t="s">
        <v>21</v>
      </c>
      <c r="I1401" s="5" t="s">
        <v>3587</v>
      </c>
      <c r="J1401" s="12" t="str">
        <f>HYPERLINK("https://www.boe.es/gazeta/dias/1802/10/12/pdfs/GMD-1802-83.pdf#page=11","Abrir facsímil")</f>
        <v>Abrir facsímil</v>
      </c>
      <c r="K1401" s="15" t="s">
        <v>23</v>
      </c>
    </row>
    <row r="1402" spans="1:11" ht="42" customHeight="1">
      <c r="A1402" s="4" t="s">
        <v>3588</v>
      </c>
      <c r="B1402" s="5" t="s">
        <v>3589</v>
      </c>
      <c r="C1402" s="5" t="s">
        <v>29</v>
      </c>
      <c r="D1402" s="5" t="s">
        <v>30</v>
      </c>
      <c r="E1402" s="5" t="s">
        <v>20</v>
      </c>
      <c r="F1402" s="9">
        <v>84</v>
      </c>
      <c r="G1402" s="9">
        <v>1047</v>
      </c>
      <c r="H1402" s="5" t="s">
        <v>21</v>
      </c>
      <c r="I1402" s="5" t="s">
        <v>3590</v>
      </c>
      <c r="J1402" s="12" t="str">
        <f>HYPERLINK("https://www.boe.es/gazeta/dias/1802/10/15/pdfs/GMD-1802-84.pdf#page=15","Abrir facsímil")</f>
        <v>Abrir facsímil</v>
      </c>
      <c r="K1402" s="15" t="s">
        <v>23</v>
      </c>
    </row>
    <row r="1403" spans="1:11" ht="42" customHeight="1">
      <c r="A1403" s="4" t="s">
        <v>3591</v>
      </c>
      <c r="B1403" s="5" t="s">
        <v>3592</v>
      </c>
      <c r="C1403" s="5" t="s">
        <v>29</v>
      </c>
      <c r="D1403" s="5" t="s">
        <v>30</v>
      </c>
      <c r="E1403" s="5" t="s">
        <v>20</v>
      </c>
      <c r="F1403" s="9">
        <v>84</v>
      </c>
      <c r="G1403" s="9">
        <v>1042</v>
      </c>
      <c r="H1403" s="5" t="s">
        <v>21</v>
      </c>
      <c r="I1403" s="5" t="s">
        <v>3593</v>
      </c>
      <c r="J1403" s="12" t="str">
        <f>HYPERLINK("https://www.boe.es/gazeta/dias/1802/10/15/pdfs/GMD-1802-84.pdf#page=10","Abrir facsímil")</f>
        <v>Abrir facsímil</v>
      </c>
      <c r="K1403" s="15" t="s">
        <v>23</v>
      </c>
    </row>
    <row r="1404" spans="1:11" ht="42" customHeight="1">
      <c r="A1404" s="4" t="s">
        <v>3594</v>
      </c>
      <c r="B1404" s="5" t="s">
        <v>3595</v>
      </c>
      <c r="C1404" s="5" t="s">
        <v>29</v>
      </c>
      <c r="D1404" s="5" t="s">
        <v>30</v>
      </c>
      <c r="E1404" s="5" t="s">
        <v>73</v>
      </c>
      <c r="F1404" s="9">
        <v>102</v>
      </c>
      <c r="G1404" s="9">
        <v>1254</v>
      </c>
      <c r="H1404" s="5" t="s">
        <v>21</v>
      </c>
      <c r="I1404" s="5" t="s">
        <v>3596</v>
      </c>
      <c r="J1404" s="12" t="str">
        <f>HYPERLINK("https://www.boe.es/gazeta/dias/1802/12/17/pdfs/GMD-1802-102.pdf#page=10","Abrir facsímil")</f>
        <v>Abrir facsímil</v>
      </c>
      <c r="K1404" s="15" t="s">
        <v>23</v>
      </c>
    </row>
    <row r="1405" spans="1:11" ht="42" customHeight="1">
      <c r="A1405" s="4" t="s">
        <v>3597</v>
      </c>
      <c r="B1405" s="5" t="s">
        <v>3598</v>
      </c>
      <c r="C1405" s="5" t="s">
        <v>29</v>
      </c>
      <c r="D1405" s="5" t="s">
        <v>30</v>
      </c>
      <c r="E1405" s="5" t="s">
        <v>57</v>
      </c>
      <c r="F1405" s="9">
        <v>54</v>
      </c>
      <c r="G1405" s="9">
        <v>652</v>
      </c>
      <c r="H1405" s="5" t="s">
        <v>21</v>
      </c>
      <c r="I1405" s="5" t="s">
        <v>3599</v>
      </c>
      <c r="J1405" s="12" t="str">
        <f>HYPERLINK("https://www.boe.es/gazeta/dias/1802/07/06/pdfs/GMD-1802-54.pdf#page=8","Abrir facsímil")</f>
        <v>Abrir facsímil</v>
      </c>
      <c r="K1405" s="15" t="s">
        <v>23</v>
      </c>
    </row>
    <row r="1406" spans="1:11" ht="42" customHeight="1">
      <c r="A1406" s="4" t="s">
        <v>3600</v>
      </c>
      <c r="B1406" s="5" t="s">
        <v>3601</v>
      </c>
      <c r="C1406" s="5" t="s">
        <v>160</v>
      </c>
      <c r="D1406" s="5" t="s">
        <v>91</v>
      </c>
      <c r="E1406" s="5" t="s">
        <v>20</v>
      </c>
      <c r="F1406" s="9">
        <v>84</v>
      </c>
      <c r="G1406" s="9">
        <v>1043</v>
      </c>
      <c r="H1406" s="5" t="s">
        <v>21</v>
      </c>
      <c r="I1406" s="5" t="s">
        <v>3602</v>
      </c>
      <c r="J1406" s="12" t="str">
        <f>HYPERLINK("https://www.boe.es/gazeta/dias/1802/10/15/pdfs/GMD-1802-84.pdf#page=11","Abrir facsímil")</f>
        <v>Abrir facsímil</v>
      </c>
      <c r="K1406" s="15" t="s">
        <v>23</v>
      </c>
    </row>
    <row r="1407" spans="1:11" ht="42" customHeight="1">
      <c r="A1407" s="4" t="s">
        <v>3603</v>
      </c>
      <c r="B1407" s="5" t="s">
        <v>3604</v>
      </c>
      <c r="C1407" s="5" t="s">
        <v>18</v>
      </c>
      <c r="D1407" s="5" t="s">
        <v>19</v>
      </c>
      <c r="E1407" s="5" t="s">
        <v>49</v>
      </c>
      <c r="F1407" s="9">
        <v>83</v>
      </c>
      <c r="G1407" s="9">
        <v>1024</v>
      </c>
      <c r="H1407" s="5" t="s">
        <v>21</v>
      </c>
      <c r="I1407" s="5" t="s">
        <v>3605</v>
      </c>
      <c r="J1407" s="12" t="str">
        <f>HYPERLINK("https://www.boe.es/gazeta/dias/1802/10/12/pdfs/GMD-1802-83.pdf#page=12","Abrir facsímil")</f>
        <v>Abrir facsímil</v>
      </c>
      <c r="K1407" s="15" t="s">
        <v>23</v>
      </c>
    </row>
    <row r="1408" spans="1:11" ht="42" customHeight="1">
      <c r="A1408" s="4" t="s">
        <v>3606</v>
      </c>
      <c r="B1408" s="5" t="s">
        <v>3607</v>
      </c>
      <c r="C1408" s="5" t="s">
        <v>29</v>
      </c>
      <c r="D1408" s="5" t="s">
        <v>30</v>
      </c>
      <c r="E1408" s="5" t="s">
        <v>92</v>
      </c>
      <c r="F1408" s="9">
        <v>29</v>
      </c>
      <c r="G1408" s="9">
        <v>342</v>
      </c>
      <c r="H1408" s="5" t="s">
        <v>21</v>
      </c>
      <c r="I1408" s="5" t="s">
        <v>3608</v>
      </c>
      <c r="J1408" s="12" t="str">
        <f>HYPERLINK("https://www.boe.es/gazeta/dias/1802/04/09/pdfs/GMD-1802-29.pdf#page=10","Abrir facsímil")</f>
        <v>Abrir facsímil</v>
      </c>
      <c r="K1408" s="15" t="s">
        <v>23</v>
      </c>
    </row>
    <row r="1409" spans="1:11" ht="42" customHeight="1">
      <c r="A1409" s="4" t="s">
        <v>3609</v>
      </c>
      <c r="B1409" s="5" t="s">
        <v>3610</v>
      </c>
      <c r="C1409" s="5" t="s">
        <v>18</v>
      </c>
      <c r="D1409" s="5" t="s">
        <v>19</v>
      </c>
      <c r="E1409" s="5" t="s">
        <v>49</v>
      </c>
      <c r="F1409" s="9">
        <v>83</v>
      </c>
      <c r="G1409" s="9">
        <v>1023</v>
      </c>
      <c r="H1409" s="5" t="s">
        <v>21</v>
      </c>
      <c r="I1409" s="5" t="s">
        <v>3611</v>
      </c>
      <c r="J1409" s="12" t="str">
        <f>HYPERLINK("https://www.boe.es/gazeta/dias/1802/10/12/pdfs/GMD-1802-83.pdf#page=11","Abrir facsímil")</f>
        <v>Abrir facsímil</v>
      </c>
      <c r="K1409" s="15" t="s">
        <v>23</v>
      </c>
    </row>
    <row r="1410" spans="1:11" ht="42" customHeight="1">
      <c r="A1410" s="4" t="s">
        <v>3612</v>
      </c>
      <c r="B1410" s="5" t="s">
        <v>3613</v>
      </c>
      <c r="C1410" s="5" t="s">
        <v>18</v>
      </c>
      <c r="D1410" s="5" t="s">
        <v>19</v>
      </c>
      <c r="E1410" s="5" t="s">
        <v>1113</v>
      </c>
      <c r="F1410" s="9">
        <v>6</v>
      </c>
      <c r="G1410" s="9">
        <v>55</v>
      </c>
      <c r="H1410" s="5" t="s">
        <v>21</v>
      </c>
      <c r="I1410" s="5" t="s">
        <v>3614</v>
      </c>
      <c r="J1410" s="12" t="str">
        <f>HYPERLINK("https://www.boe.es/gazeta/dias/1802/01/19/pdfs/GMD-1802-6.pdf#page=3","Abrir facsímil")</f>
        <v>Abrir facsímil</v>
      </c>
      <c r="K1410" s="15" t="s">
        <v>23</v>
      </c>
    </row>
    <row r="1411" spans="1:11" ht="42" customHeight="1">
      <c r="A1411" s="4" t="s">
        <v>3615</v>
      </c>
      <c r="B1411" s="5" t="s">
        <v>3616</v>
      </c>
      <c r="C1411" s="5" t="s">
        <v>29</v>
      </c>
      <c r="D1411" s="5" t="s">
        <v>30</v>
      </c>
      <c r="E1411" s="5" t="s">
        <v>678</v>
      </c>
      <c r="F1411" s="9">
        <v>15</v>
      </c>
      <c r="G1411" s="9">
        <v>158</v>
      </c>
      <c r="H1411" s="5" t="s">
        <v>21</v>
      </c>
      <c r="I1411" s="5" t="s">
        <v>3617</v>
      </c>
      <c r="J1411" s="12" t="str">
        <f>HYPERLINK("https://www.boe.es/gazeta/dias/1802/02/19/pdfs/GMD-1802-15.pdf#page=10","Abrir facsímil")</f>
        <v>Abrir facsímil</v>
      </c>
      <c r="K1411" s="15" t="s">
        <v>23</v>
      </c>
    </row>
    <row r="1412" spans="1:11" ht="42" customHeight="1">
      <c r="A1412" s="4" t="s">
        <v>3615</v>
      </c>
      <c r="B1412" s="5" t="s">
        <v>3616</v>
      </c>
      <c r="C1412" s="5" t="s">
        <v>18</v>
      </c>
      <c r="D1412" s="5" t="s">
        <v>19</v>
      </c>
      <c r="E1412" s="5" t="s">
        <v>31</v>
      </c>
      <c r="F1412" s="9">
        <v>27</v>
      </c>
      <c r="G1412" s="9">
        <v>318</v>
      </c>
      <c r="H1412" s="5" t="s">
        <v>21</v>
      </c>
      <c r="I1412" s="5" t="s">
        <v>3618</v>
      </c>
      <c r="J1412" s="12" t="str">
        <f>HYPERLINK("https://www.boe.es/gazeta/dias/1802/04/02/pdfs/GMD-1802-27.pdf#page=14","Abrir facsímil")</f>
        <v>Abrir facsímil</v>
      </c>
      <c r="K1412" s="15" t="s">
        <v>23</v>
      </c>
    </row>
    <row r="1413" spans="1:11" ht="42" customHeight="1">
      <c r="A1413" s="4" t="s">
        <v>3619</v>
      </c>
      <c r="B1413" s="5" t="s">
        <v>3620</v>
      </c>
      <c r="C1413" s="5" t="s">
        <v>18</v>
      </c>
      <c r="D1413" s="5" t="s">
        <v>19</v>
      </c>
      <c r="E1413" s="5" t="s">
        <v>49</v>
      </c>
      <c r="F1413" s="9">
        <v>83</v>
      </c>
      <c r="G1413" s="9">
        <v>1025</v>
      </c>
      <c r="H1413" s="5" t="s">
        <v>21</v>
      </c>
      <c r="I1413" s="5" t="s">
        <v>3621</v>
      </c>
      <c r="J1413" s="12" t="str">
        <f>HYPERLINK("https://www.boe.es/gazeta/dias/1802/10/12/pdfs/GMD-1802-83.pdf#page=13","Abrir facsímil")</f>
        <v>Abrir facsímil</v>
      </c>
      <c r="K1413" s="15" t="s">
        <v>23</v>
      </c>
    </row>
    <row r="1414" spans="1:11" ht="42" customHeight="1">
      <c r="A1414" s="4" t="s">
        <v>3622</v>
      </c>
      <c r="B1414" s="5" t="s">
        <v>3622</v>
      </c>
      <c r="C1414" s="5" t="s">
        <v>35</v>
      </c>
      <c r="D1414" s="5" t="s">
        <v>36</v>
      </c>
      <c r="E1414" s="5" t="s">
        <v>491</v>
      </c>
      <c r="F1414" s="9">
        <v>57</v>
      </c>
      <c r="G1414" s="9">
        <v>688</v>
      </c>
      <c r="H1414" s="5" t="s">
        <v>21</v>
      </c>
      <c r="I1414" s="5" t="s">
        <v>3623</v>
      </c>
      <c r="J1414" s="12" t="str">
        <f>HYPERLINK("https://www.boe.es/gazeta/dias/1802/07/16/pdfs/GMD-1802-57.pdf#page=8","Abrir facsímil")</f>
        <v>Abrir facsímil</v>
      </c>
      <c r="K1414" s="15" t="s">
        <v>23</v>
      </c>
    </row>
    <row r="1415" spans="1:11" ht="42" customHeight="1">
      <c r="A1415" s="4" t="s">
        <v>3624</v>
      </c>
      <c r="B1415" s="5" t="s">
        <v>3624</v>
      </c>
      <c r="C1415" s="5" t="s">
        <v>18</v>
      </c>
      <c r="D1415" s="5" t="s">
        <v>19</v>
      </c>
      <c r="E1415" s="5" t="s">
        <v>20</v>
      </c>
      <c r="F1415" s="9">
        <v>84</v>
      </c>
      <c r="G1415" s="9">
        <v>1040</v>
      </c>
      <c r="H1415" s="5" t="s">
        <v>21</v>
      </c>
      <c r="I1415" s="5" t="s">
        <v>3625</v>
      </c>
      <c r="J1415" s="12" t="str">
        <f>HYPERLINK("https://www.boe.es/gazeta/dias/1802/10/15/pdfs/GMD-1802-84.pdf#page=8","Abrir facsímil")</f>
        <v>Abrir facsímil</v>
      </c>
      <c r="K1415" s="15" t="s">
        <v>23</v>
      </c>
    </row>
    <row r="1416" spans="1:11" ht="42" customHeight="1">
      <c r="A1416" s="4" t="s">
        <v>3626</v>
      </c>
      <c r="B1416" s="5" t="s">
        <v>3626</v>
      </c>
      <c r="C1416" s="5" t="s">
        <v>42</v>
      </c>
      <c r="D1416" s="5" t="s">
        <v>43</v>
      </c>
      <c r="E1416" s="5" t="s">
        <v>44</v>
      </c>
      <c r="F1416" s="9">
        <v>99</v>
      </c>
      <c r="G1416" s="9" t="s">
        <v>554</v>
      </c>
      <c r="H1416" s="5" t="s">
        <v>21</v>
      </c>
      <c r="I1416" s="5" t="s">
        <v>3627</v>
      </c>
      <c r="J1416" s="12" t="str">
        <f>HYPERLINK("https://www.boe.es/gazeta/dias/1802/12/07/pdfs/GMD-D-1802-99.pdf#page=4","Abrir facsímil")</f>
        <v>Abrir facsímil</v>
      </c>
      <c r="K1416" s="15" t="s">
        <v>23</v>
      </c>
    </row>
    <row r="1417" spans="1:11" ht="42" customHeight="1">
      <c r="A1417" s="4" t="s">
        <v>3628</v>
      </c>
      <c r="B1417" s="5" t="s">
        <v>3628</v>
      </c>
      <c r="C1417" s="5" t="s">
        <v>18</v>
      </c>
      <c r="D1417" s="5" t="s">
        <v>19</v>
      </c>
      <c r="E1417" s="5" t="s">
        <v>49</v>
      </c>
      <c r="F1417" s="9">
        <v>83</v>
      </c>
      <c r="G1417" s="9">
        <v>1025</v>
      </c>
      <c r="H1417" s="5" t="s">
        <v>21</v>
      </c>
      <c r="I1417" s="5" t="s">
        <v>3629</v>
      </c>
      <c r="J1417" s="12" t="str">
        <f>HYPERLINK("https://www.boe.es/gazeta/dias/1802/10/12/pdfs/GMD-1802-83.pdf#page=13","Abrir facsímil")</f>
        <v>Abrir facsímil</v>
      </c>
      <c r="K1417" s="15" t="s">
        <v>23</v>
      </c>
    </row>
    <row r="1418" spans="1:11" ht="42" customHeight="1">
      <c r="A1418" s="4" t="s">
        <v>3630</v>
      </c>
      <c r="B1418" s="5" t="s">
        <v>3630</v>
      </c>
      <c r="C1418" s="5" t="s">
        <v>29</v>
      </c>
      <c r="D1418" s="5" t="s">
        <v>30</v>
      </c>
      <c r="E1418" s="5" t="s">
        <v>163</v>
      </c>
      <c r="F1418" s="9">
        <v>1</v>
      </c>
      <c r="G1418" s="9">
        <v>7</v>
      </c>
      <c r="H1418" s="5" t="s">
        <v>21</v>
      </c>
      <c r="I1418" s="5" t="s">
        <v>3631</v>
      </c>
      <c r="J1418" s="12" t="str">
        <f>HYPERLINK("https://www.boe.es/gazeta/dias/1802/01/01/pdfs/GMD-1802-1.pdf#page=7","Abrir facsímil")</f>
        <v>Abrir facsímil</v>
      </c>
      <c r="K1418" s="15" t="s">
        <v>23</v>
      </c>
    </row>
    <row r="1419" spans="1:11" ht="42" customHeight="1">
      <c r="A1419" s="4" t="s">
        <v>3632</v>
      </c>
      <c r="B1419" s="5" t="s">
        <v>3632</v>
      </c>
      <c r="C1419" s="5" t="s">
        <v>18</v>
      </c>
      <c r="D1419" s="5" t="s">
        <v>19</v>
      </c>
      <c r="E1419" s="5" t="s">
        <v>20</v>
      </c>
      <c r="F1419" s="9">
        <v>84</v>
      </c>
      <c r="G1419" s="9">
        <v>1040</v>
      </c>
      <c r="H1419" s="5" t="s">
        <v>21</v>
      </c>
      <c r="I1419" s="5" t="s">
        <v>3633</v>
      </c>
      <c r="J1419" s="12" t="str">
        <f>HYPERLINK("https://www.boe.es/gazeta/dias/1802/10/15/pdfs/GMD-1802-84.pdf#page=8","Abrir facsímil")</f>
        <v>Abrir facsímil</v>
      </c>
      <c r="K1419" s="15" t="s">
        <v>23</v>
      </c>
    </row>
    <row r="1420" spans="1:11" ht="42" customHeight="1">
      <c r="A1420" s="4" t="s">
        <v>3634</v>
      </c>
      <c r="B1420" s="5" t="s">
        <v>3635</v>
      </c>
      <c r="C1420" s="5" t="s">
        <v>29</v>
      </c>
      <c r="D1420" s="5" t="s">
        <v>30</v>
      </c>
      <c r="E1420" s="5" t="s">
        <v>1051</v>
      </c>
      <c r="F1420" s="9">
        <v>43</v>
      </c>
      <c r="G1420" s="9">
        <v>518</v>
      </c>
      <c r="H1420" s="5" t="s">
        <v>21</v>
      </c>
      <c r="I1420" s="5" t="s">
        <v>3636</v>
      </c>
      <c r="J1420" s="12" t="str">
        <f>HYPERLINK("https://www.boe.es/gazeta/dias/1802/05/28/pdfs/GMD-1802-43.pdf#page=10","Abrir facsímil")</f>
        <v>Abrir facsímil</v>
      </c>
      <c r="K1420" s="15" t="s">
        <v>23</v>
      </c>
    </row>
    <row r="1421" spans="1:11" ht="42" customHeight="1">
      <c r="A1421" s="4" t="s">
        <v>3637</v>
      </c>
      <c r="B1421" s="5" t="s">
        <v>3638</v>
      </c>
      <c r="C1421" s="5" t="s">
        <v>29</v>
      </c>
      <c r="D1421" s="5" t="s">
        <v>30</v>
      </c>
      <c r="E1421" s="5" t="s">
        <v>86</v>
      </c>
      <c r="F1421" s="9">
        <v>26</v>
      </c>
      <c r="G1421" s="9">
        <v>298</v>
      </c>
      <c r="H1421" s="5" t="s">
        <v>21</v>
      </c>
      <c r="I1421" s="5" t="s">
        <v>3639</v>
      </c>
      <c r="J1421" s="12" t="str">
        <f>HYPERLINK("https://www.boe.es/gazeta/dias/1802/03/30/pdfs/GMD-1802-26.pdf#page=10","Abrir facsímil")</f>
        <v>Abrir facsímil</v>
      </c>
      <c r="K1421" s="15" t="s">
        <v>23</v>
      </c>
    </row>
    <row r="1422" spans="1:11" ht="42" customHeight="1">
      <c r="A1422" s="4" t="s">
        <v>3640</v>
      </c>
      <c r="B1422" s="5" t="s">
        <v>3641</v>
      </c>
      <c r="C1422" s="5" t="s">
        <v>18</v>
      </c>
      <c r="D1422" s="5" t="s">
        <v>19</v>
      </c>
      <c r="E1422" s="5" t="s">
        <v>20</v>
      </c>
      <c r="F1422" s="9">
        <v>84</v>
      </c>
      <c r="G1422" s="9">
        <v>1043</v>
      </c>
      <c r="H1422" s="5" t="s">
        <v>21</v>
      </c>
      <c r="I1422" s="5" t="s">
        <v>3642</v>
      </c>
      <c r="J1422" s="12" t="str">
        <f>HYPERLINK("https://www.boe.es/gazeta/dias/1802/10/15/pdfs/GMD-1802-84.pdf#page=11","Abrir facsímil")</f>
        <v>Abrir facsímil</v>
      </c>
      <c r="K1422" s="15" t="s">
        <v>23</v>
      </c>
    </row>
    <row r="1423" spans="1:11" ht="42" customHeight="1">
      <c r="A1423" s="4" t="s">
        <v>3643</v>
      </c>
      <c r="B1423" s="5" t="s">
        <v>3644</v>
      </c>
      <c r="C1423" s="5" t="s">
        <v>90</v>
      </c>
      <c r="D1423" s="5" t="s">
        <v>91</v>
      </c>
      <c r="E1423" s="5" t="s">
        <v>710</v>
      </c>
      <c r="F1423" s="9">
        <v>85</v>
      </c>
      <c r="G1423" s="9">
        <v>1059</v>
      </c>
      <c r="H1423" s="5" t="s">
        <v>21</v>
      </c>
      <c r="I1423" s="5" t="s">
        <v>3645</v>
      </c>
      <c r="J1423" s="12" t="str">
        <f>HYPERLINK("https://www.boe.es/gazeta/dias/1802/10/19/pdfs/GMD-1802-85.pdf#page=11","Abrir facsímil")</f>
        <v>Abrir facsímil</v>
      </c>
      <c r="K1423" s="15" t="s">
        <v>23</v>
      </c>
    </row>
    <row r="1424" spans="1:11" ht="42" customHeight="1">
      <c r="A1424" s="4" t="s">
        <v>3646</v>
      </c>
      <c r="B1424" s="5" t="s">
        <v>3647</v>
      </c>
      <c r="C1424" s="5" t="s">
        <v>29</v>
      </c>
      <c r="D1424" s="5" t="s">
        <v>30</v>
      </c>
      <c r="E1424" s="5" t="s">
        <v>299</v>
      </c>
      <c r="F1424" s="9">
        <v>19</v>
      </c>
      <c r="G1424" s="9">
        <v>210</v>
      </c>
      <c r="H1424" s="5" t="s">
        <v>21</v>
      </c>
      <c r="I1424" s="5" t="s">
        <v>3648</v>
      </c>
      <c r="J1424" s="12" t="str">
        <f>HYPERLINK("https://www.boe.es/gazeta/dias/1802/03/05/pdfs/GMD-1802-19.pdf#page=10","Abrir facsímil")</f>
        <v>Abrir facsímil</v>
      </c>
      <c r="K1424" s="15" t="s">
        <v>23</v>
      </c>
    </row>
    <row r="1425" spans="1:11" ht="42" customHeight="1">
      <c r="A1425" s="4" t="s">
        <v>3649</v>
      </c>
      <c r="B1425" s="5" t="s">
        <v>3649</v>
      </c>
      <c r="C1425" s="5" t="s">
        <v>29</v>
      </c>
      <c r="D1425" s="5" t="s">
        <v>30</v>
      </c>
      <c r="E1425" s="5" t="s">
        <v>823</v>
      </c>
      <c r="F1425" s="9">
        <v>94</v>
      </c>
      <c r="G1425" s="9">
        <v>1153</v>
      </c>
      <c r="H1425" s="5" t="s">
        <v>21</v>
      </c>
      <c r="I1425" s="5" t="s">
        <v>3650</v>
      </c>
      <c r="J1425" s="12" t="str">
        <f>HYPERLINK("https://www.boe.es/gazeta/dias/1802/11/19/pdfs/GMD-1802-94.pdf#page=1","Abrir facsímil")</f>
        <v>Abrir facsímil</v>
      </c>
      <c r="K1425" s="15" t="s">
        <v>23</v>
      </c>
    </row>
    <row r="1426" spans="1:11" ht="42" customHeight="1">
      <c r="A1426" s="4" t="s">
        <v>3651</v>
      </c>
      <c r="B1426" s="5" t="s">
        <v>3651</v>
      </c>
      <c r="C1426" s="5" t="s">
        <v>35</v>
      </c>
      <c r="D1426" s="5" t="s">
        <v>36</v>
      </c>
      <c r="E1426" s="5" t="s">
        <v>142</v>
      </c>
      <c r="F1426" s="9">
        <v>64</v>
      </c>
      <c r="G1426" s="9">
        <v>779</v>
      </c>
      <c r="H1426" s="5" t="s">
        <v>21</v>
      </c>
      <c r="I1426" s="5" t="s">
        <v>3652</v>
      </c>
      <c r="J1426" s="12" t="str">
        <f>HYPERLINK("https://www.boe.es/gazeta/dias/1802/08/06/pdfs/GMD-1802-64.pdf#page=7","Abrir facsímil")</f>
        <v>Abrir facsímil</v>
      </c>
      <c r="K1426" s="15" t="s">
        <v>23</v>
      </c>
    </row>
    <row r="1427" spans="1:11" ht="42" customHeight="1">
      <c r="A1427" s="4" t="s">
        <v>3653</v>
      </c>
      <c r="B1427" s="5" t="s">
        <v>3654</v>
      </c>
      <c r="C1427" s="5" t="s">
        <v>42</v>
      </c>
      <c r="D1427" s="5" t="s">
        <v>43</v>
      </c>
      <c r="E1427" s="5" t="s">
        <v>44</v>
      </c>
      <c r="F1427" s="9">
        <v>99</v>
      </c>
      <c r="G1427" s="9" t="s">
        <v>550</v>
      </c>
      <c r="H1427" s="5" t="s">
        <v>21</v>
      </c>
      <c r="I1427" s="5" t="s">
        <v>3655</v>
      </c>
      <c r="J1427" s="12" t="str">
        <f>HYPERLINK("https://www.boe.es/gazeta/dias/1802/12/07/pdfs/GMD-D-1802-99.pdf#page=16","Abrir facsímil")</f>
        <v>Abrir facsímil</v>
      </c>
      <c r="K1427" s="15" t="s">
        <v>23</v>
      </c>
    </row>
    <row r="1428" spans="1:11" ht="42" customHeight="1">
      <c r="A1428" s="4" t="s">
        <v>3656</v>
      </c>
      <c r="B1428" s="5" t="s">
        <v>3656</v>
      </c>
      <c r="C1428" s="5" t="s">
        <v>29</v>
      </c>
      <c r="D1428" s="5" t="s">
        <v>30</v>
      </c>
      <c r="E1428" s="5" t="s">
        <v>37</v>
      </c>
      <c r="F1428" s="9">
        <v>106</v>
      </c>
      <c r="G1428" s="9">
        <v>1291</v>
      </c>
      <c r="H1428" s="5" t="s">
        <v>21</v>
      </c>
      <c r="I1428" s="5" t="s">
        <v>3657</v>
      </c>
      <c r="J1428" s="12" t="str">
        <f>HYPERLINK("https://www.boe.es/gazeta/dias/1802/12/31/pdfs/GMD-1802-106.pdf#page=3","Abrir facsímil")</f>
        <v>Abrir facsímil</v>
      </c>
      <c r="K1428" s="15" t="s">
        <v>23</v>
      </c>
    </row>
    <row r="1429" spans="1:11" ht="42" customHeight="1">
      <c r="A1429" s="4" t="s">
        <v>3658</v>
      </c>
      <c r="B1429" s="5" t="s">
        <v>3659</v>
      </c>
      <c r="C1429" s="5" t="s">
        <v>18</v>
      </c>
      <c r="D1429" s="5" t="s">
        <v>19</v>
      </c>
      <c r="E1429" s="5" t="s">
        <v>881</v>
      </c>
      <c r="F1429" s="9">
        <v>65</v>
      </c>
      <c r="G1429" s="9">
        <v>796</v>
      </c>
      <c r="H1429" s="5" t="s">
        <v>21</v>
      </c>
      <c r="I1429" s="5" t="s">
        <v>3660</v>
      </c>
      <c r="J1429" s="12" t="str">
        <f>HYPERLINK("https://www.boe.es/gazeta/dias/1802/08/10/pdfs/GMD-1802-65.pdf#page=12","Abrir facsímil")</f>
        <v>Abrir facsímil</v>
      </c>
      <c r="K1429" s="15" t="s">
        <v>23</v>
      </c>
    </row>
    <row r="1430" spans="1:11" ht="42" customHeight="1">
      <c r="A1430" s="4" t="s">
        <v>3661</v>
      </c>
      <c r="B1430" s="5" t="s">
        <v>3661</v>
      </c>
      <c r="C1430" s="5" t="s">
        <v>35</v>
      </c>
      <c r="D1430" s="5" t="s">
        <v>36</v>
      </c>
      <c r="E1430" s="5" t="s">
        <v>219</v>
      </c>
      <c r="F1430" s="9">
        <v>81</v>
      </c>
      <c r="G1430" s="9">
        <v>992</v>
      </c>
      <c r="H1430" s="5" t="s">
        <v>21</v>
      </c>
      <c r="I1430" s="5" t="s">
        <v>3662</v>
      </c>
      <c r="J1430" s="12" t="str">
        <f>HYPERLINK("https://www.boe.es/gazeta/dias/1802/10/05/pdfs/GMD-1802-81.pdf#page=4","Abrir facsímil")</f>
        <v>Abrir facsímil</v>
      </c>
      <c r="K1430" s="15" t="s">
        <v>23</v>
      </c>
    </row>
    <row r="1431" spans="1:11" ht="42" customHeight="1">
      <c r="A1431" s="4" t="s">
        <v>3663</v>
      </c>
      <c r="B1431" s="5" t="s">
        <v>3664</v>
      </c>
      <c r="C1431" s="5" t="s">
        <v>18</v>
      </c>
      <c r="D1431" s="5" t="s">
        <v>19</v>
      </c>
      <c r="E1431" s="5" t="s">
        <v>49</v>
      </c>
      <c r="F1431" s="9">
        <v>83</v>
      </c>
      <c r="G1431" s="9">
        <v>1023</v>
      </c>
      <c r="H1431" s="5" t="s">
        <v>21</v>
      </c>
      <c r="I1431" s="5" t="s">
        <v>3665</v>
      </c>
      <c r="J1431" s="12" t="str">
        <f>HYPERLINK("https://www.boe.es/gazeta/dias/1802/10/12/pdfs/GMD-1802-83.pdf#page=11","Abrir facsímil")</f>
        <v>Abrir facsímil</v>
      </c>
      <c r="K1431" s="15" t="s">
        <v>23</v>
      </c>
    </row>
    <row r="1432" spans="1:11" ht="42" customHeight="1">
      <c r="A1432" s="4" t="s">
        <v>3666</v>
      </c>
      <c r="B1432" s="5" t="s">
        <v>3666</v>
      </c>
      <c r="C1432" s="5" t="s">
        <v>35</v>
      </c>
      <c r="D1432" s="5" t="s">
        <v>36</v>
      </c>
      <c r="E1432" s="5" t="s">
        <v>185</v>
      </c>
      <c r="F1432" s="9">
        <v>95</v>
      </c>
      <c r="G1432" s="9">
        <v>1166</v>
      </c>
      <c r="H1432" s="5" t="s">
        <v>21</v>
      </c>
      <c r="I1432" s="5" t="s">
        <v>3667</v>
      </c>
      <c r="J1432" s="12" t="str">
        <f>HYPERLINK("https://www.boe.es/gazeta/dias/1802/11/23/pdfs/GMD-1802-95.pdf#page=2","Abrir facsímil")</f>
        <v>Abrir facsímil</v>
      </c>
      <c r="K1432" s="15" t="s">
        <v>23</v>
      </c>
    </row>
    <row r="1433" spans="1:11" ht="42" customHeight="1">
      <c r="A1433" s="4" t="s">
        <v>3668</v>
      </c>
      <c r="B1433" s="5" t="s">
        <v>3669</v>
      </c>
      <c r="C1433" s="5" t="s">
        <v>18</v>
      </c>
      <c r="D1433" s="5" t="s">
        <v>19</v>
      </c>
      <c r="E1433" s="5" t="s">
        <v>49</v>
      </c>
      <c r="F1433" s="9">
        <v>83</v>
      </c>
      <c r="G1433" s="9">
        <v>1024</v>
      </c>
      <c r="H1433" s="5" t="s">
        <v>21</v>
      </c>
      <c r="I1433" s="5" t="s">
        <v>3670</v>
      </c>
      <c r="J1433" s="12" t="str">
        <f>HYPERLINK("https://www.boe.es/gazeta/dias/1802/10/12/pdfs/GMD-1802-83.pdf#page=12","Abrir facsímil")</f>
        <v>Abrir facsímil</v>
      </c>
      <c r="K1433" s="15" t="s">
        <v>23</v>
      </c>
    </row>
    <row r="1434" spans="1:11" ht="42" customHeight="1">
      <c r="A1434" s="4" t="s">
        <v>3671</v>
      </c>
      <c r="B1434" s="5" t="s">
        <v>3671</v>
      </c>
      <c r="C1434" s="5" t="s">
        <v>35</v>
      </c>
      <c r="D1434" s="5" t="s">
        <v>36</v>
      </c>
      <c r="E1434" s="5" t="s">
        <v>142</v>
      </c>
      <c r="F1434" s="9">
        <v>64</v>
      </c>
      <c r="G1434" s="9">
        <v>779</v>
      </c>
      <c r="H1434" s="5" t="s">
        <v>21</v>
      </c>
      <c r="I1434" s="5" t="s">
        <v>3672</v>
      </c>
      <c r="J1434" s="12" t="str">
        <f>HYPERLINK("https://www.boe.es/gazeta/dias/1802/08/06/pdfs/GMD-1802-64.pdf#page=7","Abrir facsímil")</f>
        <v>Abrir facsímil</v>
      </c>
      <c r="K1434" s="15" t="s">
        <v>23</v>
      </c>
    </row>
    <row r="1435" spans="1:11" ht="42" customHeight="1">
      <c r="A1435" s="4" t="s">
        <v>3673</v>
      </c>
      <c r="B1435" s="5" t="s">
        <v>3674</v>
      </c>
      <c r="C1435" s="5" t="s">
        <v>18</v>
      </c>
      <c r="D1435" s="5" t="s">
        <v>19</v>
      </c>
      <c r="E1435" s="5" t="s">
        <v>49</v>
      </c>
      <c r="F1435" s="9">
        <v>83</v>
      </c>
      <c r="G1435" s="9">
        <v>1025</v>
      </c>
      <c r="H1435" s="5" t="s">
        <v>21</v>
      </c>
      <c r="I1435" s="5" t="s">
        <v>3675</v>
      </c>
      <c r="J1435" s="12" t="str">
        <f>HYPERLINK("https://www.boe.es/gazeta/dias/1802/10/12/pdfs/GMD-1802-83.pdf#page=13","Abrir facsímil")</f>
        <v>Abrir facsímil</v>
      </c>
      <c r="K1435" s="15" t="s">
        <v>23</v>
      </c>
    </row>
    <row r="1436" spans="1:11" ht="42" customHeight="1">
      <c r="A1436" s="4" t="s">
        <v>3676</v>
      </c>
      <c r="B1436" s="5" t="s">
        <v>3677</v>
      </c>
      <c r="C1436" s="5" t="s">
        <v>29</v>
      </c>
      <c r="D1436" s="5" t="s">
        <v>30</v>
      </c>
      <c r="E1436" s="5" t="s">
        <v>678</v>
      </c>
      <c r="F1436" s="9">
        <v>15</v>
      </c>
      <c r="G1436" s="9">
        <v>158</v>
      </c>
      <c r="H1436" s="5" t="s">
        <v>21</v>
      </c>
      <c r="I1436" s="5" t="s">
        <v>3678</v>
      </c>
      <c r="J1436" s="12" t="str">
        <f>HYPERLINK("https://www.boe.es/gazeta/dias/1802/02/19/pdfs/GMD-1802-15.pdf#page=10","Abrir facsímil")</f>
        <v>Abrir facsímil</v>
      </c>
      <c r="K1436" s="15" t="s">
        <v>23</v>
      </c>
    </row>
    <row r="1437" spans="1:11" ht="42" customHeight="1">
      <c r="A1437" s="4" t="s">
        <v>3679</v>
      </c>
      <c r="B1437" s="5" t="s">
        <v>3680</v>
      </c>
      <c r="C1437" s="5" t="s">
        <v>42</v>
      </c>
      <c r="D1437" s="5" t="s">
        <v>43</v>
      </c>
      <c r="E1437" s="5" t="s">
        <v>44</v>
      </c>
      <c r="F1437" s="9">
        <v>99</v>
      </c>
      <c r="G1437" s="9" t="s">
        <v>779</v>
      </c>
      <c r="H1437" s="5" t="s">
        <v>21</v>
      </c>
      <c r="I1437" s="5" t="s">
        <v>3681</v>
      </c>
      <c r="J1437" s="12" t="str">
        <f>HYPERLINK("https://www.boe.es/gazeta/dias/1802/12/07/pdfs/GMD-D-1802-99.pdf#page=13","Abrir facsímil")</f>
        <v>Abrir facsímil</v>
      </c>
      <c r="K1437" s="15" t="s">
        <v>23</v>
      </c>
    </row>
    <row r="1438" spans="1:11" ht="42" customHeight="1">
      <c r="A1438" s="4" t="s">
        <v>3682</v>
      </c>
      <c r="B1438" s="5" t="s">
        <v>3683</v>
      </c>
      <c r="C1438" s="5" t="s">
        <v>42</v>
      </c>
      <c r="D1438" s="5" t="s">
        <v>43</v>
      </c>
      <c r="E1438" s="5" t="s">
        <v>44</v>
      </c>
      <c r="F1438" s="9">
        <v>99</v>
      </c>
      <c r="G1438" s="9" t="s">
        <v>45</v>
      </c>
      <c r="H1438" s="5" t="s">
        <v>21</v>
      </c>
      <c r="I1438" s="5" t="s">
        <v>3684</v>
      </c>
      <c r="J1438" s="12" t="str">
        <f>HYPERLINK("https://www.boe.es/gazeta/dias/1802/12/07/pdfs/GMD-D-1802-99.pdf#page=14","Abrir facsímil")</f>
        <v>Abrir facsímil</v>
      </c>
      <c r="K1438" s="15" t="s">
        <v>23</v>
      </c>
    </row>
    <row r="1439" spans="1:11" ht="42" customHeight="1">
      <c r="A1439" s="4" t="s">
        <v>3685</v>
      </c>
      <c r="B1439" s="5" t="s">
        <v>3686</v>
      </c>
      <c r="C1439" s="5" t="s">
        <v>18</v>
      </c>
      <c r="D1439" s="5" t="s">
        <v>19</v>
      </c>
      <c r="E1439" s="5" t="s">
        <v>20</v>
      </c>
      <c r="F1439" s="9">
        <v>84</v>
      </c>
      <c r="G1439" s="9">
        <v>1041</v>
      </c>
      <c r="H1439" s="5" t="s">
        <v>21</v>
      </c>
      <c r="I1439" s="5" t="s">
        <v>3687</v>
      </c>
      <c r="J1439" s="12" t="str">
        <f>HYPERLINK("https://www.boe.es/gazeta/dias/1802/10/15/pdfs/GMD-1802-84.pdf#page=9","Abrir facsímil")</f>
        <v>Abrir facsímil</v>
      </c>
      <c r="K1439" s="15" t="s">
        <v>23</v>
      </c>
    </row>
    <row r="1440" spans="1:11" ht="42" customHeight="1">
      <c r="A1440" s="4" t="s">
        <v>3688</v>
      </c>
      <c r="B1440" s="5" t="s">
        <v>3689</v>
      </c>
      <c r="C1440" s="5" t="s">
        <v>18</v>
      </c>
      <c r="D1440" s="5" t="s">
        <v>19</v>
      </c>
      <c r="E1440" s="5" t="s">
        <v>49</v>
      </c>
      <c r="F1440" s="9">
        <v>83</v>
      </c>
      <c r="G1440" s="9">
        <v>1024</v>
      </c>
      <c r="H1440" s="5" t="s">
        <v>21</v>
      </c>
      <c r="I1440" s="5" t="s">
        <v>3690</v>
      </c>
      <c r="J1440" s="12" t="str">
        <f>HYPERLINK("https://www.boe.es/gazeta/dias/1802/10/12/pdfs/GMD-1802-83.pdf#page=12","Abrir facsímil")</f>
        <v>Abrir facsímil</v>
      </c>
      <c r="K1440" s="15" t="s">
        <v>23</v>
      </c>
    </row>
    <row r="1441" spans="1:11" ht="42" customHeight="1">
      <c r="A1441" s="4" t="s">
        <v>3691</v>
      </c>
      <c r="B1441" s="5" t="s">
        <v>3691</v>
      </c>
      <c r="C1441" s="5" t="s">
        <v>42</v>
      </c>
      <c r="D1441" s="5" t="s">
        <v>43</v>
      </c>
      <c r="E1441" s="5" t="s">
        <v>44</v>
      </c>
      <c r="F1441" s="9">
        <v>99</v>
      </c>
      <c r="G1441" s="9" t="s">
        <v>548</v>
      </c>
      <c r="H1441" s="5" t="s">
        <v>21</v>
      </c>
      <c r="I1441" s="5" t="s">
        <v>3692</v>
      </c>
      <c r="J1441" s="12" t="str">
        <f>HYPERLINK("https://www.boe.es/gazeta/dias/1802/12/07/pdfs/GMD-D-1802-99.pdf#page=12","Abrir facsímil")</f>
        <v>Abrir facsímil</v>
      </c>
      <c r="K1441" s="15" t="s">
        <v>23</v>
      </c>
    </row>
    <row r="1442" spans="1:11" ht="42" customHeight="1">
      <c r="A1442" s="4" t="s">
        <v>3693</v>
      </c>
      <c r="B1442" s="5" t="s">
        <v>3694</v>
      </c>
      <c r="C1442" s="5" t="s">
        <v>29</v>
      </c>
      <c r="D1442" s="5" t="s">
        <v>30</v>
      </c>
      <c r="E1442" s="5" t="s">
        <v>128</v>
      </c>
      <c r="F1442" s="9">
        <v>9</v>
      </c>
      <c r="G1442" s="9">
        <v>90</v>
      </c>
      <c r="H1442" s="5" t="s">
        <v>21</v>
      </c>
      <c r="I1442" s="5" t="s">
        <v>3695</v>
      </c>
      <c r="J1442" s="12" t="str">
        <f>HYPERLINK("https://www.boe.es/gazeta/dias/1802/01/29/pdfs/GMD-1802-9.pdf#page=10","Abrir facsímil")</f>
        <v>Abrir facsímil</v>
      </c>
      <c r="K1442" s="15" t="s">
        <v>23</v>
      </c>
    </row>
    <row r="1443" spans="1:11" ht="42" customHeight="1">
      <c r="A1443" s="4" t="s">
        <v>3696</v>
      </c>
      <c r="B1443" s="5" t="s">
        <v>3697</v>
      </c>
      <c r="C1443" s="5" t="s">
        <v>29</v>
      </c>
      <c r="D1443" s="5" t="s">
        <v>30</v>
      </c>
      <c r="E1443" s="5" t="s">
        <v>907</v>
      </c>
      <c r="F1443" s="9">
        <v>77</v>
      </c>
      <c r="G1443" s="9">
        <v>949</v>
      </c>
      <c r="H1443" s="5" t="s">
        <v>21</v>
      </c>
      <c r="I1443" s="5" t="s">
        <v>3698</v>
      </c>
      <c r="J1443" s="12" t="str">
        <f>HYPERLINK("https://www.boe.es/gazeta/dias/1802/09/21/pdfs/GMD-1802-77.pdf#page=9","Abrir facsímil")</f>
        <v>Abrir facsímil</v>
      </c>
      <c r="K1443" s="15" t="s">
        <v>23</v>
      </c>
    </row>
    <row r="1444" spans="1:11" ht="42" customHeight="1">
      <c r="A1444" s="4" t="s">
        <v>3699</v>
      </c>
      <c r="B1444" s="5" t="s">
        <v>3700</v>
      </c>
      <c r="C1444" s="5" t="s">
        <v>42</v>
      </c>
      <c r="D1444" s="5" t="s">
        <v>43</v>
      </c>
      <c r="E1444" s="5" t="s">
        <v>44</v>
      </c>
      <c r="F1444" s="9">
        <v>99</v>
      </c>
      <c r="G1444" s="9" t="s">
        <v>78</v>
      </c>
      <c r="H1444" s="5" t="s">
        <v>21</v>
      </c>
      <c r="I1444" s="5" t="s">
        <v>3701</v>
      </c>
      <c r="J1444" s="12" t="str">
        <f>HYPERLINK("https://www.boe.es/gazeta/dias/1802/12/07/pdfs/GMD-D-1802-99.pdf#page=15","Abrir facsímil")</f>
        <v>Abrir facsímil</v>
      </c>
      <c r="K1444" s="15" t="s">
        <v>23</v>
      </c>
    </row>
    <row r="1445" spans="1:11" ht="42" customHeight="1">
      <c r="A1445" s="4" t="s">
        <v>3702</v>
      </c>
      <c r="B1445" s="5" t="s">
        <v>3703</v>
      </c>
      <c r="C1445" s="5" t="s">
        <v>18</v>
      </c>
      <c r="D1445" s="5" t="s">
        <v>19</v>
      </c>
      <c r="E1445" s="5" t="s">
        <v>49</v>
      </c>
      <c r="F1445" s="9">
        <v>83</v>
      </c>
      <c r="G1445" s="9">
        <v>1023</v>
      </c>
      <c r="H1445" s="5" t="s">
        <v>21</v>
      </c>
      <c r="I1445" s="5" t="s">
        <v>3704</v>
      </c>
      <c r="J1445" s="12" t="str">
        <f>HYPERLINK("https://www.boe.es/gazeta/dias/1802/10/12/pdfs/GMD-1802-83.pdf#page=11","Abrir facsímil")</f>
        <v>Abrir facsímil</v>
      </c>
      <c r="K1445" s="15" t="s">
        <v>23</v>
      </c>
    </row>
    <row r="1446" spans="1:11" ht="42" customHeight="1">
      <c r="A1446" s="4" t="s">
        <v>3705</v>
      </c>
      <c r="B1446" s="5" t="s">
        <v>3706</v>
      </c>
      <c r="C1446" s="5" t="s">
        <v>29</v>
      </c>
      <c r="D1446" s="5" t="s">
        <v>30</v>
      </c>
      <c r="E1446" s="5" t="s">
        <v>192</v>
      </c>
      <c r="F1446" s="9">
        <v>53</v>
      </c>
      <c r="G1446" s="9">
        <v>642</v>
      </c>
      <c r="H1446" s="5" t="s">
        <v>21</v>
      </c>
      <c r="I1446" s="5" t="s">
        <v>3707</v>
      </c>
      <c r="J1446" s="12" t="str">
        <f>HYPERLINK("https://www.boe.es/gazeta/dias/1802/07/02/pdfs/GMD-1802-53.pdf#page=10","Abrir facsímil")</f>
        <v>Abrir facsímil</v>
      </c>
      <c r="K1446" s="15" t="s">
        <v>23</v>
      </c>
    </row>
    <row r="1447" spans="1:11" ht="42" customHeight="1">
      <c r="A1447" s="4" t="s">
        <v>3708</v>
      </c>
      <c r="B1447" s="5" t="s">
        <v>3709</v>
      </c>
      <c r="C1447" s="5" t="s">
        <v>18</v>
      </c>
      <c r="D1447" s="5" t="s">
        <v>19</v>
      </c>
      <c r="E1447" s="5" t="s">
        <v>146</v>
      </c>
      <c r="F1447" s="9">
        <v>42</v>
      </c>
      <c r="G1447" s="9">
        <v>505</v>
      </c>
      <c r="H1447" s="5" t="s">
        <v>21</v>
      </c>
      <c r="I1447" s="5" t="s">
        <v>3710</v>
      </c>
      <c r="J1447" s="12" t="str">
        <f>HYPERLINK("https://www.boe.es/gazeta/dias/1802/05/25/pdfs/GMD-1802-42.pdf#page=9","Abrir facsímil")</f>
        <v>Abrir facsímil</v>
      </c>
      <c r="K1447" s="15" t="s">
        <v>23</v>
      </c>
    </row>
    <row r="1448" spans="1:11" ht="42" customHeight="1">
      <c r="A1448" s="4" t="s">
        <v>3711</v>
      </c>
      <c r="B1448" s="5" t="s">
        <v>3712</v>
      </c>
      <c r="C1448" s="5" t="s">
        <v>18</v>
      </c>
      <c r="D1448" s="5" t="s">
        <v>19</v>
      </c>
      <c r="E1448" s="5" t="s">
        <v>436</v>
      </c>
      <c r="F1448" s="9">
        <v>58</v>
      </c>
      <c r="G1448" s="9">
        <v>701</v>
      </c>
      <c r="H1448" s="5" t="s">
        <v>21</v>
      </c>
      <c r="I1448" s="5" t="s">
        <v>3713</v>
      </c>
      <c r="J1448" s="12" t="str">
        <f>HYPERLINK("https://www.boe.es/gazeta/dias/1802/07/20/pdfs/GMD-1802-58.pdf#page=9","Abrir facsímil")</f>
        <v>Abrir facsímil</v>
      </c>
      <c r="K1448" s="15" t="s">
        <v>23</v>
      </c>
    </row>
    <row r="1449" spans="1:11" ht="42" customHeight="1">
      <c r="A1449" s="4" t="s">
        <v>3714</v>
      </c>
      <c r="B1449" s="5" t="s">
        <v>3714</v>
      </c>
      <c r="C1449" s="5" t="s">
        <v>35</v>
      </c>
      <c r="D1449" s="5" t="s">
        <v>36</v>
      </c>
      <c r="E1449" s="5" t="s">
        <v>276</v>
      </c>
      <c r="F1449" s="9">
        <v>75</v>
      </c>
      <c r="G1449" s="9">
        <v>925</v>
      </c>
      <c r="H1449" s="5" t="s">
        <v>21</v>
      </c>
      <c r="I1449" s="5" t="s">
        <v>3715</v>
      </c>
      <c r="J1449" s="12" t="str">
        <f>HYPERLINK("https://www.boe.es/gazeta/dias/1802/09/14/pdfs/GMD-1802-75.pdf#page=9","Abrir facsímil")</f>
        <v>Abrir facsímil</v>
      </c>
      <c r="K1449" s="15" t="s">
        <v>23</v>
      </c>
    </row>
    <row r="1450" spans="1:11" ht="42" customHeight="1">
      <c r="A1450" s="4" t="s">
        <v>3716</v>
      </c>
      <c r="B1450" s="5" t="s">
        <v>3716</v>
      </c>
      <c r="C1450" s="5" t="s">
        <v>55</v>
      </c>
      <c r="D1450" s="5" t="s">
        <v>56</v>
      </c>
      <c r="E1450" s="5" t="s">
        <v>481</v>
      </c>
      <c r="F1450" s="9">
        <v>79</v>
      </c>
      <c r="G1450" s="9">
        <v>976</v>
      </c>
      <c r="H1450" s="5" t="s">
        <v>21</v>
      </c>
      <c r="I1450" s="5" t="s">
        <v>3717</v>
      </c>
      <c r="J1450" s="12" t="str">
        <f>HYPERLINK("https://www.boe.es/gazeta/dias/1802/09/28/pdfs/GMD-1802-79.pdf#page=12","Abrir facsímil")</f>
        <v>Abrir facsímil</v>
      </c>
      <c r="K1450" s="15" t="s">
        <v>23</v>
      </c>
    </row>
    <row r="1451" spans="1:11" ht="42" customHeight="1">
      <c r="A1451" s="4" t="s">
        <v>3718</v>
      </c>
      <c r="B1451" s="5" t="s">
        <v>3719</v>
      </c>
      <c r="C1451" s="5" t="s">
        <v>29</v>
      </c>
      <c r="D1451" s="5" t="s">
        <v>30</v>
      </c>
      <c r="E1451" s="5" t="s">
        <v>133</v>
      </c>
      <c r="F1451" s="9">
        <v>33</v>
      </c>
      <c r="G1451" s="9">
        <v>387</v>
      </c>
      <c r="H1451" s="5" t="s">
        <v>21</v>
      </c>
      <c r="I1451" s="5" t="s">
        <v>3720</v>
      </c>
      <c r="J1451" s="12" t="str">
        <f>HYPERLINK("https://www.boe.es/gazeta/dias/1802/04/23/pdfs/GMD-1802-33.pdf#page=7","Abrir facsímil")</f>
        <v>Abrir facsímil</v>
      </c>
      <c r="K1451" s="15" t="s">
        <v>23</v>
      </c>
    </row>
    <row r="1452" spans="1:11" ht="42" customHeight="1">
      <c r="A1452" s="4" t="s">
        <v>3721</v>
      </c>
      <c r="B1452" s="5" t="s">
        <v>3721</v>
      </c>
      <c r="C1452" s="5" t="s">
        <v>18</v>
      </c>
      <c r="D1452" s="5" t="s">
        <v>19</v>
      </c>
      <c r="E1452" s="5" t="s">
        <v>114</v>
      </c>
      <c r="F1452" s="9">
        <v>82</v>
      </c>
      <c r="G1452" s="9">
        <v>1012</v>
      </c>
      <c r="H1452" s="5" t="s">
        <v>21</v>
      </c>
      <c r="I1452" s="5" t="s">
        <v>3722</v>
      </c>
      <c r="J1452" s="12" t="str">
        <f>HYPERLINK("https://www.boe.es/gazeta/dias/1802/10/08/pdfs/GMD-1802-82.pdf#page=12","Abrir facsímil")</f>
        <v>Abrir facsímil</v>
      </c>
      <c r="K1452" s="15" t="s">
        <v>23</v>
      </c>
    </row>
    <row r="1453" spans="1:11" ht="42" customHeight="1">
      <c r="A1453" s="4" t="s">
        <v>3723</v>
      </c>
      <c r="B1453" s="5" t="s">
        <v>3724</v>
      </c>
      <c r="C1453" s="5" t="s">
        <v>18</v>
      </c>
      <c r="D1453" s="5" t="s">
        <v>19</v>
      </c>
      <c r="E1453" s="5" t="s">
        <v>292</v>
      </c>
      <c r="F1453" s="9">
        <v>62</v>
      </c>
      <c r="G1453" s="9">
        <v>753</v>
      </c>
      <c r="H1453" s="5" t="s">
        <v>21</v>
      </c>
      <c r="I1453" s="5" t="s">
        <v>3725</v>
      </c>
      <c r="J1453" s="12" t="str">
        <f>HYPERLINK("https://www.boe.es/gazeta/dias/1802/07/30/pdfs/GMD-1802-62.pdf#page=9","Abrir facsímil")</f>
        <v>Abrir facsímil</v>
      </c>
      <c r="K1453" s="15" t="s">
        <v>23</v>
      </c>
    </row>
    <row r="1454" spans="1:11" ht="42" customHeight="1">
      <c r="A1454" s="4" t="s">
        <v>3726</v>
      </c>
      <c r="B1454" s="5" t="s">
        <v>3727</v>
      </c>
      <c r="C1454" s="5" t="s">
        <v>29</v>
      </c>
      <c r="D1454" s="5" t="s">
        <v>30</v>
      </c>
      <c r="E1454" s="5" t="s">
        <v>146</v>
      </c>
      <c r="F1454" s="9">
        <v>42</v>
      </c>
      <c r="G1454" s="9">
        <v>504</v>
      </c>
      <c r="H1454" s="5" t="s">
        <v>21</v>
      </c>
      <c r="I1454" s="5" t="s">
        <v>3728</v>
      </c>
      <c r="J1454" s="12" t="str">
        <f>HYPERLINK("https://www.boe.es/gazeta/dias/1802/05/25/pdfs/GMD-1802-42.pdf#page=8","Abrir facsímil")</f>
        <v>Abrir facsímil</v>
      </c>
      <c r="K1454" s="15" t="s">
        <v>23</v>
      </c>
    </row>
    <row r="1455" spans="1:11" ht="42" customHeight="1">
      <c r="A1455" s="4" t="s">
        <v>3729</v>
      </c>
      <c r="B1455" s="5" t="s">
        <v>3729</v>
      </c>
      <c r="C1455" s="5" t="s">
        <v>35</v>
      </c>
      <c r="D1455" s="5" t="s">
        <v>36</v>
      </c>
      <c r="E1455" s="5" t="s">
        <v>188</v>
      </c>
      <c r="F1455" s="9">
        <v>49</v>
      </c>
      <c r="G1455" s="9">
        <v>589</v>
      </c>
      <c r="H1455" s="5" t="s">
        <v>21</v>
      </c>
      <c r="I1455" s="5" t="s">
        <v>3730</v>
      </c>
      <c r="J1455" s="12" t="str">
        <f>HYPERLINK("https://www.boe.es/gazeta/dias/1802/06/18/pdfs/GMD-1802-49.pdf#page=1","Abrir facsímil")</f>
        <v>Abrir facsímil</v>
      </c>
      <c r="K1455" s="15" t="s">
        <v>23</v>
      </c>
    </row>
    <row r="1456" spans="1:11" ht="42" customHeight="1">
      <c r="A1456" s="4" t="s">
        <v>3731</v>
      </c>
      <c r="B1456" s="5" t="s">
        <v>3731</v>
      </c>
      <c r="C1456" s="5" t="s">
        <v>29</v>
      </c>
      <c r="D1456" s="5" t="s">
        <v>30</v>
      </c>
      <c r="E1456" s="5" t="s">
        <v>131</v>
      </c>
      <c r="F1456" s="9">
        <v>11</v>
      </c>
      <c r="G1456" s="9">
        <v>112</v>
      </c>
      <c r="H1456" s="5" t="s">
        <v>21</v>
      </c>
      <c r="I1456" s="5" t="s">
        <v>3732</v>
      </c>
      <c r="J1456" s="12" t="str">
        <f>HYPERLINK("https://www.boe.es/gazeta/dias/1802/02/05/pdfs/GMD-1802-11.pdf#page=8","Abrir facsímil")</f>
        <v>Abrir facsímil</v>
      </c>
      <c r="K1456" s="15" t="s">
        <v>23</v>
      </c>
    </row>
    <row r="1457" spans="1:11" ht="42" customHeight="1">
      <c r="A1457" s="4" t="s">
        <v>3733</v>
      </c>
      <c r="B1457" s="5" t="s">
        <v>3733</v>
      </c>
      <c r="C1457" s="5" t="s">
        <v>18</v>
      </c>
      <c r="D1457" s="5" t="s">
        <v>19</v>
      </c>
      <c r="E1457" s="5" t="s">
        <v>49</v>
      </c>
      <c r="F1457" s="9">
        <v>83</v>
      </c>
      <c r="G1457" s="9">
        <v>1020</v>
      </c>
      <c r="H1457" s="5" t="s">
        <v>21</v>
      </c>
      <c r="I1457" s="5" t="s">
        <v>3734</v>
      </c>
      <c r="J1457" s="12" t="str">
        <f>HYPERLINK("https://www.boe.es/gazeta/dias/1802/10/12/pdfs/GMD-1802-83.pdf#page=8","Abrir facsímil")</f>
        <v>Abrir facsímil</v>
      </c>
      <c r="K1457" s="15" t="s">
        <v>23</v>
      </c>
    </row>
    <row r="1458" spans="1:11" ht="42" customHeight="1">
      <c r="A1458" s="4" t="s">
        <v>3735</v>
      </c>
      <c r="B1458" s="5" t="s">
        <v>3736</v>
      </c>
      <c r="C1458" s="5" t="s">
        <v>18</v>
      </c>
      <c r="D1458" s="5" t="s">
        <v>19</v>
      </c>
      <c r="E1458" s="5" t="s">
        <v>20</v>
      </c>
      <c r="F1458" s="9">
        <v>84</v>
      </c>
      <c r="G1458" s="9">
        <v>1043</v>
      </c>
      <c r="H1458" s="5" t="s">
        <v>21</v>
      </c>
      <c r="I1458" s="5" t="s">
        <v>3737</v>
      </c>
      <c r="J1458" s="12" t="str">
        <f>HYPERLINK("https://www.boe.es/gazeta/dias/1802/10/15/pdfs/GMD-1802-84.pdf#page=11","Abrir facsímil")</f>
        <v>Abrir facsímil</v>
      </c>
      <c r="K1458" s="15" t="s">
        <v>23</v>
      </c>
    </row>
    <row r="1459" spans="1:11" ht="42" customHeight="1">
      <c r="A1459" s="4" t="s">
        <v>3738</v>
      </c>
      <c r="B1459" s="5" t="s">
        <v>3738</v>
      </c>
      <c r="C1459" s="5" t="s">
        <v>35</v>
      </c>
      <c r="D1459" s="5" t="s">
        <v>36</v>
      </c>
      <c r="E1459" s="5" t="s">
        <v>183</v>
      </c>
      <c r="F1459" s="9">
        <v>56</v>
      </c>
      <c r="G1459" s="9">
        <v>675</v>
      </c>
      <c r="H1459" s="5" t="s">
        <v>21</v>
      </c>
      <c r="I1459" s="5" t="s">
        <v>3739</v>
      </c>
      <c r="J1459" s="12" t="str">
        <f>HYPERLINK("https://www.boe.es/gazeta/dias/1802/07/13/pdfs/GMD-1802-56.pdf#page=7","Abrir facsímil")</f>
        <v>Abrir facsímil</v>
      </c>
      <c r="K1459" s="15" t="s">
        <v>23</v>
      </c>
    </row>
    <row r="1460" spans="1:11" ht="42" customHeight="1">
      <c r="A1460" s="4" t="s">
        <v>3740</v>
      </c>
      <c r="B1460" s="5" t="s">
        <v>3740</v>
      </c>
      <c r="C1460" s="5" t="s">
        <v>18</v>
      </c>
      <c r="D1460" s="5" t="s">
        <v>19</v>
      </c>
      <c r="E1460" s="5" t="s">
        <v>1332</v>
      </c>
      <c r="F1460" s="9">
        <v>4</v>
      </c>
      <c r="G1460" s="9">
        <v>34</v>
      </c>
      <c r="H1460" s="5" t="s">
        <v>21</v>
      </c>
      <c r="I1460" s="5" t="s">
        <v>3741</v>
      </c>
      <c r="J1460" s="12" t="str">
        <f>HYPERLINK("https://www.boe.es/gazeta/dias/1802/01/12/pdfs/GMD-1802-4.pdf#page=6","Abrir facsímil")</f>
        <v>Abrir facsímil</v>
      </c>
      <c r="K1460" s="15" t="s">
        <v>23</v>
      </c>
    </row>
    <row r="1461" spans="1:11" ht="42" customHeight="1">
      <c r="A1461" s="4" t="s">
        <v>3740</v>
      </c>
      <c r="B1461" s="5" t="s">
        <v>3740</v>
      </c>
      <c r="C1461" s="5" t="s">
        <v>35</v>
      </c>
      <c r="D1461" s="5" t="s">
        <v>36</v>
      </c>
      <c r="E1461" s="5" t="s">
        <v>188</v>
      </c>
      <c r="F1461" s="9">
        <v>49</v>
      </c>
      <c r="G1461" s="9">
        <v>593</v>
      </c>
      <c r="H1461" s="5" t="s">
        <v>21</v>
      </c>
      <c r="I1461" s="5" t="s">
        <v>3742</v>
      </c>
      <c r="J1461" s="12" t="str">
        <f>HYPERLINK("https://www.boe.es/gazeta/dias/1802/06/18/pdfs/GMD-1802-49.pdf#page=5","Abrir facsímil")</f>
        <v>Abrir facsímil</v>
      </c>
      <c r="K1461" s="15" t="s">
        <v>23</v>
      </c>
    </row>
    <row r="1462" spans="1:11" ht="42" customHeight="1">
      <c r="A1462" s="4" t="s">
        <v>3743</v>
      </c>
      <c r="B1462" s="5" t="s">
        <v>3743</v>
      </c>
      <c r="C1462" s="5" t="s">
        <v>35</v>
      </c>
      <c r="D1462" s="5" t="s">
        <v>36</v>
      </c>
      <c r="E1462" s="5" t="s">
        <v>131</v>
      </c>
      <c r="F1462" s="9">
        <v>11</v>
      </c>
      <c r="G1462" s="9">
        <v>111</v>
      </c>
      <c r="H1462" s="5" t="s">
        <v>21</v>
      </c>
      <c r="I1462" s="5" t="s">
        <v>3744</v>
      </c>
      <c r="J1462" s="12" t="str">
        <f>HYPERLINK("https://www.boe.es/gazeta/dias/1802/02/05/pdfs/GMD-1802-11.pdf#page=7","Abrir facsímil")</f>
        <v>Abrir facsímil</v>
      </c>
      <c r="K1462" s="15" t="s">
        <v>23</v>
      </c>
    </row>
    <row r="1463" spans="1:11" ht="42" customHeight="1">
      <c r="A1463" s="4" t="s">
        <v>3745</v>
      </c>
      <c r="B1463" s="5" t="s">
        <v>3746</v>
      </c>
      <c r="C1463" s="5" t="s">
        <v>42</v>
      </c>
      <c r="D1463" s="5" t="s">
        <v>43</v>
      </c>
      <c r="E1463" s="5" t="s">
        <v>44</v>
      </c>
      <c r="F1463" s="9">
        <v>99</v>
      </c>
      <c r="G1463" s="9" t="s">
        <v>262</v>
      </c>
      <c r="H1463" s="5" t="s">
        <v>21</v>
      </c>
      <c r="I1463" s="5" t="s">
        <v>3747</v>
      </c>
      <c r="J1463" s="12" t="str">
        <f>HYPERLINK("https://www.boe.es/gazeta/dias/1802/12/07/pdfs/GMD-D-1802-99.pdf#page=8","Abrir facsímil")</f>
        <v>Abrir facsímil</v>
      </c>
      <c r="K1463" s="15" t="s">
        <v>23</v>
      </c>
    </row>
    <row r="1464" spans="1:11" ht="42" customHeight="1">
      <c r="A1464" s="4" t="s">
        <v>3748</v>
      </c>
      <c r="B1464" s="5" t="s">
        <v>3749</v>
      </c>
      <c r="C1464" s="5" t="s">
        <v>18</v>
      </c>
      <c r="D1464" s="5" t="s">
        <v>19</v>
      </c>
      <c r="E1464" s="5" t="s">
        <v>49</v>
      </c>
      <c r="F1464" s="9">
        <v>83</v>
      </c>
      <c r="G1464" s="9">
        <v>1023</v>
      </c>
      <c r="H1464" s="5" t="s">
        <v>21</v>
      </c>
      <c r="I1464" s="5" t="s">
        <v>3750</v>
      </c>
      <c r="J1464" s="12" t="str">
        <f>HYPERLINK("https://www.boe.es/gazeta/dias/1802/10/12/pdfs/GMD-1802-83.pdf#page=11","Abrir facsímil")</f>
        <v>Abrir facsímil</v>
      </c>
      <c r="K1464" s="15" t="s">
        <v>23</v>
      </c>
    </row>
    <row r="1465" spans="1:11" ht="42" customHeight="1">
      <c r="A1465" s="4" t="s">
        <v>3751</v>
      </c>
      <c r="B1465" s="5" t="s">
        <v>3752</v>
      </c>
      <c r="C1465" s="5" t="s">
        <v>29</v>
      </c>
      <c r="D1465" s="5" t="s">
        <v>30</v>
      </c>
      <c r="E1465" s="5" t="s">
        <v>49</v>
      </c>
      <c r="F1465" s="9">
        <v>83</v>
      </c>
      <c r="G1465" s="9">
        <v>1023</v>
      </c>
      <c r="H1465" s="5" t="s">
        <v>21</v>
      </c>
      <c r="I1465" s="5" t="s">
        <v>3753</v>
      </c>
      <c r="J1465" s="12" t="str">
        <f>HYPERLINK("https://www.boe.es/gazeta/dias/1802/10/12/pdfs/GMD-1802-83.pdf#page=11","Abrir facsímil")</f>
        <v>Abrir facsímil</v>
      </c>
      <c r="K1465" s="15" t="s">
        <v>23</v>
      </c>
    </row>
    <row r="1466" spans="1:11" ht="42" customHeight="1">
      <c r="A1466" s="4" t="s">
        <v>3754</v>
      </c>
      <c r="B1466" s="5" t="s">
        <v>3755</v>
      </c>
      <c r="C1466" s="5" t="s">
        <v>29</v>
      </c>
      <c r="D1466" s="5" t="s">
        <v>30</v>
      </c>
      <c r="E1466" s="5" t="s">
        <v>247</v>
      </c>
      <c r="F1466" s="9">
        <v>14</v>
      </c>
      <c r="G1466" s="9">
        <v>145</v>
      </c>
      <c r="H1466" s="5" t="s">
        <v>21</v>
      </c>
      <c r="I1466" s="5" t="s">
        <v>3756</v>
      </c>
      <c r="J1466" s="12" t="str">
        <f>HYPERLINK("https://www.boe.es/gazeta/dias/1802/02/16/pdfs/GMD-1802-14.pdf#page=9","Abrir facsímil")</f>
        <v>Abrir facsímil</v>
      </c>
      <c r="K1466" s="15" t="s">
        <v>23</v>
      </c>
    </row>
    <row r="1467" spans="1:11" ht="42" customHeight="1">
      <c r="A1467" s="4" t="s">
        <v>3757</v>
      </c>
      <c r="B1467" s="5" t="s">
        <v>3758</v>
      </c>
      <c r="C1467" s="5" t="s">
        <v>18</v>
      </c>
      <c r="D1467" s="5" t="s">
        <v>19</v>
      </c>
      <c r="E1467" s="5" t="s">
        <v>49</v>
      </c>
      <c r="F1467" s="9">
        <v>83</v>
      </c>
      <c r="G1467" s="9">
        <v>1024</v>
      </c>
      <c r="H1467" s="5" t="s">
        <v>21</v>
      </c>
      <c r="I1467" s="5" t="s">
        <v>3759</v>
      </c>
      <c r="J1467" s="12" t="str">
        <f>HYPERLINK("https://www.boe.es/gazeta/dias/1802/10/12/pdfs/GMD-1802-83.pdf#page=12","Abrir facsímil")</f>
        <v>Abrir facsímil</v>
      </c>
      <c r="K1467" s="15" t="s">
        <v>23</v>
      </c>
    </row>
    <row r="1468" spans="1:11" ht="42" customHeight="1">
      <c r="A1468" s="4" t="s">
        <v>3760</v>
      </c>
      <c r="B1468" s="5" t="s">
        <v>3760</v>
      </c>
      <c r="C1468" s="5" t="s">
        <v>42</v>
      </c>
      <c r="D1468" s="5" t="s">
        <v>43</v>
      </c>
      <c r="E1468" s="5" t="s">
        <v>44</v>
      </c>
      <c r="F1468" s="9">
        <v>99</v>
      </c>
      <c r="G1468" s="9" t="s">
        <v>322</v>
      </c>
      <c r="H1468" s="5" t="s">
        <v>21</v>
      </c>
      <c r="I1468" s="5" t="s">
        <v>3761</v>
      </c>
      <c r="J1468" s="12" t="str">
        <f>HYPERLINK("https://www.boe.es/gazeta/dias/1802/12/07/pdfs/GMD-D-1802-99.pdf#page=10","Abrir facsímil")</f>
        <v>Abrir facsímil</v>
      </c>
      <c r="K1468" s="15" t="s">
        <v>23</v>
      </c>
    </row>
    <row r="1469" spans="1:11" ht="42" customHeight="1">
      <c r="A1469" s="4" t="s">
        <v>3762</v>
      </c>
      <c r="B1469" s="5" t="s">
        <v>3763</v>
      </c>
      <c r="C1469" s="5" t="s">
        <v>29</v>
      </c>
      <c r="D1469" s="5" t="s">
        <v>30</v>
      </c>
      <c r="E1469" s="5" t="s">
        <v>37</v>
      </c>
      <c r="F1469" s="9">
        <v>106</v>
      </c>
      <c r="G1469" s="9">
        <v>1295</v>
      </c>
      <c r="H1469" s="5" t="s">
        <v>21</v>
      </c>
      <c r="I1469" s="5" t="s">
        <v>3764</v>
      </c>
      <c r="J1469" s="12" t="str">
        <f>HYPERLINK("https://www.boe.es/gazeta/dias/1802/12/31/pdfs/GMD-1802-106.pdf#page=7","Abrir facsímil")</f>
        <v>Abrir facsímil</v>
      </c>
      <c r="K1469" s="15" t="s">
        <v>23</v>
      </c>
    </row>
    <row r="1470" spans="1:11" ht="42" customHeight="1">
      <c r="A1470" s="4" t="s">
        <v>3765</v>
      </c>
      <c r="B1470" s="5" t="s">
        <v>3766</v>
      </c>
      <c r="C1470" s="5" t="s">
        <v>29</v>
      </c>
      <c r="D1470" s="5" t="s">
        <v>30</v>
      </c>
      <c r="E1470" s="5" t="s">
        <v>1185</v>
      </c>
      <c r="F1470" s="9">
        <v>93</v>
      </c>
      <c r="G1470" s="9">
        <v>1148</v>
      </c>
      <c r="H1470" s="5" t="s">
        <v>21</v>
      </c>
      <c r="I1470" s="5" t="s">
        <v>3767</v>
      </c>
      <c r="J1470" s="12" t="str">
        <f>HYPERLINK("https://www.boe.es/gazeta/dias/1802/11/16/pdfs/GMD-1802-93.pdf#page=8","Abrir facsímil")</f>
        <v>Abrir facsímil</v>
      </c>
      <c r="K1470" s="15" t="s">
        <v>23</v>
      </c>
    </row>
    <row r="1471" spans="1:11" ht="42" customHeight="1">
      <c r="A1471" s="4" t="s">
        <v>3768</v>
      </c>
      <c r="B1471" s="5" t="s">
        <v>3769</v>
      </c>
      <c r="C1471" s="5" t="s">
        <v>42</v>
      </c>
      <c r="D1471" s="5" t="s">
        <v>43</v>
      </c>
      <c r="E1471" s="5" t="s">
        <v>44</v>
      </c>
      <c r="F1471" s="9">
        <v>99</v>
      </c>
      <c r="G1471" s="9" t="s">
        <v>272</v>
      </c>
      <c r="H1471" s="5" t="s">
        <v>21</v>
      </c>
      <c r="I1471" s="5" t="s">
        <v>3770</v>
      </c>
      <c r="J1471" s="12" t="str">
        <f>HYPERLINK("https://www.boe.es/gazeta/dias/1802/12/07/pdfs/GMD-D-1802-99.pdf#page=3","Abrir facsímil")</f>
        <v>Abrir facsímil</v>
      </c>
      <c r="K1471" s="15" t="s">
        <v>23</v>
      </c>
    </row>
    <row r="1472" spans="1:11" ht="42" customHeight="1">
      <c r="A1472" s="4" t="s">
        <v>3771</v>
      </c>
      <c r="B1472" s="5" t="s">
        <v>3772</v>
      </c>
      <c r="C1472" s="5" t="s">
        <v>29</v>
      </c>
      <c r="D1472" s="5" t="s">
        <v>30</v>
      </c>
      <c r="E1472" s="5" t="s">
        <v>37</v>
      </c>
      <c r="F1472" s="9">
        <v>106</v>
      </c>
      <c r="G1472" s="9">
        <v>1295</v>
      </c>
      <c r="H1472" s="5" t="s">
        <v>21</v>
      </c>
      <c r="I1472" s="5" t="s">
        <v>3773</v>
      </c>
      <c r="J1472" s="12" t="str">
        <f>HYPERLINK("https://www.boe.es/gazeta/dias/1802/12/31/pdfs/GMD-1802-106.pdf#page=7","Abrir facsímil")</f>
        <v>Abrir facsímil</v>
      </c>
      <c r="K1472" s="15" t="s">
        <v>23</v>
      </c>
    </row>
    <row r="1473" spans="1:11" ht="42" customHeight="1">
      <c r="A1473" s="4" t="s">
        <v>3774</v>
      </c>
      <c r="B1473" s="5" t="s">
        <v>3775</v>
      </c>
      <c r="C1473" s="5" t="s">
        <v>18</v>
      </c>
      <c r="D1473" s="5" t="s">
        <v>19</v>
      </c>
      <c r="E1473" s="5" t="s">
        <v>20</v>
      </c>
      <c r="F1473" s="9">
        <v>84</v>
      </c>
      <c r="G1473" s="9">
        <v>1044</v>
      </c>
      <c r="H1473" s="5" t="s">
        <v>21</v>
      </c>
      <c r="I1473" s="5" t="s">
        <v>3776</v>
      </c>
      <c r="J1473" s="12" t="str">
        <f>HYPERLINK("https://www.boe.es/gazeta/dias/1802/10/15/pdfs/GMD-1802-84.pdf#page=12","Abrir facsímil")</f>
        <v>Abrir facsímil</v>
      </c>
      <c r="K1473" s="15" t="s">
        <v>23</v>
      </c>
    </row>
    <row r="1474" spans="1:11" ht="42" customHeight="1">
      <c r="A1474" s="4" t="s">
        <v>3777</v>
      </c>
      <c r="B1474" s="5" t="s">
        <v>3778</v>
      </c>
      <c r="C1474" s="5" t="s">
        <v>90</v>
      </c>
      <c r="D1474" s="5" t="s">
        <v>91</v>
      </c>
      <c r="E1474" s="5" t="s">
        <v>82</v>
      </c>
      <c r="F1474" s="9">
        <v>74</v>
      </c>
      <c r="G1474" s="9">
        <v>915</v>
      </c>
      <c r="H1474" s="5" t="s">
        <v>21</v>
      </c>
      <c r="I1474" s="5" t="s">
        <v>3779</v>
      </c>
      <c r="J1474" s="12" t="str">
        <f>HYPERLINK("https://www.boe.es/gazeta/dias/1802/09/10/pdfs/GMD-1802-74.pdf#page=11","Abrir facsímil")</f>
        <v>Abrir facsímil</v>
      </c>
      <c r="K1474" s="15" t="s">
        <v>23</v>
      </c>
    </row>
    <row r="1475" spans="1:11" ht="42" customHeight="1">
      <c r="A1475" s="4" t="s">
        <v>3780</v>
      </c>
      <c r="B1475" s="5" t="s">
        <v>3781</v>
      </c>
      <c r="C1475" s="5" t="s">
        <v>29</v>
      </c>
      <c r="D1475" s="5" t="s">
        <v>30</v>
      </c>
      <c r="E1475" s="5" t="s">
        <v>49</v>
      </c>
      <c r="F1475" s="9">
        <v>83</v>
      </c>
      <c r="G1475" s="9">
        <v>1021</v>
      </c>
      <c r="H1475" s="5" t="s">
        <v>21</v>
      </c>
      <c r="I1475" s="5" t="s">
        <v>3782</v>
      </c>
      <c r="J1475" s="12" t="str">
        <f>HYPERLINK("https://www.boe.es/gazeta/dias/1802/10/12/pdfs/GMD-1802-83.pdf#page=9","Abrir facsímil")</f>
        <v>Abrir facsímil</v>
      </c>
      <c r="K1475" s="15" t="s">
        <v>23</v>
      </c>
    </row>
    <row r="1476" spans="1:11" ht="42" customHeight="1">
      <c r="A1476" s="4" t="s">
        <v>3783</v>
      </c>
      <c r="B1476" s="5" t="s">
        <v>3784</v>
      </c>
      <c r="C1476" s="5" t="s">
        <v>42</v>
      </c>
      <c r="D1476" s="5" t="s">
        <v>43</v>
      </c>
      <c r="E1476" s="5" t="s">
        <v>44</v>
      </c>
      <c r="F1476" s="9">
        <v>99</v>
      </c>
      <c r="G1476" s="9" t="s">
        <v>78</v>
      </c>
      <c r="H1476" s="5" t="s">
        <v>21</v>
      </c>
      <c r="I1476" s="5" t="s">
        <v>3785</v>
      </c>
      <c r="J1476" s="12" t="str">
        <f>HYPERLINK("https://www.boe.es/gazeta/dias/1802/12/07/pdfs/GMD-D-1802-99.pdf#page=15","Abrir facsímil")</f>
        <v>Abrir facsímil</v>
      </c>
      <c r="K1476" s="15" t="s">
        <v>23</v>
      </c>
    </row>
    <row r="1477" spans="1:11" ht="42" customHeight="1">
      <c r="A1477" s="4" t="s">
        <v>3786</v>
      </c>
      <c r="B1477" s="5" t="s">
        <v>3787</v>
      </c>
      <c r="C1477" s="5" t="s">
        <v>29</v>
      </c>
      <c r="D1477" s="5" t="s">
        <v>30</v>
      </c>
      <c r="E1477" s="5" t="s">
        <v>900</v>
      </c>
      <c r="F1477" s="9">
        <v>16</v>
      </c>
      <c r="G1477" s="9">
        <v>169</v>
      </c>
      <c r="H1477" s="5" t="s">
        <v>21</v>
      </c>
      <c r="I1477" s="5" t="s">
        <v>3788</v>
      </c>
      <c r="J1477" s="12" t="str">
        <f>HYPERLINK("https://www.boe.es/gazeta/dias/1802/02/23/pdfs/GMD-1802-16.pdf#page=9","Abrir facsímil")</f>
        <v>Abrir facsímil</v>
      </c>
      <c r="K1477" s="15" t="s">
        <v>23</v>
      </c>
    </row>
    <row r="1478" spans="1:11" ht="42" customHeight="1">
      <c r="A1478" s="4" t="s">
        <v>3789</v>
      </c>
      <c r="B1478" s="5" t="s">
        <v>3790</v>
      </c>
      <c r="C1478" s="5" t="s">
        <v>29</v>
      </c>
      <c r="D1478" s="5" t="s">
        <v>30</v>
      </c>
      <c r="E1478" s="5" t="s">
        <v>20</v>
      </c>
      <c r="F1478" s="9">
        <v>84</v>
      </c>
      <c r="G1478" s="9">
        <v>1048</v>
      </c>
      <c r="H1478" s="5" t="s">
        <v>21</v>
      </c>
      <c r="I1478" s="5" t="s">
        <v>3791</v>
      </c>
      <c r="J1478" s="12" t="str">
        <f>HYPERLINK("https://www.boe.es/gazeta/dias/1802/10/15/pdfs/GMD-1802-84.pdf#page=16","Abrir facsímil")</f>
        <v>Abrir facsímil</v>
      </c>
      <c r="K1478" s="15" t="s">
        <v>23</v>
      </c>
    </row>
    <row r="1479" spans="1:11" ht="42" customHeight="1">
      <c r="A1479" s="4" t="s">
        <v>3792</v>
      </c>
      <c r="B1479" s="5" t="s">
        <v>3793</v>
      </c>
      <c r="C1479" s="5" t="s">
        <v>18</v>
      </c>
      <c r="D1479" s="5" t="s">
        <v>19</v>
      </c>
      <c r="E1479" s="5" t="s">
        <v>706</v>
      </c>
      <c r="F1479" s="9">
        <v>80</v>
      </c>
      <c r="G1479" s="9">
        <v>987</v>
      </c>
      <c r="H1479" s="5" t="s">
        <v>21</v>
      </c>
      <c r="I1479" s="5" t="s">
        <v>3794</v>
      </c>
      <c r="J1479" s="12" t="str">
        <f>HYPERLINK("https://www.boe.es/gazeta/dias/1802/10/01/pdfs/GMD-1802-80.pdf#page=11","Abrir facsímil")</f>
        <v>Abrir facsímil</v>
      </c>
      <c r="K1479" s="15" t="s">
        <v>23</v>
      </c>
    </row>
    <row r="1480" spans="1:11" ht="42" customHeight="1">
      <c r="A1480" s="4" t="s">
        <v>3795</v>
      </c>
      <c r="B1480" s="5" t="s">
        <v>3796</v>
      </c>
      <c r="C1480" s="5" t="s">
        <v>55</v>
      </c>
      <c r="D1480" s="5" t="s">
        <v>56</v>
      </c>
      <c r="E1480" s="5" t="s">
        <v>167</v>
      </c>
      <c r="F1480" s="9">
        <v>23</v>
      </c>
      <c r="G1480" s="9">
        <v>264</v>
      </c>
      <c r="H1480" s="5" t="s">
        <v>21</v>
      </c>
      <c r="I1480" s="5" t="s">
        <v>3797</v>
      </c>
      <c r="J1480" s="12" t="str">
        <f>HYPERLINK("https://www.boe.es/gazeta/dias/1802/03/19/pdfs/GMD-1802-23.pdf#page=12","Abrir facsímil")</f>
        <v>Abrir facsímil</v>
      </c>
      <c r="K1480" s="15" t="s">
        <v>23</v>
      </c>
    </row>
    <row r="1481" spans="1:11" ht="42" customHeight="1">
      <c r="A1481" s="4" t="s">
        <v>3798</v>
      </c>
      <c r="B1481" s="5" t="s">
        <v>3799</v>
      </c>
      <c r="C1481" s="5" t="s">
        <v>18</v>
      </c>
      <c r="D1481" s="5" t="s">
        <v>19</v>
      </c>
      <c r="E1481" s="5" t="s">
        <v>328</v>
      </c>
      <c r="F1481" s="9">
        <v>45</v>
      </c>
      <c r="G1481" s="9">
        <v>546</v>
      </c>
      <c r="H1481" s="5" t="s">
        <v>21</v>
      </c>
      <c r="I1481" s="5" t="s">
        <v>3800</v>
      </c>
      <c r="J1481" s="12" t="str">
        <f>HYPERLINK("https://www.boe.es/gazeta/dias/1802/06/04/pdfs/GMD-1802-45.pdf#page=10","Abrir facsímil")</f>
        <v>Abrir facsímil</v>
      </c>
      <c r="K1481" s="15" t="s">
        <v>23</v>
      </c>
    </row>
    <row r="1482" spans="1:11" ht="42" customHeight="1">
      <c r="A1482" s="4" t="s">
        <v>3801</v>
      </c>
      <c r="B1482" s="5" t="s">
        <v>3802</v>
      </c>
      <c r="C1482" s="5" t="s">
        <v>90</v>
      </c>
      <c r="D1482" s="5" t="s">
        <v>91</v>
      </c>
      <c r="E1482" s="5" t="s">
        <v>670</v>
      </c>
      <c r="F1482" s="9">
        <v>40</v>
      </c>
      <c r="G1482" s="9">
        <v>480</v>
      </c>
      <c r="H1482" s="5" t="s">
        <v>21</v>
      </c>
      <c r="I1482" s="5" t="s">
        <v>3803</v>
      </c>
      <c r="J1482" s="12" t="str">
        <f>HYPERLINK("https://www.boe.es/gazeta/dias/1802/05/18/pdfs/GMD-1802-40.pdf#page=8","Abrir facsímil")</f>
        <v>Abrir facsímil</v>
      </c>
      <c r="K1482" s="15" t="s">
        <v>23</v>
      </c>
    </row>
    <row r="1483" spans="1:11" ht="42" customHeight="1">
      <c r="A1483" s="4" t="s">
        <v>3804</v>
      </c>
      <c r="B1483" s="5" t="s">
        <v>3805</v>
      </c>
      <c r="C1483" s="5" t="s">
        <v>90</v>
      </c>
      <c r="D1483" s="5" t="s">
        <v>91</v>
      </c>
      <c r="E1483" s="5" t="s">
        <v>152</v>
      </c>
      <c r="F1483" s="9">
        <v>25</v>
      </c>
      <c r="G1483" s="9">
        <v>285</v>
      </c>
      <c r="H1483" s="5" t="s">
        <v>21</v>
      </c>
      <c r="I1483" s="5" t="s">
        <v>3806</v>
      </c>
      <c r="J1483" s="12" t="str">
        <f>HYPERLINK("https://www.boe.es/gazeta/dias/1802/03/26/pdfs/GMD-1802-25.pdf#page=9","Abrir facsímil")</f>
        <v>Abrir facsímil</v>
      </c>
      <c r="K1483" s="15" t="s">
        <v>23</v>
      </c>
    </row>
    <row r="1484" spans="1:11" ht="42" customHeight="1">
      <c r="A1484" s="4" t="s">
        <v>3807</v>
      </c>
      <c r="B1484" s="5" t="s">
        <v>3808</v>
      </c>
      <c r="C1484" s="5" t="s">
        <v>90</v>
      </c>
      <c r="D1484" s="5" t="s">
        <v>91</v>
      </c>
      <c r="E1484" s="5" t="s">
        <v>86</v>
      </c>
      <c r="F1484" s="9">
        <v>26</v>
      </c>
      <c r="G1484" s="9">
        <v>298</v>
      </c>
      <c r="H1484" s="5" t="s">
        <v>21</v>
      </c>
      <c r="I1484" s="5" t="s">
        <v>3809</v>
      </c>
      <c r="J1484" s="12" t="str">
        <f>HYPERLINK("https://www.boe.es/gazeta/dias/1802/03/30/pdfs/GMD-1802-26.pdf#page=10","Abrir facsímil")</f>
        <v>Abrir facsímil</v>
      </c>
      <c r="K1484" s="15" t="s">
        <v>23</v>
      </c>
    </row>
    <row r="1485" spans="1:11" ht="42" customHeight="1">
      <c r="A1485" s="4" t="s">
        <v>3810</v>
      </c>
      <c r="B1485" s="5" t="s">
        <v>3811</v>
      </c>
      <c r="C1485" s="5" t="s">
        <v>55</v>
      </c>
      <c r="D1485" s="5" t="s">
        <v>56</v>
      </c>
      <c r="E1485" s="5" t="s">
        <v>121</v>
      </c>
      <c r="F1485" s="9">
        <v>87</v>
      </c>
      <c r="G1485" s="9">
        <v>1084</v>
      </c>
      <c r="H1485" s="5" t="s">
        <v>21</v>
      </c>
      <c r="I1485" s="5" t="s">
        <v>3812</v>
      </c>
      <c r="J1485" s="12" t="str">
        <f>HYPERLINK("https://www.boe.es/gazeta/dias/1802/10/26/pdfs/GMD-1802-87.pdf#page=12","Abrir facsímil")</f>
        <v>Abrir facsímil</v>
      </c>
      <c r="K1485" s="15" t="s">
        <v>23</v>
      </c>
    </row>
    <row r="1486" spans="1:11" ht="42" customHeight="1">
      <c r="A1486" s="4" t="s">
        <v>3813</v>
      </c>
      <c r="B1486" s="5" t="s">
        <v>3814</v>
      </c>
      <c r="C1486" s="5" t="s">
        <v>18</v>
      </c>
      <c r="D1486" s="5" t="s">
        <v>19</v>
      </c>
      <c r="E1486" s="5" t="s">
        <v>1749</v>
      </c>
      <c r="F1486" s="9">
        <v>60</v>
      </c>
      <c r="G1486" s="9">
        <v>730</v>
      </c>
      <c r="H1486" s="5" t="s">
        <v>21</v>
      </c>
      <c r="I1486" s="5" t="s">
        <v>3815</v>
      </c>
      <c r="J1486" s="12" t="str">
        <f>HYPERLINK("https://www.boe.es/gazeta/dias/1802/07/23/pdfs/GMD-1802-60.pdf#page=14","Abrir facsímil")</f>
        <v>Abrir facsímil</v>
      </c>
      <c r="K1486" s="15" t="s">
        <v>23</v>
      </c>
    </row>
    <row r="1487" spans="1:11" ht="42" customHeight="1">
      <c r="A1487" s="4" t="s">
        <v>3816</v>
      </c>
      <c r="B1487" s="5" t="s">
        <v>3817</v>
      </c>
      <c r="C1487" s="5" t="s">
        <v>29</v>
      </c>
      <c r="D1487" s="5" t="s">
        <v>30</v>
      </c>
      <c r="E1487" s="5" t="s">
        <v>1264</v>
      </c>
      <c r="F1487" s="9">
        <v>105</v>
      </c>
      <c r="G1487" s="9">
        <v>1286</v>
      </c>
      <c r="H1487" s="5" t="s">
        <v>21</v>
      </c>
      <c r="I1487" s="5" t="s">
        <v>3818</v>
      </c>
      <c r="J1487" s="12" t="str">
        <f>HYPERLINK("https://www.boe.es/gazeta/dias/1802/12/28/pdfs/GMD-1802-105.pdf#page=10","Abrir facsímil")</f>
        <v>Abrir facsímil</v>
      </c>
      <c r="K1487" s="15" t="s">
        <v>23</v>
      </c>
    </row>
    <row r="1488" spans="1:11" ht="42" customHeight="1">
      <c r="A1488" s="4" t="s">
        <v>3819</v>
      </c>
      <c r="B1488" s="5" t="s">
        <v>3820</v>
      </c>
      <c r="C1488" s="5" t="s">
        <v>90</v>
      </c>
      <c r="D1488" s="5" t="s">
        <v>91</v>
      </c>
      <c r="E1488" s="5" t="s">
        <v>1264</v>
      </c>
      <c r="F1488" s="9">
        <v>105</v>
      </c>
      <c r="G1488" s="9">
        <v>1287</v>
      </c>
      <c r="H1488" s="5" t="s">
        <v>21</v>
      </c>
      <c r="I1488" s="5" t="s">
        <v>3821</v>
      </c>
      <c r="J1488" s="12" t="str">
        <f>HYPERLINK("https://www.boe.es/gazeta/dias/1802/12/28/pdfs/GMD-1802-105.pdf#page=11","Abrir facsímil")</f>
        <v>Abrir facsímil</v>
      </c>
      <c r="K1488" s="15" t="s">
        <v>23</v>
      </c>
    </row>
    <row r="1489" spans="1:11" ht="42" customHeight="1">
      <c r="A1489" s="4" t="s">
        <v>3822</v>
      </c>
      <c r="B1489" s="5" t="s">
        <v>3823</v>
      </c>
      <c r="C1489" s="5" t="s">
        <v>29</v>
      </c>
      <c r="D1489" s="5" t="s">
        <v>30</v>
      </c>
      <c r="E1489" s="5" t="s">
        <v>299</v>
      </c>
      <c r="F1489" s="9">
        <v>19</v>
      </c>
      <c r="G1489" s="9">
        <v>209</v>
      </c>
      <c r="H1489" s="5" t="s">
        <v>21</v>
      </c>
      <c r="I1489" s="5" t="s">
        <v>3824</v>
      </c>
      <c r="J1489" s="12" t="str">
        <f>HYPERLINK("https://www.boe.es/gazeta/dias/1802/03/05/pdfs/GMD-1802-19.pdf#page=9","Abrir facsímil")</f>
        <v>Abrir facsímil</v>
      </c>
      <c r="K1489" s="15" t="s">
        <v>23</v>
      </c>
    </row>
    <row r="1490" spans="1:11" ht="42" customHeight="1">
      <c r="A1490" s="4" t="s">
        <v>3825</v>
      </c>
      <c r="B1490" s="5" t="s">
        <v>3826</v>
      </c>
      <c r="C1490" s="5" t="s">
        <v>18</v>
      </c>
      <c r="D1490" s="5" t="s">
        <v>19</v>
      </c>
      <c r="E1490" s="5" t="s">
        <v>20</v>
      </c>
      <c r="F1490" s="9">
        <v>84</v>
      </c>
      <c r="G1490" s="9">
        <v>1041</v>
      </c>
      <c r="H1490" s="5" t="s">
        <v>21</v>
      </c>
      <c r="I1490" s="5" t="s">
        <v>3827</v>
      </c>
      <c r="J1490" s="12" t="str">
        <f>HYPERLINK("https://www.boe.es/gazeta/dias/1802/10/15/pdfs/GMD-1802-84.pdf#page=9","Abrir facsímil")</f>
        <v>Abrir facsímil</v>
      </c>
      <c r="K1490" s="15" t="s">
        <v>23</v>
      </c>
    </row>
    <row r="1491" spans="1:11" ht="42" customHeight="1">
      <c r="A1491" s="4" t="s">
        <v>3828</v>
      </c>
      <c r="B1491" s="5" t="s">
        <v>3829</v>
      </c>
      <c r="C1491" s="5" t="s">
        <v>18</v>
      </c>
      <c r="D1491" s="5" t="s">
        <v>19</v>
      </c>
      <c r="E1491" s="5" t="s">
        <v>128</v>
      </c>
      <c r="F1491" s="9">
        <v>9</v>
      </c>
      <c r="G1491" s="9">
        <v>88</v>
      </c>
      <c r="H1491" s="5" t="s">
        <v>21</v>
      </c>
      <c r="I1491" s="5" t="s">
        <v>3830</v>
      </c>
      <c r="J1491" s="12" t="str">
        <f>HYPERLINK("https://www.boe.es/gazeta/dias/1802/01/29/pdfs/GMD-1802-9.pdf#page=8","Abrir facsímil")</f>
        <v>Abrir facsímil</v>
      </c>
      <c r="K1491" s="15" t="s">
        <v>23</v>
      </c>
    </row>
    <row r="1492" spans="1:11" ht="42" customHeight="1">
      <c r="A1492" s="4" t="s">
        <v>3831</v>
      </c>
      <c r="B1492" s="5" t="s">
        <v>3832</v>
      </c>
      <c r="C1492" s="5" t="s">
        <v>90</v>
      </c>
      <c r="D1492" s="5" t="s">
        <v>91</v>
      </c>
      <c r="E1492" s="5" t="s">
        <v>1097</v>
      </c>
      <c r="F1492" s="9">
        <v>20</v>
      </c>
      <c r="G1492" s="9">
        <v>222</v>
      </c>
      <c r="H1492" s="5" t="s">
        <v>21</v>
      </c>
      <c r="I1492" s="5" t="s">
        <v>3833</v>
      </c>
      <c r="J1492" s="12" t="str">
        <f>HYPERLINK("https://www.boe.es/gazeta/dias/1802/03/09/pdfs/GMD-1802-20.pdf#page=10","Abrir facsímil")</f>
        <v>Abrir facsímil</v>
      </c>
      <c r="K1492" s="15" t="s">
        <v>23</v>
      </c>
    </row>
    <row r="1493" spans="1:11" ht="42" customHeight="1">
      <c r="A1493" s="4" t="s">
        <v>3834</v>
      </c>
      <c r="B1493" s="5" t="s">
        <v>3835</v>
      </c>
      <c r="C1493" s="5" t="s">
        <v>18</v>
      </c>
      <c r="D1493" s="5" t="s">
        <v>19</v>
      </c>
      <c r="E1493" s="5" t="s">
        <v>49</v>
      </c>
      <c r="F1493" s="9">
        <v>83</v>
      </c>
      <c r="G1493" s="9">
        <v>1025</v>
      </c>
      <c r="H1493" s="5" t="s">
        <v>21</v>
      </c>
      <c r="I1493" s="5" t="s">
        <v>3836</v>
      </c>
      <c r="J1493" s="12" t="str">
        <f>HYPERLINK("https://www.boe.es/gazeta/dias/1802/10/12/pdfs/GMD-1802-83.pdf#page=13","Abrir facsímil")</f>
        <v>Abrir facsímil</v>
      </c>
      <c r="K1493" s="15" t="s">
        <v>23</v>
      </c>
    </row>
    <row r="1494" spans="1:11" ht="42" customHeight="1">
      <c r="A1494" s="4" t="s">
        <v>3837</v>
      </c>
      <c r="B1494" s="5" t="s">
        <v>3838</v>
      </c>
      <c r="C1494" s="5" t="s">
        <v>35</v>
      </c>
      <c r="D1494" s="5" t="s">
        <v>36</v>
      </c>
      <c r="E1494" s="5" t="s">
        <v>172</v>
      </c>
      <c r="F1494" s="9">
        <v>35</v>
      </c>
      <c r="G1494" s="9">
        <v>402</v>
      </c>
      <c r="H1494" s="5" t="s">
        <v>21</v>
      </c>
      <c r="I1494" s="5" t="s">
        <v>3839</v>
      </c>
      <c r="J1494" s="12" t="str">
        <f>HYPERLINK("https://www.boe.es/gazeta/dias/1802/04/30/pdfs/GMD-1802-35.pdf#page=2","Abrir facsímil")</f>
        <v>Abrir facsímil</v>
      </c>
      <c r="K1494" s="15" t="s">
        <v>23</v>
      </c>
    </row>
    <row r="1495" spans="1:11" ht="42" customHeight="1">
      <c r="A1495" s="4" t="s">
        <v>3840</v>
      </c>
      <c r="B1495" s="5" t="s">
        <v>3841</v>
      </c>
      <c r="C1495" s="5" t="s">
        <v>29</v>
      </c>
      <c r="D1495" s="5" t="s">
        <v>30</v>
      </c>
      <c r="E1495" s="5" t="s">
        <v>443</v>
      </c>
      <c r="F1495" s="9">
        <v>78</v>
      </c>
      <c r="G1495" s="9">
        <v>955</v>
      </c>
      <c r="H1495" s="5" t="s">
        <v>21</v>
      </c>
      <c r="I1495" s="5" t="s">
        <v>3842</v>
      </c>
      <c r="J1495" s="12" t="str">
        <f>HYPERLINK("https://www.boe.es/gazeta/dias/1802/09/24/pdfs/GMD-1802-78.pdf#page=3","Abrir facsímil")</f>
        <v>Abrir facsímil</v>
      </c>
      <c r="K1495" s="15" t="s">
        <v>23</v>
      </c>
    </row>
    <row r="1496" spans="1:11" ht="42" customHeight="1">
      <c r="A1496" s="4" t="s">
        <v>3843</v>
      </c>
      <c r="B1496" s="5" t="s">
        <v>3844</v>
      </c>
      <c r="C1496" s="5" t="s">
        <v>29</v>
      </c>
      <c r="D1496" s="5" t="s">
        <v>30</v>
      </c>
      <c r="E1496" s="5" t="s">
        <v>299</v>
      </c>
      <c r="F1496" s="9">
        <v>19</v>
      </c>
      <c r="G1496" s="9">
        <v>210</v>
      </c>
      <c r="H1496" s="5" t="s">
        <v>21</v>
      </c>
      <c r="I1496" s="5" t="s">
        <v>3845</v>
      </c>
      <c r="J1496" s="12" t="str">
        <f>HYPERLINK("https://www.boe.es/gazeta/dias/1802/03/05/pdfs/GMD-1802-19.pdf#page=10","Abrir facsímil")</f>
        <v>Abrir facsímil</v>
      </c>
      <c r="K1496" s="15" t="s">
        <v>23</v>
      </c>
    </row>
    <row r="1497" spans="1:11" ht="42" customHeight="1">
      <c r="A1497" s="4" t="s">
        <v>3846</v>
      </c>
      <c r="B1497" s="5" t="s">
        <v>3847</v>
      </c>
      <c r="C1497" s="5" t="s">
        <v>29</v>
      </c>
      <c r="D1497" s="5" t="s">
        <v>30</v>
      </c>
      <c r="E1497" s="5" t="s">
        <v>670</v>
      </c>
      <c r="F1497" s="9">
        <v>40</v>
      </c>
      <c r="G1497" s="9">
        <v>481</v>
      </c>
      <c r="H1497" s="5" t="s">
        <v>21</v>
      </c>
      <c r="I1497" s="5" t="s">
        <v>3848</v>
      </c>
      <c r="J1497" s="12" t="str">
        <f>HYPERLINK("https://www.boe.es/gazeta/dias/1802/05/18/pdfs/GMD-1802-40.pdf#page=9","Abrir facsímil")</f>
        <v>Abrir facsímil</v>
      </c>
      <c r="K1497" s="15" t="s">
        <v>23</v>
      </c>
    </row>
    <row r="1498" spans="1:11" ht="42" customHeight="1">
      <c r="A1498" s="4" t="s">
        <v>3849</v>
      </c>
      <c r="B1498" s="5" t="s">
        <v>3850</v>
      </c>
      <c r="C1498" s="5" t="s">
        <v>29</v>
      </c>
      <c r="D1498" s="5" t="s">
        <v>30</v>
      </c>
      <c r="E1498" s="5" t="s">
        <v>381</v>
      </c>
      <c r="F1498" s="9">
        <v>13</v>
      </c>
      <c r="G1498" s="9">
        <v>131</v>
      </c>
      <c r="H1498" s="5" t="s">
        <v>21</v>
      </c>
      <c r="I1498" s="5" t="s">
        <v>3851</v>
      </c>
      <c r="J1498" s="12" t="str">
        <f>HYPERLINK("https://www.boe.es/gazeta/dias/1802/02/12/pdfs/GMD-1802-13.pdf#page=7","Abrir facsímil")</f>
        <v>Abrir facsímil</v>
      </c>
      <c r="K1498" s="15" t="s">
        <v>23</v>
      </c>
    </row>
    <row r="1499" spans="1:11" ht="42" customHeight="1">
      <c r="A1499" s="4" t="s">
        <v>3852</v>
      </c>
      <c r="B1499" s="5" t="s">
        <v>3853</v>
      </c>
      <c r="C1499" s="5" t="s">
        <v>29</v>
      </c>
      <c r="D1499" s="5" t="s">
        <v>30</v>
      </c>
      <c r="E1499" s="5" t="s">
        <v>714</v>
      </c>
      <c r="F1499" s="9">
        <v>89</v>
      </c>
      <c r="G1499" s="9">
        <v>1107</v>
      </c>
      <c r="H1499" s="5" t="s">
        <v>21</v>
      </c>
      <c r="I1499" s="5" t="s">
        <v>3854</v>
      </c>
      <c r="J1499" s="12" t="str">
        <f>HYPERLINK("https://www.boe.es/gazeta/dias/1802/11/02/pdfs/GMD-1802-89.pdf#page=11","Abrir facsímil")</f>
        <v>Abrir facsímil</v>
      </c>
      <c r="K1499" s="15" t="s">
        <v>23</v>
      </c>
    </row>
    <row r="1500" spans="1:11" ht="42" customHeight="1">
      <c r="A1500" s="4" t="s">
        <v>3855</v>
      </c>
      <c r="B1500" s="5" t="s">
        <v>3856</v>
      </c>
      <c r="C1500" s="5" t="s">
        <v>90</v>
      </c>
      <c r="D1500" s="5" t="s">
        <v>91</v>
      </c>
      <c r="E1500" s="5" t="s">
        <v>590</v>
      </c>
      <c r="F1500" s="9">
        <v>38</v>
      </c>
      <c r="G1500" s="9">
        <v>454</v>
      </c>
      <c r="H1500" s="5" t="s">
        <v>21</v>
      </c>
      <c r="I1500" s="5" t="s">
        <v>3857</v>
      </c>
      <c r="J1500" s="12" t="str">
        <f>HYPERLINK("https://www.boe.es/gazeta/dias/1802/05/11/pdfs/GMD-1802-38.pdf#page=10","Abrir facsímil")</f>
        <v>Abrir facsímil</v>
      </c>
      <c r="K1500" s="15" t="s">
        <v>23</v>
      </c>
    </row>
    <row r="1501" spans="1:11" ht="42" customHeight="1">
      <c r="A1501" s="4" t="s">
        <v>3858</v>
      </c>
      <c r="B1501" s="5" t="s">
        <v>3859</v>
      </c>
      <c r="C1501" s="5" t="s">
        <v>90</v>
      </c>
      <c r="D1501" s="5" t="s">
        <v>91</v>
      </c>
      <c r="E1501" s="5" t="s">
        <v>109</v>
      </c>
      <c r="F1501" s="9">
        <v>10</v>
      </c>
      <c r="G1501" s="9">
        <v>98</v>
      </c>
      <c r="H1501" s="5" t="s">
        <v>21</v>
      </c>
      <c r="I1501" s="5" t="s">
        <v>3860</v>
      </c>
      <c r="J1501" s="12" t="str">
        <f>HYPERLINK("https://www.boe.es/gazeta/dias/1802/02/02/pdfs/GMD-1802-10.pdf#page=6","Abrir facsímil")</f>
        <v>Abrir facsímil</v>
      </c>
      <c r="K1501" s="15" t="s">
        <v>23</v>
      </c>
    </row>
    <row r="1502" spans="1:11" ht="42" customHeight="1">
      <c r="A1502" s="4" t="s">
        <v>3858</v>
      </c>
      <c r="B1502" s="5" t="s">
        <v>3859</v>
      </c>
      <c r="C1502" s="5" t="s">
        <v>18</v>
      </c>
      <c r="D1502" s="5" t="s">
        <v>19</v>
      </c>
      <c r="E1502" s="5" t="s">
        <v>49</v>
      </c>
      <c r="F1502" s="9">
        <v>83</v>
      </c>
      <c r="G1502" s="9">
        <v>1025</v>
      </c>
      <c r="H1502" s="5" t="s">
        <v>21</v>
      </c>
      <c r="I1502" s="5" t="s">
        <v>3861</v>
      </c>
      <c r="J1502" s="12" t="str">
        <f>HYPERLINK("https://www.boe.es/gazeta/dias/1802/10/12/pdfs/GMD-1802-83.pdf#page=13","Abrir facsímil")</f>
        <v>Abrir facsímil</v>
      </c>
      <c r="K1502" s="15" t="s">
        <v>23</v>
      </c>
    </row>
    <row r="1503" spans="1:11" ht="42" customHeight="1">
      <c r="A1503" s="4" t="s">
        <v>3862</v>
      </c>
      <c r="B1503" s="5" t="s">
        <v>3863</v>
      </c>
      <c r="C1503" s="5" t="s">
        <v>90</v>
      </c>
      <c r="D1503" s="5" t="s">
        <v>91</v>
      </c>
      <c r="E1503" s="5" t="s">
        <v>517</v>
      </c>
      <c r="F1503" s="9">
        <v>61</v>
      </c>
      <c r="G1503" s="9">
        <v>740</v>
      </c>
      <c r="H1503" s="5" t="s">
        <v>21</v>
      </c>
      <c r="I1503" s="5" t="s">
        <v>3864</v>
      </c>
      <c r="J1503" s="12" t="str">
        <f>HYPERLINK("https://www.boe.es/gazeta/dias/1802/07/27/pdfs/GMD-1802-61.pdf#page=8","Abrir facsímil")</f>
        <v>Abrir facsímil</v>
      </c>
      <c r="K1503" s="15" t="s">
        <v>23</v>
      </c>
    </row>
    <row r="1504" spans="1:11" ht="42" customHeight="1">
      <c r="A1504" s="4" t="s">
        <v>3865</v>
      </c>
      <c r="B1504" s="5" t="s">
        <v>3866</v>
      </c>
      <c r="C1504" s="5" t="s">
        <v>42</v>
      </c>
      <c r="D1504" s="5" t="s">
        <v>43</v>
      </c>
      <c r="E1504" s="5" t="s">
        <v>44</v>
      </c>
      <c r="F1504" s="9">
        <v>99</v>
      </c>
      <c r="G1504" s="9" t="s">
        <v>558</v>
      </c>
      <c r="H1504" s="5" t="s">
        <v>21</v>
      </c>
      <c r="I1504" s="5" t="s">
        <v>3867</v>
      </c>
      <c r="J1504" s="12" t="str">
        <f>HYPERLINK("https://www.boe.es/gazeta/dias/1802/12/07/pdfs/GMD-D-1802-99.pdf#page=1","Abrir facsímil")</f>
        <v>Abrir facsímil</v>
      </c>
      <c r="K1504" s="15" t="s">
        <v>23</v>
      </c>
    </row>
    <row r="1505" spans="1:11" ht="42" customHeight="1">
      <c r="A1505" s="4" t="s">
        <v>3868</v>
      </c>
      <c r="B1505" s="5" t="s">
        <v>3869</v>
      </c>
      <c r="C1505" s="5" t="s">
        <v>29</v>
      </c>
      <c r="D1505" s="5" t="s">
        <v>30</v>
      </c>
      <c r="E1505" s="5" t="s">
        <v>31</v>
      </c>
      <c r="F1505" s="9">
        <v>27</v>
      </c>
      <c r="G1505" s="9">
        <v>317</v>
      </c>
      <c r="H1505" s="5" t="s">
        <v>21</v>
      </c>
      <c r="I1505" s="5" t="s">
        <v>3870</v>
      </c>
      <c r="J1505" s="12" t="str">
        <f>HYPERLINK("https://www.boe.es/gazeta/dias/1802/04/02/pdfs/GMD-1802-27.pdf#page=13","Abrir facsímil")</f>
        <v>Abrir facsímil</v>
      </c>
      <c r="K1505" s="15" t="s">
        <v>23</v>
      </c>
    </row>
    <row r="1506" spans="1:11" ht="42" customHeight="1">
      <c r="A1506" s="4" t="s">
        <v>3871</v>
      </c>
      <c r="B1506" s="5" t="s">
        <v>3872</v>
      </c>
      <c r="C1506" s="5" t="s">
        <v>29</v>
      </c>
      <c r="D1506" s="5" t="s">
        <v>30</v>
      </c>
      <c r="E1506" s="5" t="s">
        <v>1264</v>
      </c>
      <c r="F1506" s="9">
        <v>105</v>
      </c>
      <c r="G1506" s="9">
        <v>1287</v>
      </c>
      <c r="H1506" s="5" t="s">
        <v>21</v>
      </c>
      <c r="I1506" s="5" t="s">
        <v>3873</v>
      </c>
      <c r="J1506" s="12" t="str">
        <f>HYPERLINK("https://www.boe.es/gazeta/dias/1802/12/28/pdfs/GMD-1802-105.pdf#page=11","Abrir facsímil")</f>
        <v>Abrir facsímil</v>
      </c>
      <c r="K1506" s="15" t="s">
        <v>23</v>
      </c>
    </row>
    <row r="1507" spans="1:11" ht="42" customHeight="1">
      <c r="A1507" s="4" t="s">
        <v>3874</v>
      </c>
      <c r="B1507" s="5" t="s">
        <v>3875</v>
      </c>
      <c r="C1507" s="5" t="s">
        <v>90</v>
      </c>
      <c r="D1507" s="5" t="s">
        <v>91</v>
      </c>
      <c r="E1507" s="5" t="s">
        <v>102</v>
      </c>
      <c r="F1507" s="9">
        <v>73</v>
      </c>
      <c r="G1507" s="9">
        <v>902</v>
      </c>
      <c r="H1507" s="5" t="s">
        <v>21</v>
      </c>
      <c r="I1507" s="5" t="s">
        <v>3876</v>
      </c>
      <c r="J1507" s="12" t="str">
        <f>HYPERLINK("https://www.boe.es/gazeta/dias/1802/09/07/pdfs/GMD-1802-73.pdf#page=10","Abrir facsímil")</f>
        <v>Abrir facsímil</v>
      </c>
      <c r="K1507" s="15" t="s">
        <v>23</v>
      </c>
    </row>
    <row r="1508" spans="1:11" ht="42" customHeight="1">
      <c r="A1508" s="4" t="s">
        <v>3877</v>
      </c>
      <c r="B1508" s="5" t="s">
        <v>3878</v>
      </c>
      <c r="C1508" s="5" t="s">
        <v>29</v>
      </c>
      <c r="D1508" s="5" t="s">
        <v>30</v>
      </c>
      <c r="E1508" s="5" t="s">
        <v>20</v>
      </c>
      <c r="F1508" s="9">
        <v>84</v>
      </c>
      <c r="G1508" s="9">
        <v>1041</v>
      </c>
      <c r="H1508" s="5" t="s">
        <v>21</v>
      </c>
      <c r="I1508" s="5" t="s">
        <v>3879</v>
      </c>
      <c r="J1508" s="12" t="str">
        <f>HYPERLINK("https://www.boe.es/gazeta/dias/1802/10/15/pdfs/GMD-1802-84.pdf#page=9","Abrir facsímil")</f>
        <v>Abrir facsímil</v>
      </c>
      <c r="K1508" s="15" t="s">
        <v>23</v>
      </c>
    </row>
    <row r="1509" spans="1:11" ht="42" customHeight="1">
      <c r="A1509" s="4" t="s">
        <v>3880</v>
      </c>
      <c r="B1509" s="5" t="s">
        <v>3881</v>
      </c>
      <c r="C1509" s="5" t="s">
        <v>29</v>
      </c>
      <c r="D1509" s="5" t="s">
        <v>30</v>
      </c>
      <c r="E1509" s="5" t="s">
        <v>37</v>
      </c>
      <c r="F1509" s="9">
        <v>106</v>
      </c>
      <c r="G1509" s="9">
        <v>1295</v>
      </c>
      <c r="H1509" s="5" t="s">
        <v>21</v>
      </c>
      <c r="I1509" s="5" t="s">
        <v>3882</v>
      </c>
      <c r="J1509" s="12" t="str">
        <f>HYPERLINK("https://www.boe.es/gazeta/dias/1802/12/31/pdfs/GMD-1802-106.pdf#page=7","Abrir facsímil")</f>
        <v>Abrir facsímil</v>
      </c>
      <c r="K1509" s="15" t="s">
        <v>23</v>
      </c>
    </row>
    <row r="1510" spans="1:11" ht="42" customHeight="1">
      <c r="A1510" s="4" t="s">
        <v>3883</v>
      </c>
      <c r="B1510" s="5" t="s">
        <v>3884</v>
      </c>
      <c r="C1510" s="5" t="s">
        <v>35</v>
      </c>
      <c r="D1510" s="5" t="s">
        <v>36</v>
      </c>
      <c r="E1510" s="5" t="s">
        <v>188</v>
      </c>
      <c r="F1510" s="9">
        <v>49</v>
      </c>
      <c r="G1510" s="9">
        <v>599</v>
      </c>
      <c r="H1510" s="5" t="s">
        <v>21</v>
      </c>
      <c r="I1510" s="5" t="s">
        <v>3885</v>
      </c>
      <c r="J1510" s="12" t="str">
        <f>HYPERLINK("https://www.boe.es/gazeta/dias/1802/06/18/pdfs/GMD-1802-49.pdf#page=11","Abrir facsímil")</f>
        <v>Abrir facsímil</v>
      </c>
      <c r="K1510" s="15" t="s">
        <v>23</v>
      </c>
    </row>
    <row r="1511" spans="1:11" ht="42" customHeight="1">
      <c r="A1511" s="4" t="s">
        <v>3886</v>
      </c>
      <c r="B1511" s="5" t="s">
        <v>3887</v>
      </c>
      <c r="C1511" s="5" t="s">
        <v>90</v>
      </c>
      <c r="D1511" s="5" t="s">
        <v>91</v>
      </c>
      <c r="E1511" s="5" t="s">
        <v>491</v>
      </c>
      <c r="F1511" s="9">
        <v>57</v>
      </c>
      <c r="G1511" s="9">
        <v>691</v>
      </c>
      <c r="H1511" s="5" t="s">
        <v>21</v>
      </c>
      <c r="I1511" s="5" t="s">
        <v>3888</v>
      </c>
      <c r="J1511" s="12" t="str">
        <f>HYPERLINK("https://www.boe.es/gazeta/dias/1802/07/16/pdfs/GMD-1802-57.pdf#page=11","Abrir facsímil")</f>
        <v>Abrir facsímil</v>
      </c>
      <c r="K1511" s="15" t="s">
        <v>23</v>
      </c>
    </row>
    <row r="1512" spans="1:11" ht="42" customHeight="1">
      <c r="A1512" s="4" t="s">
        <v>3889</v>
      </c>
      <c r="B1512" s="5" t="s">
        <v>3890</v>
      </c>
      <c r="C1512" s="5" t="s">
        <v>29</v>
      </c>
      <c r="D1512" s="5" t="s">
        <v>30</v>
      </c>
      <c r="E1512" s="5" t="s">
        <v>385</v>
      </c>
      <c r="F1512" s="9">
        <v>70</v>
      </c>
      <c r="G1512" s="9">
        <v>862</v>
      </c>
      <c r="H1512" s="5" t="s">
        <v>21</v>
      </c>
      <c r="I1512" s="5" t="s">
        <v>3891</v>
      </c>
      <c r="J1512" s="12" t="str">
        <f>HYPERLINK("https://www.boe.es/gazeta/dias/1802/08/27/pdfs/GMD-1802-70.pdf#page=10","Abrir facsímil")</f>
        <v>Abrir facsímil</v>
      </c>
      <c r="K1512" s="15" t="s">
        <v>23</v>
      </c>
    </row>
    <row r="1513" spans="1:11" ht="42" customHeight="1">
      <c r="A1513" s="4" t="s">
        <v>3892</v>
      </c>
      <c r="B1513" s="5" t="s">
        <v>3893</v>
      </c>
      <c r="C1513" s="5" t="s">
        <v>18</v>
      </c>
      <c r="D1513" s="5" t="s">
        <v>19</v>
      </c>
      <c r="E1513" s="5" t="s">
        <v>146</v>
      </c>
      <c r="F1513" s="9">
        <v>42</v>
      </c>
      <c r="G1513" s="9">
        <v>508</v>
      </c>
      <c r="H1513" s="5" t="s">
        <v>21</v>
      </c>
      <c r="I1513" s="5" t="s">
        <v>3894</v>
      </c>
      <c r="J1513" s="12" t="str">
        <f>HYPERLINK("https://www.boe.es/gazeta/dias/1802/05/25/pdfs/GMD-1802-42.pdf#page=12","Abrir facsímil")</f>
        <v>Abrir facsímil</v>
      </c>
      <c r="K1513" s="15" t="s">
        <v>23</v>
      </c>
    </row>
    <row r="1514" spans="1:11" ht="42" customHeight="1">
      <c r="A1514" s="4" t="s">
        <v>3895</v>
      </c>
      <c r="B1514" s="5" t="s">
        <v>3896</v>
      </c>
      <c r="C1514" s="5" t="s">
        <v>29</v>
      </c>
      <c r="D1514" s="5" t="s">
        <v>30</v>
      </c>
      <c r="E1514" s="5" t="s">
        <v>247</v>
      </c>
      <c r="F1514" s="9">
        <v>14</v>
      </c>
      <c r="G1514" s="9">
        <v>145</v>
      </c>
      <c r="H1514" s="5" t="s">
        <v>21</v>
      </c>
      <c r="I1514" s="5" t="s">
        <v>3897</v>
      </c>
      <c r="J1514" s="12" t="str">
        <f>HYPERLINK("https://www.boe.es/gazeta/dias/1802/02/16/pdfs/GMD-1802-14.pdf#page=9","Abrir facsímil")</f>
        <v>Abrir facsímil</v>
      </c>
      <c r="K1514" s="15" t="s">
        <v>23</v>
      </c>
    </row>
    <row r="1515" spans="1:11" ht="42" customHeight="1">
      <c r="A1515" s="4" t="s">
        <v>3898</v>
      </c>
      <c r="B1515" s="5" t="s">
        <v>3899</v>
      </c>
      <c r="C1515" s="5" t="s">
        <v>160</v>
      </c>
      <c r="D1515" s="5" t="s">
        <v>91</v>
      </c>
      <c r="E1515" s="5" t="s">
        <v>751</v>
      </c>
      <c r="F1515" s="9">
        <v>98</v>
      </c>
      <c r="G1515" s="9">
        <v>1213</v>
      </c>
      <c r="H1515" s="5" t="s">
        <v>21</v>
      </c>
      <c r="I1515" s="5" t="s">
        <v>3900</v>
      </c>
      <c r="J1515" s="12" t="str">
        <f>HYPERLINK("https://www.boe.es/gazeta/dias/1802/12/03/pdfs/GMD-1802-98.pdf#page=9","Abrir facsímil")</f>
        <v>Abrir facsímil</v>
      </c>
      <c r="K1515" s="15" t="s">
        <v>23</v>
      </c>
    </row>
    <row r="1516" spans="1:11" ht="42" customHeight="1">
      <c r="A1516" s="4" t="s">
        <v>3901</v>
      </c>
      <c r="B1516" s="5" t="s">
        <v>3902</v>
      </c>
      <c r="C1516" s="5" t="s">
        <v>29</v>
      </c>
      <c r="D1516" s="5" t="s">
        <v>30</v>
      </c>
      <c r="E1516" s="5" t="s">
        <v>49</v>
      </c>
      <c r="F1516" s="9">
        <v>83</v>
      </c>
      <c r="G1516" s="9">
        <v>1026</v>
      </c>
      <c r="H1516" s="5" t="s">
        <v>21</v>
      </c>
      <c r="I1516" s="5" t="s">
        <v>3903</v>
      </c>
      <c r="J1516" s="12" t="str">
        <f>HYPERLINK("https://www.boe.es/gazeta/dias/1802/10/12/pdfs/GMD-1802-83.pdf#page=14","Abrir facsímil")</f>
        <v>Abrir facsímil</v>
      </c>
      <c r="K1516" s="15" t="s">
        <v>23</v>
      </c>
    </row>
    <row r="1517" spans="1:11" ht="42" customHeight="1">
      <c r="A1517" s="4" t="s">
        <v>3904</v>
      </c>
      <c r="B1517" s="5" t="s">
        <v>3905</v>
      </c>
      <c r="C1517" s="5" t="s">
        <v>29</v>
      </c>
      <c r="D1517" s="5" t="s">
        <v>30</v>
      </c>
      <c r="E1517" s="5" t="s">
        <v>206</v>
      </c>
      <c r="F1517" s="9">
        <v>22</v>
      </c>
      <c r="G1517" s="9">
        <v>240</v>
      </c>
      <c r="H1517" s="5" t="s">
        <v>21</v>
      </c>
      <c r="I1517" s="5" t="s">
        <v>3906</v>
      </c>
      <c r="J1517" s="12" t="str">
        <f>HYPERLINK("https://www.boe.es/gazeta/dias/1802/03/16/pdfs/GMD-1802-22.pdf#page=8","Abrir facsímil")</f>
        <v>Abrir facsímil</v>
      </c>
      <c r="K1517" s="15" t="s">
        <v>23</v>
      </c>
    </row>
    <row r="1518" spans="1:11" ht="42" customHeight="1">
      <c r="A1518" s="4" t="s">
        <v>3907</v>
      </c>
      <c r="B1518" s="5" t="s">
        <v>3908</v>
      </c>
      <c r="C1518" s="5" t="s">
        <v>29</v>
      </c>
      <c r="D1518" s="5" t="s">
        <v>30</v>
      </c>
      <c r="E1518" s="5" t="s">
        <v>188</v>
      </c>
      <c r="F1518" s="9">
        <v>49</v>
      </c>
      <c r="G1518" s="9">
        <v>599</v>
      </c>
      <c r="H1518" s="5" t="s">
        <v>21</v>
      </c>
      <c r="I1518" s="5" t="s">
        <v>3909</v>
      </c>
      <c r="J1518" s="12" t="str">
        <f>HYPERLINK("https://www.boe.es/gazeta/dias/1802/06/18/pdfs/GMD-1802-49.pdf#page=11","Abrir facsímil")</f>
        <v>Abrir facsímil</v>
      </c>
      <c r="K1518" s="15" t="s">
        <v>23</v>
      </c>
    </row>
    <row r="1519" spans="1:11" ht="42" customHeight="1">
      <c r="A1519" s="4" t="s">
        <v>3910</v>
      </c>
      <c r="B1519" s="5" t="s">
        <v>3911</v>
      </c>
      <c r="C1519" s="5" t="s">
        <v>18</v>
      </c>
      <c r="D1519" s="5" t="s">
        <v>19</v>
      </c>
      <c r="E1519" s="5" t="s">
        <v>49</v>
      </c>
      <c r="F1519" s="9">
        <v>83</v>
      </c>
      <c r="G1519" s="9">
        <v>1021</v>
      </c>
      <c r="H1519" s="5" t="s">
        <v>21</v>
      </c>
      <c r="I1519" s="5" t="s">
        <v>3912</v>
      </c>
      <c r="J1519" s="12" t="str">
        <f>HYPERLINK("https://www.boe.es/gazeta/dias/1802/10/12/pdfs/GMD-1802-83.pdf#page=9","Abrir facsímil")</f>
        <v>Abrir facsímil</v>
      </c>
      <c r="K1519" s="15" t="s">
        <v>23</v>
      </c>
    </row>
    <row r="1520" spans="1:11" ht="42" customHeight="1">
      <c r="A1520" s="4" t="s">
        <v>3913</v>
      </c>
      <c r="B1520" s="5" t="s">
        <v>3914</v>
      </c>
      <c r="C1520" s="5" t="s">
        <v>29</v>
      </c>
      <c r="D1520" s="5" t="s">
        <v>30</v>
      </c>
      <c r="E1520" s="5" t="s">
        <v>247</v>
      </c>
      <c r="F1520" s="9">
        <v>14</v>
      </c>
      <c r="G1520" s="9">
        <v>145</v>
      </c>
      <c r="H1520" s="5" t="s">
        <v>21</v>
      </c>
      <c r="I1520" s="5" t="s">
        <v>3915</v>
      </c>
      <c r="J1520" s="12" t="str">
        <f>HYPERLINK("https://www.boe.es/gazeta/dias/1802/02/16/pdfs/GMD-1802-14.pdf#page=9","Abrir facsímil")</f>
        <v>Abrir facsímil</v>
      </c>
      <c r="K1520" s="15" t="s">
        <v>23</v>
      </c>
    </row>
    <row r="1521" spans="1:11" ht="42" customHeight="1">
      <c r="A1521" s="4" t="s">
        <v>3916</v>
      </c>
      <c r="B1521" s="5" t="s">
        <v>3917</v>
      </c>
      <c r="C1521" s="5" t="s">
        <v>18</v>
      </c>
      <c r="D1521" s="5" t="s">
        <v>19</v>
      </c>
      <c r="E1521" s="5" t="s">
        <v>170</v>
      </c>
      <c r="F1521" s="9">
        <v>28</v>
      </c>
      <c r="G1521" s="9">
        <v>331</v>
      </c>
      <c r="H1521" s="5" t="s">
        <v>21</v>
      </c>
      <c r="I1521" s="5" t="s">
        <v>3918</v>
      </c>
      <c r="J1521" s="12" t="str">
        <f>HYPERLINK("https://www.boe.es/gazeta/dias/1802/04/06/pdfs/GMD-1802-28.pdf#page=11","Abrir facsímil")</f>
        <v>Abrir facsímil</v>
      </c>
      <c r="K1521" s="15" t="s">
        <v>23</v>
      </c>
    </row>
    <row r="1522" spans="1:11" ht="42" customHeight="1">
      <c r="A1522" s="4" t="s">
        <v>3919</v>
      </c>
      <c r="B1522" s="5" t="s">
        <v>3920</v>
      </c>
      <c r="C1522" s="5" t="s">
        <v>18</v>
      </c>
      <c r="D1522" s="5" t="s">
        <v>19</v>
      </c>
      <c r="E1522" s="5" t="s">
        <v>170</v>
      </c>
      <c r="F1522" s="9">
        <v>28</v>
      </c>
      <c r="G1522" s="9">
        <v>331</v>
      </c>
      <c r="H1522" s="5" t="s">
        <v>21</v>
      </c>
      <c r="I1522" s="5" t="s">
        <v>3921</v>
      </c>
      <c r="J1522" s="12" t="str">
        <f>HYPERLINK("https://www.boe.es/gazeta/dias/1802/04/06/pdfs/GMD-1802-28.pdf#page=11","Abrir facsímil")</f>
        <v>Abrir facsímil</v>
      </c>
      <c r="K1522" s="15" t="s">
        <v>23</v>
      </c>
    </row>
    <row r="1523" spans="1:11" ht="42" customHeight="1">
      <c r="A1523" s="4" t="s">
        <v>3922</v>
      </c>
      <c r="B1523" s="5" t="s">
        <v>3923</v>
      </c>
      <c r="C1523" s="5" t="s">
        <v>29</v>
      </c>
      <c r="D1523" s="5" t="s">
        <v>30</v>
      </c>
      <c r="E1523" s="5" t="s">
        <v>247</v>
      </c>
      <c r="F1523" s="9">
        <v>14</v>
      </c>
      <c r="G1523" s="9">
        <v>145</v>
      </c>
      <c r="H1523" s="5" t="s">
        <v>21</v>
      </c>
      <c r="I1523" s="5" t="s">
        <v>3924</v>
      </c>
      <c r="J1523" s="12" t="str">
        <f>HYPERLINK("https://www.boe.es/gazeta/dias/1802/02/16/pdfs/GMD-1802-14.pdf#page=9","Abrir facsímil")</f>
        <v>Abrir facsímil</v>
      </c>
      <c r="K1523" s="15" t="s">
        <v>23</v>
      </c>
    </row>
    <row r="1524" spans="1:11" ht="42" customHeight="1">
      <c r="A1524" s="4" t="s">
        <v>3922</v>
      </c>
      <c r="B1524" s="5" t="s">
        <v>3923</v>
      </c>
      <c r="C1524" s="5" t="s">
        <v>18</v>
      </c>
      <c r="D1524" s="5" t="s">
        <v>19</v>
      </c>
      <c r="E1524" s="5" t="s">
        <v>635</v>
      </c>
      <c r="F1524" s="9">
        <v>47</v>
      </c>
      <c r="G1524" s="9">
        <v>575</v>
      </c>
      <c r="H1524" s="5" t="s">
        <v>21</v>
      </c>
      <c r="I1524" s="5" t="s">
        <v>3925</v>
      </c>
      <c r="J1524" s="12" t="str">
        <f>HYPERLINK("https://www.boe.es/gazeta/dias/1802/06/11/pdfs/GMD-1802-47.pdf#page=11","Abrir facsímil")</f>
        <v>Abrir facsímil</v>
      </c>
      <c r="K1524" s="15" t="s">
        <v>23</v>
      </c>
    </row>
    <row r="1525" spans="1:11" ht="42" customHeight="1">
      <c r="A1525" s="4" t="s">
        <v>3926</v>
      </c>
      <c r="B1525" s="5" t="s">
        <v>3927</v>
      </c>
      <c r="C1525" s="5" t="s">
        <v>29</v>
      </c>
      <c r="D1525" s="5" t="s">
        <v>30</v>
      </c>
      <c r="E1525" s="5" t="s">
        <v>590</v>
      </c>
      <c r="F1525" s="9">
        <v>38</v>
      </c>
      <c r="G1525" s="9">
        <v>454</v>
      </c>
      <c r="H1525" s="5" t="s">
        <v>21</v>
      </c>
      <c r="I1525" s="5" t="s">
        <v>3928</v>
      </c>
      <c r="J1525" s="12" t="str">
        <f>HYPERLINK("https://www.boe.es/gazeta/dias/1802/05/11/pdfs/GMD-1802-38.pdf#page=10","Abrir facsímil")</f>
        <v>Abrir facsímil</v>
      </c>
      <c r="K1525" s="15" t="s">
        <v>23</v>
      </c>
    </row>
    <row r="1526" spans="1:11" ht="42" customHeight="1">
      <c r="A1526" s="4" t="s">
        <v>3929</v>
      </c>
      <c r="B1526" s="5" t="s">
        <v>3930</v>
      </c>
      <c r="C1526" s="5" t="s">
        <v>29</v>
      </c>
      <c r="D1526" s="5" t="s">
        <v>30</v>
      </c>
      <c r="E1526" s="5" t="s">
        <v>133</v>
      </c>
      <c r="F1526" s="9">
        <v>33</v>
      </c>
      <c r="G1526" s="9">
        <v>387</v>
      </c>
      <c r="H1526" s="5" t="s">
        <v>21</v>
      </c>
      <c r="I1526" s="5" t="s">
        <v>3931</v>
      </c>
      <c r="J1526" s="12" t="str">
        <f>HYPERLINK("https://www.boe.es/gazeta/dias/1802/04/23/pdfs/GMD-1802-33.pdf#page=7","Abrir facsímil")</f>
        <v>Abrir facsímil</v>
      </c>
      <c r="K1526" s="15" t="s">
        <v>23</v>
      </c>
    </row>
    <row r="1527" spans="1:11" ht="42" customHeight="1">
      <c r="A1527" s="4" t="s">
        <v>3932</v>
      </c>
      <c r="B1527" s="5" t="s">
        <v>3933</v>
      </c>
      <c r="C1527" s="5" t="s">
        <v>160</v>
      </c>
      <c r="D1527" s="5" t="s">
        <v>91</v>
      </c>
      <c r="E1527" s="5" t="s">
        <v>900</v>
      </c>
      <c r="F1527" s="9">
        <v>16</v>
      </c>
      <c r="G1527" s="9">
        <v>170</v>
      </c>
      <c r="H1527" s="5" t="s">
        <v>21</v>
      </c>
      <c r="I1527" s="5" t="s">
        <v>3934</v>
      </c>
      <c r="J1527" s="12" t="str">
        <f>HYPERLINK("https://www.boe.es/gazeta/dias/1802/02/23/pdfs/GMD-1802-16.pdf#page=10","Abrir facsímil")</f>
        <v>Abrir facsímil</v>
      </c>
      <c r="K1527" s="15" t="s">
        <v>23</v>
      </c>
    </row>
    <row r="1528" spans="1:11" ht="42" customHeight="1">
      <c r="A1528" s="4" t="s">
        <v>3935</v>
      </c>
      <c r="B1528" s="5" t="s">
        <v>3936</v>
      </c>
      <c r="C1528" s="5" t="s">
        <v>29</v>
      </c>
      <c r="D1528" s="5" t="s">
        <v>30</v>
      </c>
      <c r="E1528" s="5" t="s">
        <v>128</v>
      </c>
      <c r="F1528" s="9">
        <v>9</v>
      </c>
      <c r="G1528" s="9">
        <v>89</v>
      </c>
      <c r="H1528" s="5" t="s">
        <v>21</v>
      </c>
      <c r="I1528" s="5" t="s">
        <v>3937</v>
      </c>
      <c r="J1528" s="12" t="str">
        <f>HYPERLINK("https://www.boe.es/gazeta/dias/1802/01/29/pdfs/GMD-1802-9.pdf#page=9","Abrir facsímil")</f>
        <v>Abrir facsímil</v>
      </c>
      <c r="K1528" s="15" t="s">
        <v>23</v>
      </c>
    </row>
    <row r="1529" spans="1:11" ht="42" customHeight="1">
      <c r="A1529" s="4" t="s">
        <v>3938</v>
      </c>
      <c r="B1529" s="5" t="s">
        <v>3939</v>
      </c>
      <c r="C1529" s="5" t="s">
        <v>29</v>
      </c>
      <c r="D1529" s="5" t="s">
        <v>30</v>
      </c>
      <c r="E1529" s="5" t="s">
        <v>670</v>
      </c>
      <c r="F1529" s="9">
        <v>40</v>
      </c>
      <c r="G1529" s="9">
        <v>481</v>
      </c>
      <c r="H1529" s="5" t="s">
        <v>21</v>
      </c>
      <c r="I1529" s="5" t="s">
        <v>3940</v>
      </c>
      <c r="J1529" s="12" t="str">
        <f>HYPERLINK("https://www.boe.es/gazeta/dias/1802/05/18/pdfs/GMD-1802-40.pdf#page=9","Abrir facsímil")</f>
        <v>Abrir facsímil</v>
      </c>
      <c r="K1529" s="15" t="s">
        <v>23</v>
      </c>
    </row>
    <row r="1530" spans="1:11" ht="42" customHeight="1">
      <c r="A1530" s="4" t="s">
        <v>3941</v>
      </c>
      <c r="B1530" s="5" t="s">
        <v>3942</v>
      </c>
      <c r="C1530" s="5" t="s">
        <v>29</v>
      </c>
      <c r="D1530" s="5" t="s">
        <v>30</v>
      </c>
      <c r="E1530" s="5" t="s">
        <v>678</v>
      </c>
      <c r="F1530" s="9">
        <v>15</v>
      </c>
      <c r="G1530" s="9">
        <v>158</v>
      </c>
      <c r="H1530" s="5" t="s">
        <v>21</v>
      </c>
      <c r="I1530" s="5" t="s">
        <v>3943</v>
      </c>
      <c r="J1530" s="12" t="str">
        <f>HYPERLINK("https://www.boe.es/gazeta/dias/1802/02/19/pdfs/GMD-1802-15.pdf#page=10","Abrir facsímil")</f>
        <v>Abrir facsímil</v>
      </c>
      <c r="K1530" s="15" t="s">
        <v>23</v>
      </c>
    </row>
    <row r="1531" spans="1:11" ht="42" customHeight="1">
      <c r="A1531" s="4" t="s">
        <v>3944</v>
      </c>
      <c r="B1531" s="5" t="s">
        <v>3945</v>
      </c>
      <c r="C1531" s="5" t="s">
        <v>29</v>
      </c>
      <c r="D1531" s="5" t="s">
        <v>30</v>
      </c>
      <c r="E1531" s="5" t="s">
        <v>381</v>
      </c>
      <c r="F1531" s="9">
        <v>13</v>
      </c>
      <c r="G1531" s="9">
        <v>131</v>
      </c>
      <c r="H1531" s="5" t="s">
        <v>21</v>
      </c>
      <c r="I1531" s="5" t="s">
        <v>3946</v>
      </c>
      <c r="J1531" s="12" t="str">
        <f>HYPERLINK("https://www.boe.es/gazeta/dias/1802/02/12/pdfs/GMD-1802-13.pdf#page=7","Abrir facsímil")</f>
        <v>Abrir facsímil</v>
      </c>
      <c r="K1531" s="15" t="s">
        <v>23</v>
      </c>
    </row>
    <row r="1532" spans="1:11" ht="42" customHeight="1">
      <c r="A1532" s="4" t="s">
        <v>3947</v>
      </c>
      <c r="B1532" s="5" t="s">
        <v>3948</v>
      </c>
      <c r="C1532" s="5" t="s">
        <v>35</v>
      </c>
      <c r="D1532" s="5" t="s">
        <v>36</v>
      </c>
      <c r="E1532" s="5" t="s">
        <v>385</v>
      </c>
      <c r="F1532" s="9">
        <v>70</v>
      </c>
      <c r="G1532" s="9">
        <v>862</v>
      </c>
      <c r="H1532" s="5" t="s">
        <v>21</v>
      </c>
      <c r="I1532" s="5" t="s">
        <v>3949</v>
      </c>
      <c r="J1532" s="12" t="str">
        <f>HYPERLINK("https://www.boe.es/gazeta/dias/1802/08/27/pdfs/GMD-1802-70.pdf#page=10","Abrir facsímil")</f>
        <v>Abrir facsímil</v>
      </c>
      <c r="K1532" s="15" t="s">
        <v>23</v>
      </c>
    </row>
    <row r="1533" spans="1:11" ht="42" customHeight="1">
      <c r="A1533" s="4" t="s">
        <v>3950</v>
      </c>
      <c r="B1533" s="5" t="s">
        <v>3951</v>
      </c>
      <c r="C1533" s="5" t="s">
        <v>29</v>
      </c>
      <c r="D1533" s="5" t="s">
        <v>30</v>
      </c>
      <c r="E1533" s="5" t="s">
        <v>82</v>
      </c>
      <c r="F1533" s="9">
        <v>74</v>
      </c>
      <c r="G1533" s="9">
        <v>915</v>
      </c>
      <c r="H1533" s="5" t="s">
        <v>21</v>
      </c>
      <c r="I1533" s="5" t="s">
        <v>3952</v>
      </c>
      <c r="J1533" s="12" t="str">
        <f>HYPERLINK("https://www.boe.es/gazeta/dias/1802/09/10/pdfs/GMD-1802-74.pdf#page=11","Abrir facsímil")</f>
        <v>Abrir facsímil</v>
      </c>
      <c r="K1533" s="15" t="s">
        <v>23</v>
      </c>
    </row>
    <row r="1534" spans="1:11" ht="42" customHeight="1">
      <c r="A1534" s="4" t="s">
        <v>3953</v>
      </c>
      <c r="B1534" s="5" t="s">
        <v>3954</v>
      </c>
      <c r="C1534" s="5" t="s">
        <v>90</v>
      </c>
      <c r="D1534" s="5" t="s">
        <v>91</v>
      </c>
      <c r="E1534" s="5" t="s">
        <v>1097</v>
      </c>
      <c r="F1534" s="9">
        <v>20</v>
      </c>
      <c r="G1534" s="9">
        <v>222</v>
      </c>
      <c r="H1534" s="5" t="s">
        <v>21</v>
      </c>
      <c r="I1534" s="5" t="s">
        <v>3955</v>
      </c>
      <c r="J1534" s="12" t="str">
        <f>HYPERLINK("https://www.boe.es/gazeta/dias/1802/03/09/pdfs/GMD-1802-20.pdf#page=10","Abrir facsímil")</f>
        <v>Abrir facsímil</v>
      </c>
      <c r="K1534" s="15" t="s">
        <v>23</v>
      </c>
    </row>
    <row r="1535" spans="1:11" ht="42" customHeight="1">
      <c r="A1535" s="4" t="s">
        <v>3953</v>
      </c>
      <c r="B1535" s="5" t="s">
        <v>3954</v>
      </c>
      <c r="C1535" s="5" t="s">
        <v>29</v>
      </c>
      <c r="D1535" s="5" t="s">
        <v>30</v>
      </c>
      <c r="E1535" s="5" t="s">
        <v>152</v>
      </c>
      <c r="F1535" s="9">
        <v>25</v>
      </c>
      <c r="G1535" s="9">
        <v>286</v>
      </c>
      <c r="H1535" s="5" t="s">
        <v>21</v>
      </c>
      <c r="I1535" s="5" t="s">
        <v>3956</v>
      </c>
      <c r="J1535" s="12" t="str">
        <f>HYPERLINK("https://www.boe.es/gazeta/dias/1802/03/26/pdfs/GMD-1802-25.pdf#page=10","Abrir facsímil")</f>
        <v>Abrir facsímil</v>
      </c>
      <c r="K1535" s="15" t="s">
        <v>23</v>
      </c>
    </row>
    <row r="1536" spans="1:11" ht="42" customHeight="1">
      <c r="A1536" s="4" t="s">
        <v>3957</v>
      </c>
      <c r="B1536" s="5" t="s">
        <v>3958</v>
      </c>
      <c r="C1536" s="5" t="s">
        <v>90</v>
      </c>
      <c r="D1536" s="5" t="s">
        <v>91</v>
      </c>
      <c r="E1536" s="5" t="s">
        <v>99</v>
      </c>
      <c r="F1536" s="9">
        <v>86</v>
      </c>
      <c r="G1536" s="9">
        <v>1071</v>
      </c>
      <c r="H1536" s="5" t="s">
        <v>21</v>
      </c>
      <c r="I1536" s="5" t="s">
        <v>3959</v>
      </c>
      <c r="J1536" s="12" t="str">
        <f>HYPERLINK("https://www.boe.es/gazeta/dias/1802/10/22/pdfs/GMD-1802-86.pdf#page=11","Abrir facsímil")</f>
        <v>Abrir facsímil</v>
      </c>
      <c r="K1536" s="15" t="s">
        <v>23</v>
      </c>
    </row>
    <row r="1537" spans="1:11" ht="42" customHeight="1">
      <c r="A1537" s="4" t="s">
        <v>3960</v>
      </c>
      <c r="B1537" s="5" t="s">
        <v>3961</v>
      </c>
      <c r="C1537" s="5" t="s">
        <v>18</v>
      </c>
      <c r="D1537" s="5" t="s">
        <v>19</v>
      </c>
      <c r="E1537" s="5" t="s">
        <v>31</v>
      </c>
      <c r="F1537" s="9">
        <v>27</v>
      </c>
      <c r="G1537" s="9">
        <v>318</v>
      </c>
      <c r="H1537" s="5" t="s">
        <v>21</v>
      </c>
      <c r="I1537" s="5" t="s">
        <v>3962</v>
      </c>
      <c r="J1537" s="12" t="str">
        <f>HYPERLINK("https://www.boe.es/gazeta/dias/1802/04/02/pdfs/GMD-1802-27.pdf#page=14","Abrir facsímil")</f>
        <v>Abrir facsímil</v>
      </c>
      <c r="K1537" s="15" t="s">
        <v>23</v>
      </c>
    </row>
    <row r="1538" spans="1:11" ht="42" customHeight="1">
      <c r="A1538" s="4" t="s">
        <v>3963</v>
      </c>
      <c r="B1538" s="5" t="s">
        <v>3964</v>
      </c>
      <c r="C1538" s="5" t="s">
        <v>160</v>
      </c>
      <c r="D1538" s="5" t="s">
        <v>91</v>
      </c>
      <c r="E1538" s="5" t="s">
        <v>655</v>
      </c>
      <c r="F1538" s="9">
        <v>46</v>
      </c>
      <c r="G1538" s="9">
        <v>561</v>
      </c>
      <c r="H1538" s="5" t="s">
        <v>21</v>
      </c>
      <c r="I1538" s="5" t="s">
        <v>3965</v>
      </c>
      <c r="J1538" s="12" t="str">
        <f>HYPERLINK("https://www.boe.es/gazeta/dias/1802/06/08/pdfs/GMD-1802-46.pdf#page=13","Abrir facsímil")</f>
        <v>Abrir facsímil</v>
      </c>
      <c r="K1538" s="15" t="s">
        <v>23</v>
      </c>
    </row>
    <row r="1539" spans="1:11" ht="42" customHeight="1">
      <c r="A1539" s="4" t="s">
        <v>3966</v>
      </c>
      <c r="B1539" s="5" t="s">
        <v>3967</v>
      </c>
      <c r="C1539" s="5" t="s">
        <v>18</v>
      </c>
      <c r="D1539" s="5" t="s">
        <v>19</v>
      </c>
      <c r="E1539" s="5" t="s">
        <v>754</v>
      </c>
      <c r="F1539" s="9">
        <v>101</v>
      </c>
      <c r="G1539" s="9">
        <v>1243</v>
      </c>
      <c r="H1539" s="5" t="s">
        <v>21</v>
      </c>
      <c r="I1539" s="5" t="s">
        <v>3968</v>
      </c>
      <c r="J1539" s="12" t="str">
        <f>HYPERLINK("https://www.boe.es/gazeta/dias/1802/12/14/pdfs/GMD-1802-101.pdf#page=7","Abrir facsímil")</f>
        <v>Abrir facsímil</v>
      </c>
      <c r="K1539" s="15" t="s">
        <v>23</v>
      </c>
    </row>
    <row r="1540" spans="1:11" ht="42" customHeight="1">
      <c r="A1540" s="4" t="s">
        <v>3969</v>
      </c>
      <c r="B1540" s="5" t="s">
        <v>3970</v>
      </c>
      <c r="C1540" s="5" t="s">
        <v>29</v>
      </c>
      <c r="D1540" s="5" t="s">
        <v>30</v>
      </c>
      <c r="E1540" s="5" t="s">
        <v>1381</v>
      </c>
      <c r="F1540" s="9">
        <v>17</v>
      </c>
      <c r="G1540" s="9">
        <v>185</v>
      </c>
      <c r="H1540" s="5" t="s">
        <v>21</v>
      </c>
      <c r="I1540" s="5" t="s">
        <v>3971</v>
      </c>
      <c r="J1540" s="12" t="str">
        <f>HYPERLINK("https://www.boe.es/gazeta/dias/1802/02/26/pdfs/GMD-1802-17.pdf#page=9","Abrir facsímil")</f>
        <v>Abrir facsímil</v>
      </c>
      <c r="K1540" s="15" t="s">
        <v>23</v>
      </c>
    </row>
    <row r="1541" spans="1:11" ht="42" customHeight="1">
      <c r="A1541" s="4" t="s">
        <v>3972</v>
      </c>
      <c r="B1541" s="5" t="s">
        <v>3973</v>
      </c>
      <c r="C1541" s="5" t="s">
        <v>18</v>
      </c>
      <c r="D1541" s="5" t="s">
        <v>19</v>
      </c>
      <c r="E1541" s="5" t="s">
        <v>20</v>
      </c>
      <c r="F1541" s="9">
        <v>84</v>
      </c>
      <c r="G1541" s="9">
        <v>1042</v>
      </c>
      <c r="H1541" s="5" t="s">
        <v>21</v>
      </c>
      <c r="I1541" s="5" t="s">
        <v>3974</v>
      </c>
      <c r="J1541" s="12" t="str">
        <f>HYPERLINK("https://www.boe.es/gazeta/dias/1802/10/15/pdfs/GMD-1802-84.pdf#page=10","Abrir facsímil")</f>
        <v>Abrir facsímil</v>
      </c>
      <c r="K1541" s="15" t="s">
        <v>23</v>
      </c>
    </row>
    <row r="1542" spans="1:11" ht="42" customHeight="1">
      <c r="A1542" s="4" t="s">
        <v>3975</v>
      </c>
      <c r="B1542" s="5" t="s">
        <v>3976</v>
      </c>
      <c r="C1542" s="5" t="s">
        <v>18</v>
      </c>
      <c r="D1542" s="5" t="s">
        <v>19</v>
      </c>
      <c r="E1542" s="5" t="s">
        <v>655</v>
      </c>
      <c r="F1542" s="9">
        <v>46</v>
      </c>
      <c r="G1542" s="9">
        <v>562</v>
      </c>
      <c r="H1542" s="5" t="s">
        <v>21</v>
      </c>
      <c r="I1542" s="5" t="s">
        <v>3977</v>
      </c>
      <c r="J1542" s="12" t="str">
        <f>HYPERLINK("https://www.boe.es/gazeta/dias/1802/06/08/pdfs/GMD-1802-46.pdf#page=14","Abrir facsímil")</f>
        <v>Abrir facsímil</v>
      </c>
      <c r="K1542" s="15" t="s">
        <v>23</v>
      </c>
    </row>
    <row r="1543" spans="1:11" ht="42" customHeight="1">
      <c r="A1543" s="4" t="s">
        <v>3978</v>
      </c>
      <c r="B1543" s="5" t="s">
        <v>3979</v>
      </c>
      <c r="C1543" s="5" t="s">
        <v>55</v>
      </c>
      <c r="D1543" s="5" t="s">
        <v>56</v>
      </c>
      <c r="E1543" s="5" t="s">
        <v>751</v>
      </c>
      <c r="F1543" s="9">
        <v>98</v>
      </c>
      <c r="G1543" s="9">
        <v>1216</v>
      </c>
      <c r="H1543" s="5" t="s">
        <v>21</v>
      </c>
      <c r="I1543" s="5" t="s">
        <v>3980</v>
      </c>
      <c r="J1543" s="12" t="str">
        <f>HYPERLINK("https://www.boe.es/gazeta/dias/1802/12/03/pdfs/GMD-1802-98.pdf#page=12","Abrir facsímil")</f>
        <v>Abrir facsímil</v>
      </c>
      <c r="K1543" s="15" t="s">
        <v>23</v>
      </c>
    </row>
    <row r="1544" spans="1:11" ht="42" customHeight="1">
      <c r="A1544" s="4" t="s">
        <v>3981</v>
      </c>
      <c r="B1544" s="5" t="s">
        <v>3982</v>
      </c>
      <c r="C1544" s="5" t="s">
        <v>18</v>
      </c>
      <c r="D1544" s="5" t="s">
        <v>19</v>
      </c>
      <c r="E1544" s="5" t="s">
        <v>20</v>
      </c>
      <c r="F1544" s="9">
        <v>84</v>
      </c>
      <c r="G1544" s="9">
        <v>1046</v>
      </c>
      <c r="H1544" s="5" t="s">
        <v>21</v>
      </c>
      <c r="I1544" s="5" t="s">
        <v>3983</v>
      </c>
      <c r="J1544" s="12" t="str">
        <f>HYPERLINK("https://www.boe.es/gazeta/dias/1802/10/15/pdfs/GMD-1802-84.pdf#page=14","Abrir facsímil")</f>
        <v>Abrir facsímil</v>
      </c>
      <c r="K1544" s="15" t="s">
        <v>23</v>
      </c>
    </row>
    <row r="1545" spans="1:11" ht="42" customHeight="1">
      <c r="A1545" s="4" t="s">
        <v>3984</v>
      </c>
      <c r="B1545" s="5" t="s">
        <v>3985</v>
      </c>
      <c r="C1545" s="5" t="s">
        <v>18</v>
      </c>
      <c r="D1545" s="5" t="s">
        <v>19</v>
      </c>
      <c r="E1545" s="5" t="s">
        <v>517</v>
      </c>
      <c r="F1545" s="9">
        <v>61</v>
      </c>
      <c r="G1545" s="9">
        <v>739</v>
      </c>
      <c r="H1545" s="5" t="s">
        <v>21</v>
      </c>
      <c r="I1545" s="5" t="s">
        <v>3986</v>
      </c>
      <c r="J1545" s="12" t="str">
        <f>HYPERLINK("https://www.boe.es/gazeta/dias/1802/07/27/pdfs/GMD-1802-61.pdf#page=7","Abrir facsímil")</f>
        <v>Abrir facsímil</v>
      </c>
      <c r="K1545" s="15" t="s">
        <v>23</v>
      </c>
    </row>
    <row r="1546" spans="1:11" ht="42" customHeight="1">
      <c r="A1546" s="4" t="s">
        <v>3987</v>
      </c>
      <c r="B1546" s="5" t="s">
        <v>3988</v>
      </c>
      <c r="C1546" s="5" t="s">
        <v>90</v>
      </c>
      <c r="D1546" s="5" t="s">
        <v>91</v>
      </c>
      <c r="E1546" s="5" t="s">
        <v>206</v>
      </c>
      <c r="F1546" s="9">
        <v>22</v>
      </c>
      <c r="G1546" s="9">
        <v>243</v>
      </c>
      <c r="H1546" s="5" t="s">
        <v>21</v>
      </c>
      <c r="I1546" s="5" t="s">
        <v>3989</v>
      </c>
      <c r="J1546" s="12" t="str">
        <f>HYPERLINK("https://www.boe.es/gazeta/dias/1802/03/16/pdfs/GMD-1802-22.pdf#page=11","Abrir facsímil")</f>
        <v>Abrir facsímil</v>
      </c>
      <c r="K1546" s="15" t="s">
        <v>23</v>
      </c>
    </row>
    <row r="1547" spans="1:11" ht="42" customHeight="1">
      <c r="A1547" s="4" t="s">
        <v>3990</v>
      </c>
      <c r="B1547" s="5" t="s">
        <v>3991</v>
      </c>
      <c r="C1547" s="5" t="s">
        <v>29</v>
      </c>
      <c r="D1547" s="5" t="s">
        <v>30</v>
      </c>
      <c r="E1547" s="5" t="s">
        <v>133</v>
      </c>
      <c r="F1547" s="9">
        <v>33</v>
      </c>
      <c r="G1547" s="9">
        <v>382</v>
      </c>
      <c r="H1547" s="5" t="s">
        <v>21</v>
      </c>
      <c r="I1547" s="5" t="s">
        <v>3992</v>
      </c>
      <c r="J1547" s="12" t="str">
        <f>HYPERLINK("https://www.boe.es/gazeta/dias/1802/04/23/pdfs/GMD-1802-33.pdf#page=2","Abrir facsímil")</f>
        <v>Abrir facsímil</v>
      </c>
      <c r="K1547" s="15" t="s">
        <v>23</v>
      </c>
    </row>
    <row r="1548" spans="1:11" ht="42" customHeight="1">
      <c r="A1548" s="4" t="s">
        <v>3990</v>
      </c>
      <c r="B1548" s="5" t="s">
        <v>3991</v>
      </c>
      <c r="C1548" s="5" t="s">
        <v>29</v>
      </c>
      <c r="D1548" s="5" t="s">
        <v>30</v>
      </c>
      <c r="E1548" s="5" t="s">
        <v>481</v>
      </c>
      <c r="F1548" s="9">
        <v>79</v>
      </c>
      <c r="G1548" s="9">
        <v>968</v>
      </c>
      <c r="H1548" s="5" t="s">
        <v>21</v>
      </c>
      <c r="I1548" s="5" t="s">
        <v>3993</v>
      </c>
      <c r="J1548" s="12" t="str">
        <f>HYPERLINK("https://www.boe.es/gazeta/dias/1802/09/28/pdfs/GMD-1802-79.pdf#page=4","Abrir facsímil")</f>
        <v>Abrir facsímil</v>
      </c>
      <c r="K1548" s="15" t="s">
        <v>23</v>
      </c>
    </row>
    <row r="1549" spans="1:11" ht="42" customHeight="1">
      <c r="A1549" s="4" t="s">
        <v>3994</v>
      </c>
      <c r="B1549" s="5" t="s">
        <v>3995</v>
      </c>
      <c r="C1549" s="5" t="s">
        <v>90</v>
      </c>
      <c r="D1549" s="5" t="s">
        <v>91</v>
      </c>
      <c r="E1549" s="5" t="s">
        <v>436</v>
      </c>
      <c r="F1549" s="9">
        <v>58</v>
      </c>
      <c r="G1549" s="9">
        <v>702</v>
      </c>
      <c r="H1549" s="5" t="s">
        <v>21</v>
      </c>
      <c r="I1549" s="5" t="s">
        <v>3996</v>
      </c>
      <c r="J1549" s="12" t="str">
        <f>HYPERLINK("https://www.boe.es/gazeta/dias/1802/07/20/pdfs/GMD-1802-58.pdf#page=10","Abrir facsímil")</f>
        <v>Abrir facsímil</v>
      </c>
      <c r="K1549" s="15" t="s">
        <v>23</v>
      </c>
    </row>
    <row r="1550" spans="1:11" ht="42" customHeight="1">
      <c r="A1550" s="4" t="s">
        <v>3997</v>
      </c>
      <c r="B1550" s="5" t="s">
        <v>3998</v>
      </c>
      <c r="C1550" s="5" t="s">
        <v>90</v>
      </c>
      <c r="D1550" s="5" t="s">
        <v>91</v>
      </c>
      <c r="E1550" s="5" t="s">
        <v>1264</v>
      </c>
      <c r="F1550" s="9">
        <v>105</v>
      </c>
      <c r="G1550" s="9">
        <v>1286</v>
      </c>
      <c r="H1550" s="5" t="s">
        <v>21</v>
      </c>
      <c r="I1550" s="5" t="s">
        <v>3999</v>
      </c>
      <c r="J1550" s="12" t="str">
        <f>HYPERLINK("https://www.boe.es/gazeta/dias/1802/12/28/pdfs/GMD-1802-105.pdf#page=10","Abrir facsímil")</f>
        <v>Abrir facsímil</v>
      </c>
      <c r="K1550" s="15" t="s">
        <v>23</v>
      </c>
    </row>
    <row r="1551" spans="1:11" ht="42" customHeight="1">
      <c r="A1551" s="4" t="s">
        <v>4000</v>
      </c>
      <c r="B1551" s="5" t="s">
        <v>4001</v>
      </c>
      <c r="C1551" s="5" t="s">
        <v>29</v>
      </c>
      <c r="D1551" s="5" t="s">
        <v>30</v>
      </c>
      <c r="E1551" s="5" t="s">
        <v>181</v>
      </c>
      <c r="F1551" s="9">
        <v>55</v>
      </c>
      <c r="G1551" s="9">
        <v>668</v>
      </c>
      <c r="H1551" s="5" t="s">
        <v>21</v>
      </c>
      <c r="I1551" s="5" t="s">
        <v>4002</v>
      </c>
      <c r="J1551" s="12" t="str">
        <f>HYPERLINK("https://www.boe.es/gazeta/dias/1802/07/09/pdfs/GMD-1802-55.pdf#page=12","Abrir facsímil")</f>
        <v>Abrir facsímil</v>
      </c>
      <c r="K1551" s="15" t="s">
        <v>23</v>
      </c>
    </row>
    <row r="1552" spans="1:11" ht="42" customHeight="1">
      <c r="A1552" s="4" t="s">
        <v>4003</v>
      </c>
      <c r="B1552" s="5" t="s">
        <v>4004</v>
      </c>
      <c r="C1552" s="5" t="s">
        <v>29</v>
      </c>
      <c r="D1552" s="5" t="s">
        <v>30</v>
      </c>
      <c r="E1552" s="5" t="s">
        <v>670</v>
      </c>
      <c r="F1552" s="9">
        <v>40</v>
      </c>
      <c r="G1552" s="9">
        <v>481</v>
      </c>
      <c r="H1552" s="5" t="s">
        <v>21</v>
      </c>
      <c r="I1552" s="5" t="s">
        <v>4005</v>
      </c>
      <c r="J1552" s="12" t="str">
        <f>HYPERLINK("https://www.boe.es/gazeta/dias/1802/05/18/pdfs/GMD-1802-40.pdf#page=9","Abrir facsímil")</f>
        <v>Abrir facsímil</v>
      </c>
      <c r="K1552" s="15" t="s">
        <v>23</v>
      </c>
    </row>
    <row r="1553" spans="1:11" ht="42" customHeight="1">
      <c r="A1553" s="4" t="s">
        <v>4006</v>
      </c>
      <c r="B1553" s="5" t="s">
        <v>4007</v>
      </c>
      <c r="C1553" s="5" t="s">
        <v>42</v>
      </c>
      <c r="D1553" s="5" t="s">
        <v>43</v>
      </c>
      <c r="E1553" s="5" t="s">
        <v>44</v>
      </c>
      <c r="F1553" s="9">
        <v>99</v>
      </c>
      <c r="G1553" s="9" t="s">
        <v>548</v>
      </c>
      <c r="H1553" s="5" t="s">
        <v>21</v>
      </c>
      <c r="I1553" s="5" t="s">
        <v>4008</v>
      </c>
      <c r="J1553" s="12" t="str">
        <f>HYPERLINK("https://www.boe.es/gazeta/dias/1802/12/07/pdfs/GMD-D-1802-99.pdf#page=12","Abrir facsímil")</f>
        <v>Abrir facsímil</v>
      </c>
      <c r="K1553" s="15" t="s">
        <v>23</v>
      </c>
    </row>
    <row r="1554" spans="1:11" ht="42" customHeight="1">
      <c r="A1554" s="4" t="s">
        <v>4009</v>
      </c>
      <c r="B1554" s="5" t="s">
        <v>4010</v>
      </c>
      <c r="C1554" s="5" t="s">
        <v>29</v>
      </c>
      <c r="D1554" s="5" t="s">
        <v>30</v>
      </c>
      <c r="E1554" s="5" t="s">
        <v>678</v>
      </c>
      <c r="F1554" s="9">
        <v>15</v>
      </c>
      <c r="G1554" s="9">
        <v>157</v>
      </c>
      <c r="H1554" s="5" t="s">
        <v>21</v>
      </c>
      <c r="I1554" s="5" t="s">
        <v>4011</v>
      </c>
      <c r="J1554" s="12" t="str">
        <f>HYPERLINK("https://www.boe.es/gazeta/dias/1802/02/19/pdfs/GMD-1802-15.pdf#page=9","Abrir facsímil")</f>
        <v>Abrir facsímil</v>
      </c>
      <c r="K1554" s="15" t="s">
        <v>23</v>
      </c>
    </row>
    <row r="1555" spans="1:11" ht="42" customHeight="1">
      <c r="A1555" s="4" t="s">
        <v>4012</v>
      </c>
      <c r="B1555" s="5" t="s">
        <v>4013</v>
      </c>
      <c r="C1555" s="5" t="s">
        <v>55</v>
      </c>
      <c r="D1555" s="5" t="s">
        <v>56</v>
      </c>
      <c r="E1555" s="5" t="s">
        <v>826</v>
      </c>
      <c r="F1555" s="9">
        <v>67</v>
      </c>
      <c r="G1555" s="9">
        <v>824</v>
      </c>
      <c r="H1555" s="5" t="s">
        <v>21</v>
      </c>
      <c r="I1555" s="5" t="s">
        <v>4014</v>
      </c>
      <c r="J1555" s="12" t="str">
        <f>HYPERLINK("https://www.boe.es/gazeta/dias/1802/08/17/pdfs/GMD-1802-67.pdf#page=12","Abrir facsímil")</f>
        <v>Abrir facsímil</v>
      </c>
      <c r="K1555" s="15" t="s">
        <v>23</v>
      </c>
    </row>
    <row r="1556" spans="1:11" ht="42" customHeight="1">
      <c r="A1556" s="4" t="s">
        <v>4012</v>
      </c>
      <c r="B1556" s="5" t="s">
        <v>4013</v>
      </c>
      <c r="C1556" s="5" t="s">
        <v>18</v>
      </c>
      <c r="D1556" s="5" t="s">
        <v>19</v>
      </c>
      <c r="E1556" s="5" t="s">
        <v>714</v>
      </c>
      <c r="F1556" s="9">
        <v>89</v>
      </c>
      <c r="G1556" s="9">
        <v>1104</v>
      </c>
      <c r="H1556" s="5" t="s">
        <v>21</v>
      </c>
      <c r="I1556" s="5" t="s">
        <v>4015</v>
      </c>
      <c r="J1556" s="12" t="str">
        <f>HYPERLINK("https://www.boe.es/gazeta/dias/1802/11/02/pdfs/GMD-1802-89.pdf#page=8","Abrir facsímil")</f>
        <v>Abrir facsímil</v>
      </c>
      <c r="K1556" s="15" t="s">
        <v>23</v>
      </c>
    </row>
    <row r="1557" spans="1:11" ht="42" customHeight="1">
      <c r="A1557" s="4" t="s">
        <v>4016</v>
      </c>
      <c r="B1557" s="5" t="s">
        <v>4017</v>
      </c>
      <c r="C1557" s="5" t="s">
        <v>35</v>
      </c>
      <c r="D1557" s="5" t="s">
        <v>36</v>
      </c>
      <c r="E1557" s="5" t="s">
        <v>109</v>
      </c>
      <c r="F1557" s="9">
        <v>10</v>
      </c>
      <c r="G1557" s="9">
        <v>97</v>
      </c>
      <c r="H1557" s="5" t="s">
        <v>21</v>
      </c>
      <c r="I1557" s="5" t="s">
        <v>4018</v>
      </c>
      <c r="J1557" s="12" t="str">
        <f>HYPERLINK("https://www.boe.es/gazeta/dias/1802/02/02/pdfs/GMD-1802-10.pdf#page=5","Abrir facsímil")</f>
        <v>Abrir facsímil</v>
      </c>
      <c r="K1557" s="15" t="s">
        <v>23</v>
      </c>
    </row>
    <row r="1558" spans="1:11" ht="42" customHeight="1">
      <c r="A1558" s="4" t="s">
        <v>4016</v>
      </c>
      <c r="B1558" s="5" t="s">
        <v>4017</v>
      </c>
      <c r="C1558" s="5" t="s">
        <v>35</v>
      </c>
      <c r="D1558" s="5" t="s">
        <v>36</v>
      </c>
      <c r="E1558" s="5" t="s">
        <v>142</v>
      </c>
      <c r="F1558" s="9">
        <v>64</v>
      </c>
      <c r="G1558" s="9">
        <v>779</v>
      </c>
      <c r="H1558" s="5" t="s">
        <v>21</v>
      </c>
      <c r="I1558" s="5" t="s">
        <v>4019</v>
      </c>
      <c r="J1558" s="12" t="str">
        <f>HYPERLINK("https://www.boe.es/gazeta/dias/1802/08/06/pdfs/GMD-1802-64.pdf#page=7","Abrir facsímil")</f>
        <v>Abrir facsímil</v>
      </c>
      <c r="K1558" s="15" t="s">
        <v>23</v>
      </c>
    </row>
    <row r="1559" spans="1:11" ht="42" customHeight="1">
      <c r="A1559" s="4" t="s">
        <v>4016</v>
      </c>
      <c r="B1559" s="5" t="s">
        <v>4017</v>
      </c>
      <c r="C1559" s="5" t="s">
        <v>18</v>
      </c>
      <c r="D1559" s="5" t="s">
        <v>19</v>
      </c>
      <c r="E1559" s="5" t="s">
        <v>714</v>
      </c>
      <c r="F1559" s="9">
        <v>89</v>
      </c>
      <c r="G1559" s="9">
        <v>1104</v>
      </c>
      <c r="H1559" s="5" t="s">
        <v>21</v>
      </c>
      <c r="I1559" s="5" t="s">
        <v>4020</v>
      </c>
      <c r="J1559" s="12" t="str">
        <f>HYPERLINK("https://www.boe.es/gazeta/dias/1802/11/02/pdfs/GMD-1802-89.pdf#page=8","Abrir facsímil")</f>
        <v>Abrir facsímil</v>
      </c>
      <c r="K1559" s="15" t="s">
        <v>23</v>
      </c>
    </row>
    <row r="1560" spans="1:11" ht="42" customHeight="1">
      <c r="A1560" s="4" t="s">
        <v>4021</v>
      </c>
      <c r="B1560" s="5" t="s">
        <v>4022</v>
      </c>
      <c r="C1560" s="5" t="s">
        <v>35</v>
      </c>
      <c r="D1560" s="5" t="s">
        <v>36</v>
      </c>
      <c r="E1560" s="5" t="s">
        <v>745</v>
      </c>
      <c r="F1560" s="9">
        <v>92</v>
      </c>
      <c r="G1560" s="9">
        <v>1134</v>
      </c>
      <c r="H1560" s="5" t="s">
        <v>21</v>
      </c>
      <c r="I1560" s="5" t="s">
        <v>4023</v>
      </c>
      <c r="J1560" s="12" t="str">
        <f>HYPERLINK("https://www.boe.es/gazeta/dias/1802/11/12/pdfs/GMD-1802-92.pdf#page=2","Abrir facsímil")</f>
        <v>Abrir facsímil</v>
      </c>
      <c r="K1560" s="15" t="s">
        <v>23</v>
      </c>
    </row>
    <row r="1561" spans="1:11" ht="42" customHeight="1">
      <c r="A1561" s="4" t="s">
        <v>4024</v>
      </c>
      <c r="B1561" s="5" t="s">
        <v>4025</v>
      </c>
      <c r="C1561" s="5" t="s">
        <v>90</v>
      </c>
      <c r="D1561" s="5" t="s">
        <v>91</v>
      </c>
      <c r="E1561" s="5" t="s">
        <v>517</v>
      </c>
      <c r="F1561" s="9">
        <v>61</v>
      </c>
      <c r="G1561" s="9">
        <v>735</v>
      </c>
      <c r="H1561" s="5" t="s">
        <v>21</v>
      </c>
      <c r="I1561" s="5" t="s">
        <v>4026</v>
      </c>
      <c r="J1561" s="12" t="str">
        <f>HYPERLINK("https://www.boe.es/gazeta/dias/1802/07/27/pdfs/GMD-1802-61.pdf#page=3","Abrir facsímil")</f>
        <v>Abrir facsímil</v>
      </c>
      <c r="K1561" s="15" t="s">
        <v>23</v>
      </c>
    </row>
    <row r="1562" spans="1:11" ht="42" customHeight="1">
      <c r="A1562" s="4" t="s">
        <v>4027</v>
      </c>
      <c r="B1562" s="5" t="s">
        <v>4028</v>
      </c>
      <c r="C1562" s="5" t="s">
        <v>29</v>
      </c>
      <c r="D1562" s="5" t="s">
        <v>30</v>
      </c>
      <c r="E1562" s="5" t="s">
        <v>381</v>
      </c>
      <c r="F1562" s="9">
        <v>13</v>
      </c>
      <c r="G1562" s="9">
        <v>130</v>
      </c>
      <c r="H1562" s="5" t="s">
        <v>21</v>
      </c>
      <c r="I1562" s="5" t="s">
        <v>4029</v>
      </c>
      <c r="J1562" s="12" t="str">
        <f>HYPERLINK("https://www.boe.es/gazeta/dias/1802/02/12/pdfs/GMD-1802-13.pdf#page=6","Abrir facsímil")</f>
        <v>Abrir facsímil</v>
      </c>
      <c r="K1562" s="15" t="s">
        <v>23</v>
      </c>
    </row>
    <row r="1563" spans="1:11" ht="42" customHeight="1">
      <c r="A1563" s="4" t="s">
        <v>4030</v>
      </c>
      <c r="B1563" s="5" t="s">
        <v>4031</v>
      </c>
      <c r="C1563" s="5" t="s">
        <v>35</v>
      </c>
      <c r="D1563" s="5" t="s">
        <v>36</v>
      </c>
      <c r="E1563" s="5" t="s">
        <v>381</v>
      </c>
      <c r="F1563" s="9">
        <v>13</v>
      </c>
      <c r="G1563" s="9">
        <v>126</v>
      </c>
      <c r="H1563" s="5" t="s">
        <v>21</v>
      </c>
      <c r="I1563" s="5" t="s">
        <v>4032</v>
      </c>
      <c r="J1563" s="12" t="str">
        <f>HYPERLINK("https://www.boe.es/gazeta/dias/1802/02/12/pdfs/GMD-1802-13.pdf#page=2","Abrir facsímil")</f>
        <v>Abrir facsímil</v>
      </c>
      <c r="K1563" s="15" t="s">
        <v>23</v>
      </c>
    </row>
    <row r="1564" spans="1:11" ht="42" customHeight="1">
      <c r="A1564" s="4" t="s">
        <v>4033</v>
      </c>
      <c r="B1564" s="5" t="s">
        <v>4034</v>
      </c>
      <c r="C1564" s="5" t="s">
        <v>18</v>
      </c>
      <c r="D1564" s="5" t="s">
        <v>19</v>
      </c>
      <c r="E1564" s="5" t="s">
        <v>1959</v>
      </c>
      <c r="F1564" s="9">
        <v>34</v>
      </c>
      <c r="G1564" s="9">
        <v>399</v>
      </c>
      <c r="H1564" s="5" t="s">
        <v>21</v>
      </c>
      <c r="I1564" s="5" t="s">
        <v>4035</v>
      </c>
      <c r="J1564" s="12" t="str">
        <f>HYPERLINK("https://www.boe.es/gazeta/dias/1802/04/27/pdfs/GMD-1802-34.pdf#page=11","Abrir facsímil")</f>
        <v>Abrir facsímil</v>
      </c>
      <c r="K1564" s="15" t="s">
        <v>23</v>
      </c>
    </row>
    <row r="1565" spans="1:11" ht="42" customHeight="1">
      <c r="A1565" s="4" t="s">
        <v>4036</v>
      </c>
      <c r="B1565" s="5" t="s">
        <v>4037</v>
      </c>
      <c r="C1565" s="5" t="s">
        <v>160</v>
      </c>
      <c r="D1565" s="5" t="s">
        <v>91</v>
      </c>
      <c r="E1565" s="5" t="s">
        <v>131</v>
      </c>
      <c r="F1565" s="9">
        <v>11</v>
      </c>
      <c r="G1565" s="9">
        <v>112</v>
      </c>
      <c r="H1565" s="5" t="s">
        <v>21</v>
      </c>
      <c r="I1565" s="5" t="s">
        <v>4038</v>
      </c>
      <c r="J1565" s="12" t="str">
        <f>HYPERLINK("https://www.boe.es/gazeta/dias/1802/02/05/pdfs/GMD-1802-11.pdf#page=8","Abrir facsímil")</f>
        <v>Abrir facsímil</v>
      </c>
      <c r="K1565" s="15" t="s">
        <v>23</v>
      </c>
    </row>
    <row r="1566" spans="1:11" ht="42" customHeight="1">
      <c r="A1566" s="4" t="s">
        <v>4036</v>
      </c>
      <c r="B1566" s="5" t="s">
        <v>4037</v>
      </c>
      <c r="C1566" s="5" t="s">
        <v>18</v>
      </c>
      <c r="D1566" s="5" t="s">
        <v>19</v>
      </c>
      <c r="E1566" s="5" t="s">
        <v>1051</v>
      </c>
      <c r="F1566" s="9">
        <v>43</v>
      </c>
      <c r="G1566" s="9">
        <v>520</v>
      </c>
      <c r="H1566" s="5" t="s">
        <v>21</v>
      </c>
      <c r="I1566" s="5" t="s">
        <v>4039</v>
      </c>
      <c r="J1566" s="12" t="str">
        <f>HYPERLINK("https://www.boe.es/gazeta/dias/1802/05/28/pdfs/GMD-1802-43.pdf#page=12","Abrir facsímil")</f>
        <v>Abrir facsímil</v>
      </c>
      <c r="K1566" s="15" t="s">
        <v>23</v>
      </c>
    </row>
    <row r="1567" spans="1:11" ht="42" customHeight="1">
      <c r="A1567" s="4" t="s">
        <v>4040</v>
      </c>
      <c r="B1567" s="5" t="s">
        <v>4041</v>
      </c>
      <c r="C1567" s="5" t="s">
        <v>18</v>
      </c>
      <c r="D1567" s="5" t="s">
        <v>19</v>
      </c>
      <c r="E1567" s="5" t="s">
        <v>590</v>
      </c>
      <c r="F1567" s="9">
        <v>38</v>
      </c>
      <c r="G1567" s="9">
        <v>454</v>
      </c>
      <c r="H1567" s="5" t="s">
        <v>21</v>
      </c>
      <c r="I1567" s="5" t="s">
        <v>4042</v>
      </c>
      <c r="J1567" s="12" t="str">
        <f>HYPERLINK("https://www.boe.es/gazeta/dias/1802/05/11/pdfs/GMD-1802-38.pdf#page=10","Abrir facsímil")</f>
        <v>Abrir facsímil</v>
      </c>
      <c r="K1567" s="15" t="s">
        <v>23</v>
      </c>
    </row>
    <row r="1568" spans="1:11" ht="42" customHeight="1">
      <c r="A1568" s="4" t="s">
        <v>4043</v>
      </c>
      <c r="B1568" s="5" t="s">
        <v>4044</v>
      </c>
      <c r="C1568" s="5" t="s">
        <v>90</v>
      </c>
      <c r="D1568" s="5" t="s">
        <v>91</v>
      </c>
      <c r="E1568" s="5" t="s">
        <v>1051</v>
      </c>
      <c r="F1568" s="9">
        <v>43</v>
      </c>
      <c r="G1568" s="9">
        <v>518</v>
      </c>
      <c r="H1568" s="5" t="s">
        <v>21</v>
      </c>
      <c r="I1568" s="5" t="s">
        <v>4045</v>
      </c>
      <c r="J1568" s="12" t="str">
        <f>HYPERLINK("https://www.boe.es/gazeta/dias/1802/05/28/pdfs/GMD-1802-43.pdf#page=10","Abrir facsímil")</f>
        <v>Abrir facsímil</v>
      </c>
      <c r="K1568" s="15" t="s">
        <v>23</v>
      </c>
    </row>
    <row r="1569" spans="1:11" ht="42" customHeight="1">
      <c r="A1569" s="4" t="s">
        <v>4046</v>
      </c>
      <c r="B1569" s="5" t="s">
        <v>4047</v>
      </c>
      <c r="C1569" s="5" t="s">
        <v>35</v>
      </c>
      <c r="D1569" s="5" t="s">
        <v>36</v>
      </c>
      <c r="E1569" s="5" t="s">
        <v>148</v>
      </c>
      <c r="F1569" s="9">
        <v>66</v>
      </c>
      <c r="G1569" s="9">
        <v>808</v>
      </c>
      <c r="H1569" s="5" t="s">
        <v>21</v>
      </c>
      <c r="I1569" s="5" t="s">
        <v>4048</v>
      </c>
      <c r="J1569" s="12" t="str">
        <f>HYPERLINK("https://www.boe.es/gazeta/dias/1802/08/13/pdfs/GMD-1802-66.pdf#page=12","Abrir facsímil")</f>
        <v>Abrir facsímil</v>
      </c>
      <c r="K1569" s="15" t="s">
        <v>23</v>
      </c>
    </row>
    <row r="1570" spans="1:11" ht="42" customHeight="1">
      <c r="A1570" s="4" t="s">
        <v>4049</v>
      </c>
      <c r="B1570" s="5" t="s">
        <v>4050</v>
      </c>
      <c r="C1570" s="5" t="s">
        <v>18</v>
      </c>
      <c r="D1570" s="5" t="s">
        <v>19</v>
      </c>
      <c r="E1570" s="5" t="s">
        <v>152</v>
      </c>
      <c r="F1570" s="9">
        <v>25</v>
      </c>
      <c r="G1570" s="9">
        <v>284</v>
      </c>
      <c r="H1570" s="5" t="s">
        <v>21</v>
      </c>
      <c r="I1570" s="5" t="s">
        <v>4051</v>
      </c>
      <c r="J1570" s="12" t="str">
        <f>HYPERLINK("https://www.boe.es/gazeta/dias/1802/03/26/pdfs/GMD-1802-25.pdf#page=8","Abrir facsímil")</f>
        <v>Abrir facsímil</v>
      </c>
      <c r="K1570" s="15" t="s">
        <v>23</v>
      </c>
    </row>
    <row r="1571" spans="1:11" ht="42" customHeight="1">
      <c r="A1571" s="4" t="s">
        <v>4052</v>
      </c>
      <c r="B1571" s="5" t="s">
        <v>4053</v>
      </c>
      <c r="C1571" s="5" t="s">
        <v>42</v>
      </c>
      <c r="D1571" s="5" t="s">
        <v>43</v>
      </c>
      <c r="E1571" s="5" t="s">
        <v>44</v>
      </c>
      <c r="F1571" s="9">
        <v>99</v>
      </c>
      <c r="G1571" s="9" t="s">
        <v>222</v>
      </c>
      <c r="H1571" s="5" t="s">
        <v>21</v>
      </c>
      <c r="I1571" s="5" t="s">
        <v>4054</v>
      </c>
      <c r="J1571" s="12" t="str">
        <f>HYPERLINK("https://www.boe.es/gazeta/dias/1802/12/07/pdfs/GMD-D-1802-99.pdf#page=5","Abrir facsímil")</f>
        <v>Abrir facsímil</v>
      </c>
      <c r="K1571" s="15" t="s">
        <v>23</v>
      </c>
    </row>
    <row r="1572" spans="1:11" ht="42" customHeight="1">
      <c r="A1572" s="4" t="s">
        <v>4055</v>
      </c>
      <c r="B1572" s="5" t="s">
        <v>4056</v>
      </c>
      <c r="C1572" s="5" t="s">
        <v>35</v>
      </c>
      <c r="D1572" s="5" t="s">
        <v>36</v>
      </c>
      <c r="E1572" s="5" t="s">
        <v>31</v>
      </c>
      <c r="F1572" s="9">
        <v>27</v>
      </c>
      <c r="G1572" s="9">
        <v>306</v>
      </c>
      <c r="H1572" s="5" t="s">
        <v>21</v>
      </c>
      <c r="I1572" s="5" t="s">
        <v>4057</v>
      </c>
      <c r="J1572" s="12" t="str">
        <f>HYPERLINK("https://www.boe.es/gazeta/dias/1802/04/02/pdfs/GMD-1802-27.pdf#page=2","Abrir facsímil")</f>
        <v>Abrir facsímil</v>
      </c>
      <c r="K1572" s="15" t="s">
        <v>23</v>
      </c>
    </row>
    <row r="1573" spans="1:11" ht="42" customHeight="1">
      <c r="A1573" s="4" t="s">
        <v>4055</v>
      </c>
      <c r="B1573" s="5" t="s">
        <v>4056</v>
      </c>
      <c r="C1573" s="5" t="s">
        <v>35</v>
      </c>
      <c r="D1573" s="5" t="s">
        <v>36</v>
      </c>
      <c r="E1573" s="5" t="s">
        <v>172</v>
      </c>
      <c r="F1573" s="9">
        <v>35</v>
      </c>
      <c r="G1573" s="9">
        <v>402</v>
      </c>
      <c r="H1573" s="5" t="s">
        <v>21</v>
      </c>
      <c r="I1573" s="5" t="s">
        <v>4058</v>
      </c>
      <c r="J1573" s="12" t="str">
        <f>HYPERLINK("https://www.boe.es/gazeta/dias/1802/04/30/pdfs/GMD-1802-35.pdf#page=2","Abrir facsímil")</f>
        <v>Abrir facsímil</v>
      </c>
      <c r="K1573" s="15" t="s">
        <v>23</v>
      </c>
    </row>
    <row r="1574" spans="1:11" ht="42" customHeight="1">
      <c r="A1574" s="4" t="s">
        <v>4059</v>
      </c>
      <c r="B1574" s="5" t="s">
        <v>4060</v>
      </c>
      <c r="C1574" s="5" t="s">
        <v>35</v>
      </c>
      <c r="D1574" s="5" t="s">
        <v>36</v>
      </c>
      <c r="E1574" s="5" t="s">
        <v>31</v>
      </c>
      <c r="F1574" s="9">
        <v>27</v>
      </c>
      <c r="G1574" s="9">
        <v>306</v>
      </c>
      <c r="H1574" s="5" t="s">
        <v>21</v>
      </c>
      <c r="I1574" s="5" t="s">
        <v>4061</v>
      </c>
      <c r="J1574" s="12" t="str">
        <f>HYPERLINK("https://www.boe.es/gazeta/dias/1802/04/02/pdfs/GMD-1802-27.pdf#page=2","Abrir facsímil")</f>
        <v>Abrir facsímil</v>
      </c>
      <c r="K1574" s="15" t="s">
        <v>23</v>
      </c>
    </row>
    <row r="1575" spans="1:11" ht="42" customHeight="1">
      <c r="A1575" s="4" t="s">
        <v>4062</v>
      </c>
      <c r="B1575" s="5" t="s">
        <v>4063</v>
      </c>
      <c r="C1575" s="5" t="s">
        <v>29</v>
      </c>
      <c r="D1575" s="5" t="s">
        <v>30</v>
      </c>
      <c r="E1575" s="5" t="s">
        <v>86</v>
      </c>
      <c r="F1575" s="9">
        <v>26</v>
      </c>
      <c r="G1575" s="9">
        <v>298</v>
      </c>
      <c r="H1575" s="5" t="s">
        <v>21</v>
      </c>
      <c r="I1575" s="5" t="s">
        <v>4064</v>
      </c>
      <c r="J1575" s="12" t="str">
        <f>HYPERLINK("https://www.boe.es/gazeta/dias/1802/03/30/pdfs/GMD-1802-26.pdf#page=10","Abrir facsímil")</f>
        <v>Abrir facsímil</v>
      </c>
      <c r="K1575" s="15" t="s">
        <v>23</v>
      </c>
    </row>
    <row r="1576" spans="1:11" ht="42" customHeight="1">
      <c r="A1576" s="4" t="s">
        <v>4065</v>
      </c>
      <c r="B1576" s="5" t="s">
        <v>4066</v>
      </c>
      <c r="C1576" s="5" t="s">
        <v>29</v>
      </c>
      <c r="D1576" s="5" t="s">
        <v>30</v>
      </c>
      <c r="E1576" s="5" t="s">
        <v>114</v>
      </c>
      <c r="F1576" s="9">
        <v>82</v>
      </c>
      <c r="G1576" s="9">
        <v>1001</v>
      </c>
      <c r="H1576" s="5" t="s">
        <v>21</v>
      </c>
      <c r="I1576" s="5" t="s">
        <v>4067</v>
      </c>
      <c r="J1576" s="12" t="str">
        <f>HYPERLINK("https://www.boe.es/gazeta/dias/1802/10/08/pdfs/GMD-1802-82.pdf#page=1","Abrir facsímil")</f>
        <v>Abrir facsímil</v>
      </c>
      <c r="K1576" s="15" t="s">
        <v>23</v>
      </c>
    </row>
    <row r="1577" spans="1:11" ht="42" customHeight="1">
      <c r="A1577" s="4" t="s">
        <v>4068</v>
      </c>
      <c r="B1577" s="5" t="s">
        <v>4069</v>
      </c>
      <c r="C1577" s="5" t="s">
        <v>18</v>
      </c>
      <c r="D1577" s="5" t="s">
        <v>19</v>
      </c>
      <c r="E1577" s="5" t="s">
        <v>20</v>
      </c>
      <c r="F1577" s="9">
        <v>84</v>
      </c>
      <c r="G1577" s="9">
        <v>1040</v>
      </c>
      <c r="H1577" s="5" t="s">
        <v>21</v>
      </c>
      <c r="I1577" s="5" t="s">
        <v>4070</v>
      </c>
      <c r="J1577" s="12" t="str">
        <f>HYPERLINK("https://www.boe.es/gazeta/dias/1802/10/15/pdfs/GMD-1802-84.pdf#page=8","Abrir facsímil")</f>
        <v>Abrir facsímil</v>
      </c>
      <c r="K1577" s="15" t="s">
        <v>23</v>
      </c>
    </row>
    <row r="1578" spans="1:11" ht="42" customHeight="1">
      <c r="A1578" s="4" t="s">
        <v>4071</v>
      </c>
      <c r="B1578" s="5" t="s">
        <v>4072</v>
      </c>
      <c r="C1578" s="5" t="s">
        <v>18</v>
      </c>
      <c r="D1578" s="5" t="s">
        <v>19</v>
      </c>
      <c r="E1578" s="5" t="s">
        <v>49</v>
      </c>
      <c r="F1578" s="9">
        <v>83</v>
      </c>
      <c r="G1578" s="9">
        <v>1024</v>
      </c>
      <c r="H1578" s="5" t="s">
        <v>21</v>
      </c>
      <c r="I1578" s="5" t="s">
        <v>4073</v>
      </c>
      <c r="J1578" s="12" t="str">
        <f>HYPERLINK("https://www.boe.es/gazeta/dias/1802/10/12/pdfs/GMD-1802-83.pdf#page=12","Abrir facsímil")</f>
        <v>Abrir facsímil</v>
      </c>
      <c r="K1578" s="15" t="s">
        <v>23</v>
      </c>
    </row>
    <row r="1579" spans="1:11" ht="42" customHeight="1">
      <c r="A1579" s="4" t="s">
        <v>4074</v>
      </c>
      <c r="B1579" s="5" t="s">
        <v>4075</v>
      </c>
      <c r="C1579" s="5" t="s">
        <v>29</v>
      </c>
      <c r="D1579" s="5" t="s">
        <v>30</v>
      </c>
      <c r="E1579" s="5" t="s">
        <v>751</v>
      </c>
      <c r="F1579" s="9">
        <v>98</v>
      </c>
      <c r="G1579" s="9">
        <v>1214</v>
      </c>
      <c r="H1579" s="5" t="s">
        <v>21</v>
      </c>
      <c r="I1579" s="5" t="s">
        <v>4076</v>
      </c>
      <c r="J1579" s="12" t="str">
        <f>HYPERLINK("https://www.boe.es/gazeta/dias/1802/12/03/pdfs/GMD-1802-98.pdf#page=10","Abrir facsímil")</f>
        <v>Abrir facsímil</v>
      </c>
      <c r="K1579" s="15" t="s">
        <v>23</v>
      </c>
    </row>
    <row r="1580" spans="1:11" ht="42" customHeight="1">
      <c r="A1580" s="4" t="s">
        <v>4077</v>
      </c>
      <c r="B1580" s="5" t="s">
        <v>4078</v>
      </c>
      <c r="C1580" s="5" t="s">
        <v>29</v>
      </c>
      <c r="D1580" s="5" t="s">
        <v>30</v>
      </c>
      <c r="E1580" s="5" t="s">
        <v>31</v>
      </c>
      <c r="F1580" s="9">
        <v>27</v>
      </c>
      <c r="G1580" s="9">
        <v>317</v>
      </c>
      <c r="H1580" s="5" t="s">
        <v>21</v>
      </c>
      <c r="I1580" s="5" t="s">
        <v>4079</v>
      </c>
      <c r="J1580" s="12" t="str">
        <f>HYPERLINK("https://www.boe.es/gazeta/dias/1802/04/02/pdfs/GMD-1802-27.pdf#page=13","Abrir facsímil")</f>
        <v>Abrir facsímil</v>
      </c>
      <c r="K1580" s="15" t="s">
        <v>23</v>
      </c>
    </row>
    <row r="1581" spans="1:11" ht="42" customHeight="1">
      <c r="A1581" s="4" t="s">
        <v>4080</v>
      </c>
      <c r="B1581" s="5" t="s">
        <v>4081</v>
      </c>
      <c r="C1581" s="5" t="s">
        <v>18</v>
      </c>
      <c r="D1581" s="5" t="s">
        <v>19</v>
      </c>
      <c r="E1581" s="5" t="s">
        <v>20</v>
      </c>
      <c r="F1581" s="9">
        <v>84</v>
      </c>
      <c r="G1581" s="9">
        <v>1040</v>
      </c>
      <c r="H1581" s="5" t="s">
        <v>21</v>
      </c>
      <c r="I1581" s="5" t="s">
        <v>4082</v>
      </c>
      <c r="J1581" s="12" t="str">
        <f>HYPERLINK("https://www.boe.es/gazeta/dias/1802/10/15/pdfs/GMD-1802-84.pdf#page=8","Abrir facsímil")</f>
        <v>Abrir facsímil</v>
      </c>
      <c r="K1581" s="15" t="s">
        <v>23</v>
      </c>
    </row>
    <row r="1582" spans="1:11" ht="42" customHeight="1">
      <c r="A1582" s="4" t="s">
        <v>4083</v>
      </c>
      <c r="B1582" s="5" t="s">
        <v>4084</v>
      </c>
      <c r="C1582" s="5" t="s">
        <v>90</v>
      </c>
      <c r="D1582" s="5" t="s">
        <v>91</v>
      </c>
      <c r="E1582" s="5" t="s">
        <v>332</v>
      </c>
      <c r="F1582" s="9">
        <v>24</v>
      </c>
      <c r="G1582" s="9">
        <v>268</v>
      </c>
      <c r="H1582" s="5" t="s">
        <v>21</v>
      </c>
      <c r="I1582" s="5" t="s">
        <v>4085</v>
      </c>
      <c r="J1582" s="12" t="str">
        <f>HYPERLINK("https://www.boe.es/gazeta/dias/1802/03/23/pdfs/GMD-1802-24.pdf#page=4","Abrir facsímil")</f>
        <v>Abrir facsímil</v>
      </c>
      <c r="K1582" s="15" t="s">
        <v>23</v>
      </c>
    </row>
    <row r="1583" spans="1:11" ht="42" customHeight="1">
      <c r="A1583" s="4" t="s">
        <v>4086</v>
      </c>
      <c r="B1583" s="5" t="s">
        <v>4087</v>
      </c>
      <c r="C1583" s="5" t="s">
        <v>35</v>
      </c>
      <c r="D1583" s="5" t="s">
        <v>36</v>
      </c>
      <c r="E1583" s="5" t="s">
        <v>1289</v>
      </c>
      <c r="F1583" s="9">
        <v>72</v>
      </c>
      <c r="G1583" s="9">
        <v>883</v>
      </c>
      <c r="H1583" s="5" t="s">
        <v>21</v>
      </c>
      <c r="I1583" s="5" t="s">
        <v>4088</v>
      </c>
      <c r="J1583" s="12" t="str">
        <f>HYPERLINK("https://www.boe.es/gazeta/dias/1802/09/03/pdfs/GMD-1802-72.pdf#page=3","Abrir facsímil")</f>
        <v>Abrir facsímil</v>
      </c>
      <c r="K1583" s="15" t="s">
        <v>23</v>
      </c>
    </row>
    <row r="1584" spans="1:11" ht="42" customHeight="1">
      <c r="A1584" s="4" t="s">
        <v>4089</v>
      </c>
      <c r="B1584" s="5" t="s">
        <v>4090</v>
      </c>
      <c r="C1584" s="5" t="s">
        <v>35</v>
      </c>
      <c r="D1584" s="5" t="s">
        <v>36</v>
      </c>
      <c r="E1584" s="5" t="s">
        <v>886</v>
      </c>
      <c r="F1584" s="9">
        <v>7</v>
      </c>
      <c r="G1584" s="9">
        <v>62</v>
      </c>
      <c r="H1584" s="5" t="s">
        <v>21</v>
      </c>
      <c r="I1584" s="5" t="s">
        <v>4091</v>
      </c>
      <c r="J1584" s="12" t="str">
        <f>HYPERLINK("https://www.boe.es/gazeta/dias/1802/01/22/pdfs/GMD-1802-7.pdf#page=2","Abrir facsímil")</f>
        <v>Abrir facsímil</v>
      </c>
      <c r="K1584" s="15" t="s">
        <v>23</v>
      </c>
    </row>
    <row r="1585" spans="1:11" ht="42" customHeight="1">
      <c r="A1585" s="4" t="s">
        <v>4092</v>
      </c>
      <c r="B1585" s="5" t="s">
        <v>4093</v>
      </c>
      <c r="C1585" s="5" t="s">
        <v>29</v>
      </c>
      <c r="D1585" s="5" t="s">
        <v>30</v>
      </c>
      <c r="E1585" s="5" t="s">
        <v>907</v>
      </c>
      <c r="F1585" s="9">
        <v>77</v>
      </c>
      <c r="G1585" s="9">
        <v>950</v>
      </c>
      <c r="H1585" s="5" t="s">
        <v>21</v>
      </c>
      <c r="I1585" s="5" t="s">
        <v>4094</v>
      </c>
      <c r="J1585" s="12" t="str">
        <f>HYPERLINK("https://www.boe.es/gazeta/dias/1802/09/21/pdfs/GMD-1802-77.pdf#page=10","Abrir facsímil")</f>
        <v>Abrir facsímil</v>
      </c>
      <c r="K1585" s="15" t="s">
        <v>23</v>
      </c>
    </row>
    <row r="1586" spans="1:11" ht="42" customHeight="1">
      <c r="A1586" s="4" t="s">
        <v>4095</v>
      </c>
      <c r="B1586" s="5" t="s">
        <v>4096</v>
      </c>
      <c r="C1586" s="5" t="s">
        <v>90</v>
      </c>
      <c r="D1586" s="5" t="s">
        <v>91</v>
      </c>
      <c r="E1586" s="5" t="s">
        <v>1618</v>
      </c>
      <c r="F1586" s="9">
        <v>31</v>
      </c>
      <c r="G1586" s="9">
        <v>366</v>
      </c>
      <c r="H1586" s="5" t="s">
        <v>21</v>
      </c>
      <c r="I1586" s="5" t="s">
        <v>4097</v>
      </c>
      <c r="J1586" s="12" t="str">
        <f>HYPERLINK("https://www.boe.es/gazeta/dias/1802/04/16/pdfs/GMD-1802-31.pdf#page=10","Abrir facsímil")</f>
        <v>Abrir facsímil</v>
      </c>
      <c r="K1586" s="15" t="s">
        <v>23</v>
      </c>
    </row>
    <row r="1587" spans="1:11" ht="42" customHeight="1">
      <c r="A1587" s="4" t="s">
        <v>4098</v>
      </c>
      <c r="B1587" s="5" t="s">
        <v>4099</v>
      </c>
      <c r="C1587" s="5" t="s">
        <v>90</v>
      </c>
      <c r="D1587" s="5" t="s">
        <v>91</v>
      </c>
      <c r="E1587" s="5" t="s">
        <v>181</v>
      </c>
      <c r="F1587" s="9">
        <v>55</v>
      </c>
      <c r="G1587" s="9">
        <v>667</v>
      </c>
      <c r="H1587" s="5" t="s">
        <v>21</v>
      </c>
      <c r="I1587" s="5" t="s">
        <v>4100</v>
      </c>
      <c r="J1587" s="12" t="str">
        <f>HYPERLINK("https://www.boe.es/gazeta/dias/1802/07/09/pdfs/GMD-1802-55.pdf#page=11","Abrir facsímil")</f>
        <v>Abrir facsímil</v>
      </c>
      <c r="K1587" s="15" t="s">
        <v>23</v>
      </c>
    </row>
    <row r="1588" spans="1:11" ht="42" customHeight="1">
      <c r="A1588" s="4" t="s">
        <v>4101</v>
      </c>
      <c r="B1588" s="5" t="s">
        <v>4102</v>
      </c>
      <c r="C1588" s="5" t="s">
        <v>18</v>
      </c>
      <c r="D1588" s="5" t="s">
        <v>19</v>
      </c>
      <c r="E1588" s="5" t="s">
        <v>206</v>
      </c>
      <c r="F1588" s="9">
        <v>22</v>
      </c>
      <c r="G1588" s="9">
        <v>243</v>
      </c>
      <c r="H1588" s="5" t="s">
        <v>21</v>
      </c>
      <c r="I1588" s="5" t="s">
        <v>4103</v>
      </c>
      <c r="J1588" s="12" t="str">
        <f>HYPERLINK("https://www.boe.es/gazeta/dias/1802/03/16/pdfs/GMD-1802-22.pdf#page=11","Abrir facsímil")</f>
        <v>Abrir facsímil</v>
      </c>
      <c r="K1588" s="15" t="s">
        <v>23</v>
      </c>
    </row>
    <row r="1589" spans="1:11" ht="42" customHeight="1">
      <c r="A1589" s="4" t="s">
        <v>4104</v>
      </c>
      <c r="B1589" s="5" t="s">
        <v>4105</v>
      </c>
      <c r="C1589" s="5" t="s">
        <v>160</v>
      </c>
      <c r="D1589" s="5" t="s">
        <v>91</v>
      </c>
      <c r="E1589" s="5" t="s">
        <v>206</v>
      </c>
      <c r="F1589" s="9">
        <v>22</v>
      </c>
      <c r="G1589" s="9">
        <v>243</v>
      </c>
      <c r="H1589" s="5" t="s">
        <v>21</v>
      </c>
      <c r="I1589" s="5" t="s">
        <v>4106</v>
      </c>
      <c r="J1589" s="12" t="str">
        <f>HYPERLINK("https://www.boe.es/gazeta/dias/1802/03/16/pdfs/GMD-1802-22.pdf#page=11","Abrir facsímil")</f>
        <v>Abrir facsímil</v>
      </c>
      <c r="K1589" s="15" t="s">
        <v>23</v>
      </c>
    </row>
    <row r="1590" spans="1:11" ht="42" customHeight="1">
      <c r="A1590" s="4" t="s">
        <v>4107</v>
      </c>
      <c r="B1590" s="5" t="s">
        <v>4108</v>
      </c>
      <c r="C1590" s="5" t="s">
        <v>29</v>
      </c>
      <c r="D1590" s="5" t="s">
        <v>30</v>
      </c>
      <c r="E1590" s="5" t="s">
        <v>146</v>
      </c>
      <c r="F1590" s="9">
        <v>42</v>
      </c>
      <c r="G1590" s="9">
        <v>504</v>
      </c>
      <c r="H1590" s="5" t="s">
        <v>21</v>
      </c>
      <c r="I1590" s="5" t="s">
        <v>4109</v>
      </c>
      <c r="J1590" s="12" t="str">
        <f>HYPERLINK("https://www.boe.es/gazeta/dias/1802/05/25/pdfs/GMD-1802-42.pdf#page=8","Abrir facsímil")</f>
        <v>Abrir facsímil</v>
      </c>
      <c r="K1590" s="15" t="s">
        <v>23</v>
      </c>
    </row>
    <row r="1591" spans="1:11" ht="42" customHeight="1">
      <c r="A1591" s="4" t="s">
        <v>4110</v>
      </c>
      <c r="B1591" s="5" t="s">
        <v>4111</v>
      </c>
      <c r="C1591" s="5" t="s">
        <v>18</v>
      </c>
      <c r="D1591" s="5" t="s">
        <v>19</v>
      </c>
      <c r="E1591" s="5" t="s">
        <v>181</v>
      </c>
      <c r="F1591" s="9">
        <v>55</v>
      </c>
      <c r="G1591" s="9">
        <v>668</v>
      </c>
      <c r="H1591" s="5" t="s">
        <v>21</v>
      </c>
      <c r="I1591" s="5" t="s">
        <v>4112</v>
      </c>
      <c r="J1591" s="12" t="str">
        <f>HYPERLINK("https://www.boe.es/gazeta/dias/1802/07/09/pdfs/GMD-1802-55.pdf#page=12","Abrir facsímil")</f>
        <v>Abrir facsímil</v>
      </c>
      <c r="K1591" s="15" t="s">
        <v>23</v>
      </c>
    </row>
    <row r="1592" spans="1:11" ht="42" customHeight="1">
      <c r="A1592" s="4" t="s">
        <v>4113</v>
      </c>
      <c r="B1592" s="5" t="s">
        <v>4114</v>
      </c>
      <c r="C1592" s="5" t="s">
        <v>90</v>
      </c>
      <c r="D1592" s="5" t="s">
        <v>91</v>
      </c>
      <c r="E1592" s="5" t="s">
        <v>206</v>
      </c>
      <c r="F1592" s="9">
        <v>22</v>
      </c>
      <c r="G1592" s="9">
        <v>241</v>
      </c>
      <c r="H1592" s="5" t="s">
        <v>21</v>
      </c>
      <c r="I1592" s="5" t="s">
        <v>4115</v>
      </c>
      <c r="J1592" s="12" t="str">
        <f>HYPERLINK("https://www.boe.es/gazeta/dias/1802/03/16/pdfs/GMD-1802-22.pdf#page=9","Abrir facsímil")</f>
        <v>Abrir facsímil</v>
      </c>
      <c r="K1592" s="15" t="s">
        <v>23</v>
      </c>
    </row>
    <row r="1593" spans="1:11" ht="42" customHeight="1">
      <c r="A1593" s="4" t="s">
        <v>4116</v>
      </c>
      <c r="B1593" s="5" t="s">
        <v>4117</v>
      </c>
      <c r="C1593" s="5" t="s">
        <v>55</v>
      </c>
      <c r="D1593" s="5" t="s">
        <v>56</v>
      </c>
      <c r="E1593" s="5" t="s">
        <v>429</v>
      </c>
      <c r="F1593" s="9">
        <v>91</v>
      </c>
      <c r="G1593" s="9">
        <v>1132</v>
      </c>
      <c r="H1593" s="5" t="s">
        <v>21</v>
      </c>
      <c r="I1593" s="5" t="s">
        <v>4118</v>
      </c>
      <c r="J1593" s="12" t="str">
        <f>HYPERLINK("https://www.boe.es/gazeta/dias/1802/11/09/pdfs/GMD-1802-91.pdf#page=12","Abrir facsímil")</f>
        <v>Abrir facsímil</v>
      </c>
      <c r="K1593" s="15" t="s">
        <v>23</v>
      </c>
    </row>
    <row r="1594" spans="1:11" ht="42" customHeight="1">
      <c r="A1594" s="4" t="s">
        <v>4119</v>
      </c>
      <c r="B1594" s="5" t="s">
        <v>4120</v>
      </c>
      <c r="C1594" s="5" t="s">
        <v>29</v>
      </c>
      <c r="D1594" s="5" t="s">
        <v>30</v>
      </c>
      <c r="E1594" s="5" t="s">
        <v>299</v>
      </c>
      <c r="F1594" s="9">
        <v>19</v>
      </c>
      <c r="G1594" s="9">
        <v>212</v>
      </c>
      <c r="H1594" s="5" t="s">
        <v>21</v>
      </c>
      <c r="I1594" s="5" t="s">
        <v>4121</v>
      </c>
      <c r="J1594" s="12" t="str">
        <f>HYPERLINK("https://www.boe.es/gazeta/dias/1802/03/05/pdfs/GMD-1802-19.pdf#page=12","Abrir facsímil")</f>
        <v>Abrir facsímil</v>
      </c>
      <c r="K1594" s="15" t="s">
        <v>23</v>
      </c>
    </row>
    <row r="1595" spans="1:11" ht="42" customHeight="1">
      <c r="A1595" s="4" t="s">
        <v>4119</v>
      </c>
      <c r="B1595" s="5" t="s">
        <v>4120</v>
      </c>
      <c r="C1595" s="5" t="s">
        <v>29</v>
      </c>
      <c r="D1595" s="5" t="s">
        <v>30</v>
      </c>
      <c r="E1595" s="5" t="s">
        <v>73</v>
      </c>
      <c r="F1595" s="9">
        <v>102</v>
      </c>
      <c r="G1595" s="9">
        <v>1256</v>
      </c>
      <c r="H1595" s="5" t="s">
        <v>21</v>
      </c>
      <c r="I1595" s="5" t="s">
        <v>4122</v>
      </c>
      <c r="J1595" s="12" t="str">
        <f>HYPERLINK("https://www.boe.es/gazeta/dias/1802/12/17/pdfs/GMD-1802-102.pdf#page=12","Abrir facsímil")</f>
        <v>Abrir facsímil</v>
      </c>
      <c r="K1595" s="15" t="s">
        <v>23</v>
      </c>
    </row>
    <row r="1596" spans="1:11" ht="42" customHeight="1">
      <c r="A1596" s="4" t="s">
        <v>4123</v>
      </c>
      <c r="B1596" s="5" t="s">
        <v>4124</v>
      </c>
      <c r="C1596" s="5" t="s">
        <v>18</v>
      </c>
      <c r="D1596" s="5" t="s">
        <v>19</v>
      </c>
      <c r="E1596" s="5" t="s">
        <v>49</v>
      </c>
      <c r="F1596" s="9">
        <v>83</v>
      </c>
      <c r="G1596" s="9">
        <v>1024</v>
      </c>
      <c r="H1596" s="5" t="s">
        <v>21</v>
      </c>
      <c r="I1596" s="5" t="s">
        <v>4125</v>
      </c>
      <c r="J1596" s="12" t="str">
        <f>HYPERLINK("https://www.boe.es/gazeta/dias/1802/10/12/pdfs/GMD-1802-83.pdf#page=12","Abrir facsímil")</f>
        <v>Abrir facsímil</v>
      </c>
      <c r="K1596" s="15" t="s">
        <v>23</v>
      </c>
    </row>
    <row r="1597" spans="1:11" ht="42" customHeight="1">
      <c r="A1597" s="4" t="s">
        <v>4126</v>
      </c>
      <c r="B1597" s="5" t="s">
        <v>4127</v>
      </c>
      <c r="C1597" s="5" t="s">
        <v>35</v>
      </c>
      <c r="D1597" s="5" t="s">
        <v>36</v>
      </c>
      <c r="E1597" s="5" t="s">
        <v>311</v>
      </c>
      <c r="F1597" s="9">
        <v>88</v>
      </c>
      <c r="G1597" s="9">
        <v>1087</v>
      </c>
      <c r="H1597" s="5" t="s">
        <v>21</v>
      </c>
      <c r="I1597" s="5" t="s">
        <v>4128</v>
      </c>
      <c r="J1597" s="12" t="str">
        <f>HYPERLINK("https://www.boe.es/gazeta/dias/1802/10/29/pdfs/GMD-1802-88.pdf#page=3","Abrir facsímil")</f>
        <v>Abrir facsímil</v>
      </c>
      <c r="K1597" s="15" t="s">
        <v>23</v>
      </c>
    </row>
    <row r="1598" spans="1:11" ht="42" customHeight="1">
      <c r="A1598" s="4" t="s">
        <v>4129</v>
      </c>
      <c r="B1598" s="5" t="s">
        <v>4130</v>
      </c>
      <c r="C1598" s="5" t="s">
        <v>18</v>
      </c>
      <c r="D1598" s="5" t="s">
        <v>19</v>
      </c>
      <c r="E1598" s="5" t="s">
        <v>57</v>
      </c>
      <c r="F1598" s="9">
        <v>54</v>
      </c>
      <c r="G1598" s="9">
        <v>655</v>
      </c>
      <c r="H1598" s="5" t="s">
        <v>21</v>
      </c>
      <c r="I1598" s="5" t="s">
        <v>4131</v>
      </c>
      <c r="J1598" s="12" t="str">
        <f>HYPERLINK("https://www.boe.es/gazeta/dias/1802/07/06/pdfs/GMD-1802-54.pdf#page=11","Abrir facsímil")</f>
        <v>Abrir facsímil</v>
      </c>
      <c r="K1598" s="15" t="s">
        <v>23</v>
      </c>
    </row>
    <row r="1599" spans="1:11" ht="42" customHeight="1">
      <c r="A1599" s="4" t="s">
        <v>4132</v>
      </c>
      <c r="B1599" s="5" t="s">
        <v>4133</v>
      </c>
      <c r="C1599" s="5" t="s">
        <v>55</v>
      </c>
      <c r="D1599" s="5" t="s">
        <v>56</v>
      </c>
      <c r="E1599" s="5" t="s">
        <v>49</v>
      </c>
      <c r="F1599" s="9">
        <v>83</v>
      </c>
      <c r="G1599" s="9">
        <v>1019</v>
      </c>
      <c r="H1599" s="5" t="s">
        <v>21</v>
      </c>
      <c r="I1599" s="5" t="s">
        <v>4134</v>
      </c>
      <c r="J1599" s="12" t="str">
        <f>HYPERLINK("https://www.boe.es/gazeta/dias/1802/10/12/pdfs/GMD-1802-83.pdf#page=7","Abrir facsímil")</f>
        <v>Abrir facsímil</v>
      </c>
      <c r="K1599" s="15" t="s">
        <v>23</v>
      </c>
    </row>
    <row r="1600" spans="1:11" ht="42" customHeight="1">
      <c r="A1600" s="4" t="s">
        <v>4135</v>
      </c>
      <c r="B1600" s="5" t="s">
        <v>4136</v>
      </c>
      <c r="C1600" s="5" t="s">
        <v>29</v>
      </c>
      <c r="D1600" s="5" t="s">
        <v>30</v>
      </c>
      <c r="E1600" s="5" t="s">
        <v>206</v>
      </c>
      <c r="F1600" s="9">
        <v>22</v>
      </c>
      <c r="G1600" s="9">
        <v>241</v>
      </c>
      <c r="H1600" s="5" t="s">
        <v>21</v>
      </c>
      <c r="I1600" s="5" t="s">
        <v>4137</v>
      </c>
      <c r="J1600" s="12" t="str">
        <f>HYPERLINK("https://www.boe.es/gazeta/dias/1802/03/16/pdfs/GMD-1802-22.pdf#page=9","Abrir facsímil")</f>
        <v>Abrir facsímil</v>
      </c>
      <c r="K1600" s="15" t="s">
        <v>23</v>
      </c>
    </row>
    <row r="1601" spans="1:11" ht="42" customHeight="1">
      <c r="A1601" s="4" t="s">
        <v>4138</v>
      </c>
      <c r="B1601" s="5" t="s">
        <v>4139</v>
      </c>
      <c r="C1601" s="5" t="s">
        <v>55</v>
      </c>
      <c r="D1601" s="5" t="s">
        <v>56</v>
      </c>
      <c r="E1601" s="5" t="s">
        <v>339</v>
      </c>
      <c r="F1601" s="9">
        <v>39</v>
      </c>
      <c r="G1601" s="9">
        <v>472</v>
      </c>
      <c r="H1601" s="5" t="s">
        <v>21</v>
      </c>
      <c r="I1601" s="5" t="s">
        <v>4140</v>
      </c>
      <c r="J1601" s="12" t="str">
        <f>HYPERLINK("https://www.boe.es/gazeta/dias/1802/05/14/pdfs/GMD-1802-39.pdf#page=16","Abrir facsímil")</f>
        <v>Abrir facsímil</v>
      </c>
      <c r="K1601" s="15" t="s">
        <v>23</v>
      </c>
    </row>
    <row r="1602" spans="1:11" ht="42" customHeight="1">
      <c r="A1602" s="4" t="s">
        <v>4141</v>
      </c>
      <c r="B1602" s="5" t="s">
        <v>4142</v>
      </c>
      <c r="C1602" s="5" t="s">
        <v>90</v>
      </c>
      <c r="D1602" s="5" t="s">
        <v>91</v>
      </c>
      <c r="E1602" s="5" t="s">
        <v>642</v>
      </c>
      <c r="F1602" s="9">
        <v>51</v>
      </c>
      <c r="G1602" s="9">
        <v>623</v>
      </c>
      <c r="H1602" s="5" t="s">
        <v>21</v>
      </c>
      <c r="I1602" s="5" t="s">
        <v>4143</v>
      </c>
      <c r="J1602" s="12" t="str">
        <f>HYPERLINK("https://www.boe.es/gazeta/dias/1802/06/25/pdfs/GMD-1802-51.pdf#page=11","Abrir facsímil")</f>
        <v>Abrir facsímil</v>
      </c>
      <c r="K1602" s="15" t="s">
        <v>23</v>
      </c>
    </row>
    <row r="1603" spans="1:11" ht="42" customHeight="1">
      <c r="A1603" s="4" t="s">
        <v>4144</v>
      </c>
      <c r="B1603" s="5" t="s">
        <v>4145</v>
      </c>
      <c r="C1603" s="5" t="s">
        <v>18</v>
      </c>
      <c r="D1603" s="5" t="s">
        <v>19</v>
      </c>
      <c r="E1603" s="5" t="s">
        <v>49</v>
      </c>
      <c r="F1603" s="9">
        <v>83</v>
      </c>
      <c r="G1603" s="9">
        <v>1024</v>
      </c>
      <c r="H1603" s="5" t="s">
        <v>21</v>
      </c>
      <c r="I1603" s="5" t="s">
        <v>4146</v>
      </c>
      <c r="J1603" s="12" t="str">
        <f>HYPERLINK("https://www.boe.es/gazeta/dias/1802/10/12/pdfs/GMD-1802-83.pdf#page=12","Abrir facsímil")</f>
        <v>Abrir facsímil</v>
      </c>
      <c r="K1603" s="15" t="s">
        <v>23</v>
      </c>
    </row>
    <row r="1604" spans="1:11" ht="42" customHeight="1">
      <c r="A1604" s="4" t="s">
        <v>4147</v>
      </c>
      <c r="B1604" s="5" t="s">
        <v>4148</v>
      </c>
      <c r="C1604" s="5" t="s">
        <v>18</v>
      </c>
      <c r="D1604" s="5" t="s">
        <v>19</v>
      </c>
      <c r="E1604" s="5" t="s">
        <v>20</v>
      </c>
      <c r="F1604" s="9">
        <v>84</v>
      </c>
      <c r="G1604" s="9">
        <v>1044</v>
      </c>
      <c r="H1604" s="5" t="s">
        <v>21</v>
      </c>
      <c r="I1604" s="5" t="s">
        <v>4149</v>
      </c>
      <c r="J1604" s="12" t="str">
        <f>HYPERLINK("https://www.boe.es/gazeta/dias/1802/10/15/pdfs/GMD-1802-84.pdf#page=12","Abrir facsímil")</f>
        <v>Abrir facsímil</v>
      </c>
      <c r="K1604" s="15" t="s">
        <v>23</v>
      </c>
    </row>
    <row r="1605" spans="1:11" ht="42" customHeight="1">
      <c r="A1605" s="4" t="s">
        <v>4150</v>
      </c>
      <c r="B1605" s="5" t="s">
        <v>4151</v>
      </c>
      <c r="C1605" s="5" t="s">
        <v>18</v>
      </c>
      <c r="D1605" s="5" t="s">
        <v>19</v>
      </c>
      <c r="E1605" s="5" t="s">
        <v>206</v>
      </c>
      <c r="F1605" s="9">
        <v>22</v>
      </c>
      <c r="G1605" s="9">
        <v>240</v>
      </c>
      <c r="H1605" s="5" t="s">
        <v>21</v>
      </c>
      <c r="I1605" s="5" t="s">
        <v>4152</v>
      </c>
      <c r="J1605" s="12" t="str">
        <f>HYPERLINK("https://www.boe.es/gazeta/dias/1802/03/16/pdfs/GMD-1802-22.pdf#page=8","Abrir facsímil")</f>
        <v>Abrir facsímil</v>
      </c>
      <c r="K1605" s="15" t="s">
        <v>23</v>
      </c>
    </row>
    <row r="1606" spans="1:11" ht="42" customHeight="1">
      <c r="A1606" s="4" t="s">
        <v>4153</v>
      </c>
      <c r="B1606" s="5" t="s">
        <v>4154</v>
      </c>
      <c r="C1606" s="5" t="s">
        <v>29</v>
      </c>
      <c r="D1606" s="5" t="s">
        <v>30</v>
      </c>
      <c r="E1606" s="5" t="s">
        <v>1289</v>
      </c>
      <c r="F1606" s="9">
        <v>72</v>
      </c>
      <c r="G1606" s="9">
        <v>888</v>
      </c>
      <c r="H1606" s="5" t="s">
        <v>21</v>
      </c>
      <c r="I1606" s="5" t="s">
        <v>4155</v>
      </c>
      <c r="J1606" s="12" t="str">
        <f>HYPERLINK("https://www.boe.es/gazeta/dias/1802/09/03/pdfs/GMD-1802-72.pdf#page=8","Abrir facsímil")</f>
        <v>Abrir facsímil</v>
      </c>
      <c r="K1606" s="15" t="s">
        <v>23</v>
      </c>
    </row>
    <row r="1607" spans="1:11" ht="42" customHeight="1">
      <c r="A1607" s="4" t="s">
        <v>4156</v>
      </c>
      <c r="B1607" s="5" t="s">
        <v>4157</v>
      </c>
      <c r="C1607" s="5" t="s">
        <v>18</v>
      </c>
      <c r="D1607" s="5" t="s">
        <v>19</v>
      </c>
      <c r="E1607" s="5" t="s">
        <v>20</v>
      </c>
      <c r="F1607" s="9">
        <v>84</v>
      </c>
      <c r="G1607" s="9">
        <v>1044</v>
      </c>
      <c r="H1607" s="5" t="s">
        <v>21</v>
      </c>
      <c r="I1607" s="5" t="s">
        <v>4158</v>
      </c>
      <c r="J1607" s="12" t="str">
        <f>HYPERLINK("https://www.boe.es/gazeta/dias/1802/10/15/pdfs/GMD-1802-84.pdf#page=12","Abrir facsímil")</f>
        <v>Abrir facsímil</v>
      </c>
      <c r="K1607" s="15" t="s">
        <v>23</v>
      </c>
    </row>
    <row r="1608" spans="1:11" ht="42" customHeight="1">
      <c r="A1608" s="4" t="s">
        <v>4159</v>
      </c>
      <c r="B1608" s="5" t="s">
        <v>4160</v>
      </c>
      <c r="C1608" s="5" t="s">
        <v>90</v>
      </c>
      <c r="D1608" s="5" t="s">
        <v>91</v>
      </c>
      <c r="E1608" s="5" t="s">
        <v>1407</v>
      </c>
      <c r="F1608" s="9">
        <v>8</v>
      </c>
      <c r="G1608" s="9">
        <v>78</v>
      </c>
      <c r="H1608" s="5" t="s">
        <v>21</v>
      </c>
      <c r="I1608" s="5" t="s">
        <v>4161</v>
      </c>
      <c r="J1608" s="12" t="str">
        <f>HYPERLINK("https://www.boe.es/gazeta/dias/1802/01/26/pdfs/GMD-1802-8.pdf#page=6","Abrir facsímil")</f>
        <v>Abrir facsímil</v>
      </c>
      <c r="K1608" s="15" t="s">
        <v>23</v>
      </c>
    </row>
    <row r="1609" spans="1:11" ht="42" customHeight="1">
      <c r="A1609" s="4" t="s">
        <v>4162</v>
      </c>
      <c r="B1609" s="5" t="s">
        <v>4163</v>
      </c>
      <c r="C1609" s="5" t="s">
        <v>29</v>
      </c>
      <c r="D1609" s="5" t="s">
        <v>30</v>
      </c>
      <c r="E1609" s="5" t="s">
        <v>206</v>
      </c>
      <c r="F1609" s="9">
        <v>22</v>
      </c>
      <c r="G1609" s="9">
        <v>242</v>
      </c>
      <c r="H1609" s="5" t="s">
        <v>21</v>
      </c>
      <c r="I1609" s="5" t="s">
        <v>4164</v>
      </c>
      <c r="J1609" s="12" t="str">
        <f>HYPERLINK("https://www.boe.es/gazeta/dias/1802/03/16/pdfs/GMD-1802-22.pdf#page=10","Abrir facsímil")</f>
        <v>Abrir facsímil</v>
      </c>
      <c r="K1609" s="15" t="s">
        <v>23</v>
      </c>
    </row>
    <row r="1610" spans="1:11" ht="42" customHeight="1">
      <c r="A1610" s="4" t="s">
        <v>4165</v>
      </c>
      <c r="B1610" s="5" t="s">
        <v>4166</v>
      </c>
      <c r="C1610" s="5" t="s">
        <v>29</v>
      </c>
      <c r="D1610" s="5" t="s">
        <v>30</v>
      </c>
      <c r="E1610" s="5" t="s">
        <v>1749</v>
      </c>
      <c r="F1610" s="9">
        <v>60</v>
      </c>
      <c r="G1610" s="9">
        <v>728</v>
      </c>
      <c r="H1610" s="5" t="s">
        <v>21</v>
      </c>
      <c r="I1610" s="5" t="s">
        <v>4167</v>
      </c>
      <c r="J1610" s="12" t="str">
        <f>HYPERLINK("https://www.boe.es/gazeta/dias/1802/07/23/pdfs/GMD-1802-60.pdf#page=12","Abrir facsímil")</f>
        <v>Abrir facsímil</v>
      </c>
      <c r="K1610" s="15" t="s">
        <v>23</v>
      </c>
    </row>
    <row r="1611" spans="1:11" ht="42" customHeight="1">
      <c r="A1611" s="4" t="s">
        <v>4168</v>
      </c>
      <c r="B1611" s="5" t="s">
        <v>4169</v>
      </c>
      <c r="C1611" s="5" t="s">
        <v>29</v>
      </c>
      <c r="D1611" s="5" t="s">
        <v>30</v>
      </c>
      <c r="E1611" s="5" t="s">
        <v>31</v>
      </c>
      <c r="F1611" s="9">
        <v>27</v>
      </c>
      <c r="G1611" s="9">
        <v>317</v>
      </c>
      <c r="H1611" s="5" t="s">
        <v>21</v>
      </c>
      <c r="I1611" s="5" t="s">
        <v>4170</v>
      </c>
      <c r="J1611" s="12" t="str">
        <f>HYPERLINK("https://www.boe.es/gazeta/dias/1802/04/02/pdfs/GMD-1802-27.pdf#page=13","Abrir facsímil")</f>
        <v>Abrir facsímil</v>
      </c>
      <c r="K1611" s="15" t="s">
        <v>23</v>
      </c>
    </row>
    <row r="1612" spans="1:11" ht="42" customHeight="1">
      <c r="A1612" s="4" t="s">
        <v>4171</v>
      </c>
      <c r="B1612" s="5" t="s">
        <v>4172</v>
      </c>
      <c r="C1612" s="5" t="s">
        <v>18</v>
      </c>
      <c r="D1612" s="5" t="s">
        <v>19</v>
      </c>
      <c r="E1612" s="5" t="s">
        <v>604</v>
      </c>
      <c r="F1612" s="9">
        <v>100</v>
      </c>
      <c r="G1612" s="9">
        <v>1235</v>
      </c>
      <c r="H1612" s="5" t="s">
        <v>21</v>
      </c>
      <c r="I1612" s="5" t="s">
        <v>4173</v>
      </c>
      <c r="J1612" s="12" t="str">
        <f>HYPERLINK("https://www.boe.es/gazeta/dias/1802/12/10/pdfs/GMD-1802-100.pdf#page=7","Abrir facsímil")</f>
        <v>Abrir facsímil</v>
      </c>
      <c r="K1612" s="15" t="s">
        <v>23</v>
      </c>
    </row>
    <row r="1613" spans="1:11" ht="42" customHeight="1">
      <c r="A1613" s="4" t="s">
        <v>4174</v>
      </c>
      <c r="B1613" s="5" t="s">
        <v>4175</v>
      </c>
      <c r="C1613" s="5" t="s">
        <v>29</v>
      </c>
      <c r="D1613" s="5" t="s">
        <v>30</v>
      </c>
      <c r="E1613" s="5" t="s">
        <v>749</v>
      </c>
      <c r="F1613" s="9">
        <v>97</v>
      </c>
      <c r="G1613" s="9">
        <v>1201</v>
      </c>
      <c r="H1613" s="5" t="s">
        <v>21</v>
      </c>
      <c r="I1613" s="5" t="s">
        <v>4176</v>
      </c>
      <c r="J1613" s="12" t="str">
        <f>HYPERLINK("https://www.boe.es/gazeta/dias/1802/11/30/pdfs/GMD-1802-97.pdf#page=9","Abrir facsímil")</f>
        <v>Abrir facsímil</v>
      </c>
      <c r="K1613" s="15" t="s">
        <v>23</v>
      </c>
    </row>
    <row r="1614" spans="1:11" ht="42" customHeight="1">
      <c r="A1614" s="4" t="s">
        <v>4177</v>
      </c>
      <c r="B1614" s="5" t="s">
        <v>4178</v>
      </c>
      <c r="C1614" s="5" t="s">
        <v>90</v>
      </c>
      <c r="D1614" s="5" t="s">
        <v>91</v>
      </c>
      <c r="E1614" s="5" t="s">
        <v>814</v>
      </c>
      <c r="F1614" s="9">
        <v>41</v>
      </c>
      <c r="G1614" s="9">
        <v>496</v>
      </c>
      <c r="H1614" s="5" t="s">
        <v>21</v>
      </c>
      <c r="I1614" s="5" t="s">
        <v>4179</v>
      </c>
      <c r="J1614" s="12" t="str">
        <f>HYPERLINK("https://www.boe.es/gazeta/dias/1802/05/21/pdfs/GMD-1802-41.pdf#page=12","Abrir facsímil")</f>
        <v>Abrir facsímil</v>
      </c>
      <c r="K1614" s="15" t="s">
        <v>23</v>
      </c>
    </row>
    <row r="1615" spans="1:11" ht="42" customHeight="1">
      <c r="A1615" s="4" t="s">
        <v>4180</v>
      </c>
      <c r="B1615" s="5" t="s">
        <v>4181</v>
      </c>
      <c r="C1615" s="5" t="s">
        <v>18</v>
      </c>
      <c r="D1615" s="5" t="s">
        <v>19</v>
      </c>
      <c r="E1615" s="5" t="s">
        <v>49</v>
      </c>
      <c r="F1615" s="9">
        <v>83</v>
      </c>
      <c r="G1615" s="9">
        <v>1019</v>
      </c>
      <c r="H1615" s="5" t="s">
        <v>21</v>
      </c>
      <c r="I1615" s="5" t="s">
        <v>4182</v>
      </c>
      <c r="J1615" s="12" t="str">
        <f>HYPERLINK("https://www.boe.es/gazeta/dias/1802/10/12/pdfs/GMD-1802-83.pdf#page=7","Abrir facsímil")</f>
        <v>Abrir facsímil</v>
      </c>
      <c r="K1615" s="15" t="s">
        <v>23</v>
      </c>
    </row>
    <row r="1616" spans="1:11" ht="42" customHeight="1">
      <c r="A1616" s="4" t="s">
        <v>4183</v>
      </c>
      <c r="B1616" s="5" t="s">
        <v>4184</v>
      </c>
      <c r="C1616" s="5" t="s">
        <v>90</v>
      </c>
      <c r="D1616" s="5" t="s">
        <v>91</v>
      </c>
      <c r="E1616" s="5" t="s">
        <v>152</v>
      </c>
      <c r="F1616" s="9">
        <v>25</v>
      </c>
      <c r="G1616" s="9">
        <v>285</v>
      </c>
      <c r="H1616" s="5" t="s">
        <v>21</v>
      </c>
      <c r="I1616" s="5" t="s">
        <v>4185</v>
      </c>
      <c r="J1616" s="12" t="str">
        <f>HYPERLINK("https://www.boe.es/gazeta/dias/1802/03/26/pdfs/GMD-1802-25.pdf#page=9","Abrir facsímil")</f>
        <v>Abrir facsímil</v>
      </c>
      <c r="K1616" s="15" t="s">
        <v>23</v>
      </c>
    </row>
    <row r="1617" spans="1:11" ht="42" customHeight="1">
      <c r="A1617" s="4" t="s">
        <v>4186</v>
      </c>
      <c r="B1617" s="5" t="s">
        <v>4187</v>
      </c>
      <c r="C1617" s="5" t="s">
        <v>18</v>
      </c>
      <c r="D1617" s="5" t="s">
        <v>19</v>
      </c>
      <c r="E1617" s="5" t="s">
        <v>20</v>
      </c>
      <c r="F1617" s="9">
        <v>84</v>
      </c>
      <c r="G1617" s="9">
        <v>1041</v>
      </c>
      <c r="H1617" s="5" t="s">
        <v>21</v>
      </c>
      <c r="I1617" s="5" t="s">
        <v>4188</v>
      </c>
      <c r="J1617" s="12" t="str">
        <f>HYPERLINK("https://www.boe.es/gazeta/dias/1802/10/15/pdfs/GMD-1802-84.pdf#page=9","Abrir facsímil")</f>
        <v>Abrir facsímil</v>
      </c>
      <c r="K1617" s="15" t="s">
        <v>23</v>
      </c>
    </row>
    <row r="1618" spans="1:11" ht="42" customHeight="1">
      <c r="A1618" s="4" t="s">
        <v>4189</v>
      </c>
      <c r="B1618" s="5" t="s">
        <v>4190</v>
      </c>
      <c r="C1618" s="5" t="s">
        <v>18</v>
      </c>
      <c r="D1618" s="5" t="s">
        <v>19</v>
      </c>
      <c r="E1618" s="5" t="s">
        <v>20</v>
      </c>
      <c r="F1618" s="9">
        <v>84</v>
      </c>
      <c r="G1618" s="9">
        <v>1040</v>
      </c>
      <c r="H1618" s="5" t="s">
        <v>21</v>
      </c>
      <c r="I1618" s="5" t="s">
        <v>4191</v>
      </c>
      <c r="J1618" s="12" t="str">
        <f>HYPERLINK("https://www.boe.es/gazeta/dias/1802/10/15/pdfs/GMD-1802-84.pdf#page=8","Abrir facsímil")</f>
        <v>Abrir facsímil</v>
      </c>
      <c r="K1618" s="15" t="s">
        <v>23</v>
      </c>
    </row>
    <row r="1619" spans="1:11" ht="42" customHeight="1">
      <c r="A1619" s="4" t="s">
        <v>4192</v>
      </c>
      <c r="B1619" s="5" t="s">
        <v>4193</v>
      </c>
      <c r="C1619" s="5" t="s">
        <v>29</v>
      </c>
      <c r="D1619" s="5" t="s">
        <v>30</v>
      </c>
      <c r="E1619" s="5" t="s">
        <v>299</v>
      </c>
      <c r="F1619" s="9">
        <v>19</v>
      </c>
      <c r="G1619" s="9">
        <v>210</v>
      </c>
      <c r="H1619" s="5" t="s">
        <v>21</v>
      </c>
      <c r="I1619" s="5" t="s">
        <v>4194</v>
      </c>
      <c r="J1619" s="12" t="str">
        <f>HYPERLINK("https://www.boe.es/gazeta/dias/1802/03/05/pdfs/GMD-1802-19.pdf#page=10","Abrir facsímil")</f>
        <v>Abrir facsímil</v>
      </c>
      <c r="K1619" s="15" t="s">
        <v>23</v>
      </c>
    </row>
    <row r="1620" spans="1:11" ht="42" customHeight="1">
      <c r="A1620" s="4" t="s">
        <v>4195</v>
      </c>
      <c r="B1620" s="5" t="s">
        <v>4196</v>
      </c>
      <c r="C1620" s="5" t="s">
        <v>29</v>
      </c>
      <c r="D1620" s="5" t="s">
        <v>30</v>
      </c>
      <c r="E1620" s="5" t="s">
        <v>185</v>
      </c>
      <c r="F1620" s="9">
        <v>95</v>
      </c>
      <c r="G1620" s="9">
        <v>1173</v>
      </c>
      <c r="H1620" s="5" t="s">
        <v>21</v>
      </c>
      <c r="I1620" s="5" t="s">
        <v>4197</v>
      </c>
      <c r="J1620" s="12" t="str">
        <f>HYPERLINK("https://www.boe.es/gazeta/dias/1802/11/23/pdfs/GMD-1802-95.pdf#page=9","Abrir facsímil")</f>
        <v>Abrir facsímil</v>
      </c>
      <c r="K1620" s="15" t="s">
        <v>23</v>
      </c>
    </row>
    <row r="1621" spans="1:11" ht="42" customHeight="1">
      <c r="A1621" s="4" t="s">
        <v>4198</v>
      </c>
      <c r="B1621" s="5" t="s">
        <v>4199</v>
      </c>
      <c r="C1621" s="5" t="s">
        <v>18</v>
      </c>
      <c r="D1621" s="5" t="s">
        <v>19</v>
      </c>
      <c r="E1621" s="5" t="s">
        <v>49</v>
      </c>
      <c r="F1621" s="9">
        <v>83</v>
      </c>
      <c r="G1621" s="9">
        <v>1023</v>
      </c>
      <c r="H1621" s="5" t="s">
        <v>21</v>
      </c>
      <c r="I1621" s="5" t="s">
        <v>4200</v>
      </c>
      <c r="J1621" s="12" t="str">
        <f>HYPERLINK("https://www.boe.es/gazeta/dias/1802/10/12/pdfs/GMD-1802-83.pdf#page=11","Abrir facsímil")</f>
        <v>Abrir facsímil</v>
      </c>
      <c r="K1621" s="15" t="s">
        <v>23</v>
      </c>
    </row>
    <row r="1622" spans="1:11" ht="42" customHeight="1">
      <c r="A1622" s="4" t="s">
        <v>4201</v>
      </c>
      <c r="B1622" s="5" t="s">
        <v>4202</v>
      </c>
      <c r="C1622" s="5" t="s">
        <v>29</v>
      </c>
      <c r="D1622" s="5" t="s">
        <v>30</v>
      </c>
      <c r="E1622" s="5" t="s">
        <v>814</v>
      </c>
      <c r="F1622" s="9">
        <v>41</v>
      </c>
      <c r="G1622" s="9">
        <v>494</v>
      </c>
      <c r="H1622" s="5" t="s">
        <v>21</v>
      </c>
      <c r="I1622" s="5" t="s">
        <v>4203</v>
      </c>
      <c r="J1622" s="12" t="str">
        <f>HYPERLINK("https://www.boe.es/gazeta/dias/1802/05/21/pdfs/GMD-1802-41.pdf#page=10","Abrir facsímil")</f>
        <v>Abrir facsímil</v>
      </c>
      <c r="K1622" s="15" t="s">
        <v>23</v>
      </c>
    </row>
    <row r="1623" spans="1:11" ht="42" customHeight="1">
      <c r="A1623" s="4" t="s">
        <v>4204</v>
      </c>
      <c r="B1623" s="5" t="s">
        <v>4205</v>
      </c>
      <c r="C1623" s="5" t="s">
        <v>42</v>
      </c>
      <c r="D1623" s="5" t="s">
        <v>43</v>
      </c>
      <c r="E1623" s="5" t="s">
        <v>44</v>
      </c>
      <c r="F1623" s="9">
        <v>99</v>
      </c>
      <c r="G1623" s="9" t="s">
        <v>779</v>
      </c>
      <c r="H1623" s="5" t="s">
        <v>21</v>
      </c>
      <c r="I1623" s="5" t="s">
        <v>4206</v>
      </c>
      <c r="J1623" s="12" t="str">
        <f>HYPERLINK("https://www.boe.es/gazeta/dias/1802/12/07/pdfs/GMD-D-1802-99.pdf#page=13","Abrir facsímil")</f>
        <v>Abrir facsímil</v>
      </c>
      <c r="K1623" s="15" t="s">
        <v>23</v>
      </c>
    </row>
    <row r="1624" spans="1:11" ht="42" customHeight="1">
      <c r="A1624" s="4" t="s">
        <v>4207</v>
      </c>
      <c r="B1624" s="5" t="s">
        <v>4208</v>
      </c>
      <c r="C1624" s="5" t="s">
        <v>18</v>
      </c>
      <c r="D1624" s="5" t="s">
        <v>19</v>
      </c>
      <c r="E1624" s="5" t="s">
        <v>49</v>
      </c>
      <c r="F1624" s="9">
        <v>83</v>
      </c>
      <c r="G1624" s="9">
        <v>1026</v>
      </c>
      <c r="H1624" s="5" t="s">
        <v>21</v>
      </c>
      <c r="I1624" s="5" t="s">
        <v>4209</v>
      </c>
      <c r="J1624" s="12" t="str">
        <f>HYPERLINK("https://www.boe.es/gazeta/dias/1802/10/12/pdfs/GMD-1802-83.pdf#page=14","Abrir facsímil")</f>
        <v>Abrir facsímil</v>
      </c>
      <c r="K1624" s="15" t="s">
        <v>23</v>
      </c>
    </row>
    <row r="1625" spans="1:11" ht="42" customHeight="1">
      <c r="A1625" s="4" t="s">
        <v>4210</v>
      </c>
      <c r="B1625" s="5" t="s">
        <v>4211</v>
      </c>
      <c r="C1625" s="5" t="s">
        <v>18</v>
      </c>
      <c r="D1625" s="5" t="s">
        <v>19</v>
      </c>
      <c r="E1625" s="5" t="s">
        <v>20</v>
      </c>
      <c r="F1625" s="9">
        <v>84</v>
      </c>
      <c r="G1625" s="9">
        <v>1044</v>
      </c>
      <c r="H1625" s="5" t="s">
        <v>21</v>
      </c>
      <c r="I1625" s="5" t="s">
        <v>4212</v>
      </c>
      <c r="J1625" s="12" t="str">
        <f>HYPERLINK("https://www.boe.es/gazeta/dias/1802/10/15/pdfs/GMD-1802-84.pdf#page=12","Abrir facsímil")</f>
        <v>Abrir facsímil</v>
      </c>
      <c r="K1625" s="15" t="s">
        <v>23</v>
      </c>
    </row>
    <row r="1626" spans="1:11" ht="42" customHeight="1">
      <c r="A1626" s="4" t="s">
        <v>4213</v>
      </c>
      <c r="B1626" s="5" t="s">
        <v>4214</v>
      </c>
      <c r="C1626" s="5" t="s">
        <v>90</v>
      </c>
      <c r="D1626" s="5" t="s">
        <v>91</v>
      </c>
      <c r="E1626" s="5" t="s">
        <v>31</v>
      </c>
      <c r="F1626" s="9">
        <v>27</v>
      </c>
      <c r="G1626" s="9">
        <v>317</v>
      </c>
      <c r="H1626" s="5" t="s">
        <v>21</v>
      </c>
      <c r="I1626" s="5" t="s">
        <v>4215</v>
      </c>
      <c r="J1626" s="12" t="str">
        <f>HYPERLINK("https://www.boe.es/gazeta/dias/1802/04/02/pdfs/GMD-1802-27.pdf#page=13","Abrir facsímil")</f>
        <v>Abrir facsímil</v>
      </c>
      <c r="K1626" s="15" t="s">
        <v>23</v>
      </c>
    </row>
    <row r="1627" spans="1:11" ht="42" customHeight="1">
      <c r="A1627" s="4" t="s">
        <v>4216</v>
      </c>
      <c r="B1627" s="5" t="s">
        <v>4217</v>
      </c>
      <c r="C1627" s="5" t="s">
        <v>18</v>
      </c>
      <c r="D1627" s="5" t="s">
        <v>19</v>
      </c>
      <c r="E1627" s="5" t="s">
        <v>49</v>
      </c>
      <c r="F1627" s="9">
        <v>83</v>
      </c>
      <c r="G1627" s="9">
        <v>1024</v>
      </c>
      <c r="H1627" s="5" t="s">
        <v>21</v>
      </c>
      <c r="I1627" s="5" t="s">
        <v>4218</v>
      </c>
      <c r="J1627" s="12" t="str">
        <f>HYPERLINK("https://www.boe.es/gazeta/dias/1802/10/12/pdfs/GMD-1802-83.pdf#page=12","Abrir facsímil")</f>
        <v>Abrir facsímil</v>
      </c>
      <c r="K1627" s="15" t="s">
        <v>23</v>
      </c>
    </row>
    <row r="1628" spans="1:11" ht="42" customHeight="1">
      <c r="A1628" s="4" t="s">
        <v>4219</v>
      </c>
      <c r="B1628" s="5" t="s">
        <v>4220</v>
      </c>
      <c r="C1628" s="5" t="s">
        <v>18</v>
      </c>
      <c r="D1628" s="5" t="s">
        <v>19</v>
      </c>
      <c r="E1628" s="5" t="s">
        <v>20</v>
      </c>
      <c r="F1628" s="9">
        <v>84</v>
      </c>
      <c r="G1628" s="9">
        <v>1040</v>
      </c>
      <c r="H1628" s="5" t="s">
        <v>21</v>
      </c>
      <c r="I1628" s="5" t="s">
        <v>4221</v>
      </c>
      <c r="J1628" s="12" t="str">
        <f>HYPERLINK("https://www.boe.es/gazeta/dias/1802/10/15/pdfs/GMD-1802-84.pdf#page=8","Abrir facsímil")</f>
        <v>Abrir facsímil</v>
      </c>
      <c r="K1628" s="15" t="s">
        <v>23</v>
      </c>
    </row>
    <row r="1629" spans="1:11" ht="42" customHeight="1">
      <c r="A1629" s="4" t="s">
        <v>4222</v>
      </c>
      <c r="B1629" s="5" t="s">
        <v>4223</v>
      </c>
      <c r="C1629" s="5" t="s">
        <v>55</v>
      </c>
      <c r="D1629" s="5" t="s">
        <v>56</v>
      </c>
      <c r="E1629" s="5" t="s">
        <v>481</v>
      </c>
      <c r="F1629" s="9">
        <v>79</v>
      </c>
      <c r="G1629" s="9">
        <v>976</v>
      </c>
      <c r="H1629" s="5" t="s">
        <v>21</v>
      </c>
      <c r="I1629" s="5" t="s">
        <v>4224</v>
      </c>
      <c r="J1629" s="12" t="str">
        <f>HYPERLINK("https://www.boe.es/gazeta/dias/1802/09/28/pdfs/GMD-1802-79.pdf#page=12","Abrir facsímil")</f>
        <v>Abrir facsímil</v>
      </c>
      <c r="K1629" s="15" t="s">
        <v>23</v>
      </c>
    </row>
    <row r="1630" spans="1:11" ht="42" customHeight="1">
      <c r="A1630" s="4" t="s">
        <v>4225</v>
      </c>
      <c r="B1630" s="5" t="s">
        <v>4226</v>
      </c>
      <c r="C1630" s="5" t="s">
        <v>29</v>
      </c>
      <c r="D1630" s="5" t="s">
        <v>30</v>
      </c>
      <c r="E1630" s="5" t="s">
        <v>71</v>
      </c>
      <c r="F1630" s="9">
        <v>21</v>
      </c>
      <c r="G1630" s="9">
        <v>232</v>
      </c>
      <c r="H1630" s="5" t="s">
        <v>21</v>
      </c>
      <c r="I1630" s="5" t="s">
        <v>4227</v>
      </c>
      <c r="J1630" s="12" t="str">
        <f>HYPERLINK("https://www.boe.es/gazeta/dias/1802/03/12/pdfs/GMD-1802-21.pdf#page=8","Abrir facsímil")</f>
        <v>Abrir facsímil</v>
      </c>
      <c r="K1630" s="15" t="s">
        <v>23</v>
      </c>
    </row>
    <row r="1631" spans="1:11" ht="42" customHeight="1">
      <c r="A1631" s="4" t="s">
        <v>4225</v>
      </c>
      <c r="B1631" s="5" t="s">
        <v>4226</v>
      </c>
      <c r="C1631" s="5" t="s">
        <v>35</v>
      </c>
      <c r="D1631" s="5" t="s">
        <v>36</v>
      </c>
      <c r="E1631" s="5" t="s">
        <v>71</v>
      </c>
      <c r="F1631" s="9">
        <v>21</v>
      </c>
      <c r="G1631" s="9">
        <v>233</v>
      </c>
      <c r="H1631" s="5" t="s">
        <v>21</v>
      </c>
      <c r="I1631" s="5" t="s">
        <v>4228</v>
      </c>
      <c r="J1631" s="12" t="str">
        <f>HYPERLINK("https://www.boe.es/gazeta/dias/1802/03/12/pdfs/GMD-1802-21.pdf#page=9","Abrir facsímil")</f>
        <v>Abrir facsímil</v>
      </c>
      <c r="K1631" s="15" t="s">
        <v>23</v>
      </c>
    </row>
    <row r="1632" spans="1:11" ht="42" customHeight="1">
      <c r="A1632" s="4" t="s">
        <v>4229</v>
      </c>
      <c r="B1632" s="5" t="s">
        <v>4230</v>
      </c>
      <c r="C1632" s="5" t="s">
        <v>18</v>
      </c>
      <c r="D1632" s="5" t="s">
        <v>19</v>
      </c>
      <c r="E1632" s="5" t="s">
        <v>49</v>
      </c>
      <c r="F1632" s="9">
        <v>83</v>
      </c>
      <c r="G1632" s="9">
        <v>1026</v>
      </c>
      <c r="H1632" s="5" t="s">
        <v>21</v>
      </c>
      <c r="I1632" s="5" t="s">
        <v>4231</v>
      </c>
      <c r="J1632" s="12" t="str">
        <f>HYPERLINK("https://www.boe.es/gazeta/dias/1802/10/12/pdfs/GMD-1802-83.pdf#page=14","Abrir facsímil")</f>
        <v>Abrir facsímil</v>
      </c>
      <c r="K1632" s="15" t="s">
        <v>23</v>
      </c>
    </row>
    <row r="1633" spans="1:11" ht="42" customHeight="1">
      <c r="A1633" s="4" t="s">
        <v>4232</v>
      </c>
      <c r="B1633" s="5" t="s">
        <v>4233</v>
      </c>
      <c r="C1633" s="5" t="s">
        <v>18</v>
      </c>
      <c r="D1633" s="5" t="s">
        <v>19</v>
      </c>
      <c r="E1633" s="5" t="s">
        <v>20</v>
      </c>
      <c r="F1633" s="9">
        <v>84</v>
      </c>
      <c r="G1633" s="9">
        <v>1046</v>
      </c>
      <c r="H1633" s="5" t="s">
        <v>21</v>
      </c>
      <c r="I1633" s="5" t="s">
        <v>4234</v>
      </c>
      <c r="J1633" s="12" t="str">
        <f>HYPERLINK("https://www.boe.es/gazeta/dias/1802/10/15/pdfs/GMD-1802-84.pdf#page=14","Abrir facsímil")</f>
        <v>Abrir facsímil</v>
      </c>
      <c r="K1633" s="15" t="s">
        <v>23</v>
      </c>
    </row>
    <row r="1634" spans="1:11" ht="42" customHeight="1">
      <c r="A1634" s="4" t="s">
        <v>4235</v>
      </c>
      <c r="B1634" s="5" t="s">
        <v>4236</v>
      </c>
      <c r="C1634" s="5" t="s">
        <v>90</v>
      </c>
      <c r="D1634" s="5" t="s">
        <v>91</v>
      </c>
      <c r="E1634" s="5" t="s">
        <v>481</v>
      </c>
      <c r="F1634" s="9">
        <v>79</v>
      </c>
      <c r="G1634" s="9">
        <v>974</v>
      </c>
      <c r="H1634" s="5" t="s">
        <v>21</v>
      </c>
      <c r="I1634" s="5" t="s">
        <v>4237</v>
      </c>
      <c r="J1634" s="12" t="str">
        <f>HYPERLINK("https://www.boe.es/gazeta/dias/1802/09/28/pdfs/GMD-1802-79.pdf#page=10","Abrir facsímil")</f>
        <v>Abrir facsímil</v>
      </c>
      <c r="K1634" s="15" t="s">
        <v>23</v>
      </c>
    </row>
    <row r="1635" spans="1:11" ht="42" customHeight="1">
      <c r="A1635" s="4" t="s">
        <v>4238</v>
      </c>
      <c r="B1635" s="5" t="s">
        <v>4239</v>
      </c>
      <c r="C1635" s="5" t="s">
        <v>18</v>
      </c>
      <c r="D1635" s="5" t="s">
        <v>19</v>
      </c>
      <c r="E1635" s="5" t="s">
        <v>20</v>
      </c>
      <c r="F1635" s="9">
        <v>84</v>
      </c>
      <c r="G1635" s="9">
        <v>1044</v>
      </c>
      <c r="H1635" s="5" t="s">
        <v>21</v>
      </c>
      <c r="I1635" s="5" t="s">
        <v>4240</v>
      </c>
      <c r="J1635" s="12" t="str">
        <f>HYPERLINK("https://www.boe.es/gazeta/dias/1802/10/15/pdfs/GMD-1802-84.pdf#page=12","Abrir facsímil")</f>
        <v>Abrir facsímil</v>
      </c>
      <c r="K1635" s="15" t="s">
        <v>23</v>
      </c>
    </row>
    <row r="1636" spans="1:11" ht="42" customHeight="1">
      <c r="A1636" s="4" t="s">
        <v>4241</v>
      </c>
      <c r="B1636" s="5" t="s">
        <v>4242</v>
      </c>
      <c r="C1636" s="5" t="s">
        <v>18</v>
      </c>
      <c r="D1636" s="5" t="s">
        <v>19</v>
      </c>
      <c r="E1636" s="5" t="s">
        <v>31</v>
      </c>
      <c r="F1636" s="9">
        <v>27</v>
      </c>
      <c r="G1636" s="9">
        <v>319</v>
      </c>
      <c r="H1636" s="5" t="s">
        <v>21</v>
      </c>
      <c r="I1636" s="5" t="s">
        <v>4243</v>
      </c>
      <c r="J1636" s="12" t="str">
        <f>HYPERLINK("https://www.boe.es/gazeta/dias/1802/04/02/pdfs/GMD-1802-27.pdf#page=15","Abrir facsímil")</f>
        <v>Abrir facsímil</v>
      </c>
      <c r="K1636" s="15" t="s">
        <v>23</v>
      </c>
    </row>
    <row r="1637" spans="1:11" ht="42" customHeight="1">
      <c r="A1637" s="4" t="s">
        <v>4244</v>
      </c>
      <c r="B1637" s="5" t="s">
        <v>4245</v>
      </c>
      <c r="C1637" s="5" t="s">
        <v>18</v>
      </c>
      <c r="D1637" s="5" t="s">
        <v>19</v>
      </c>
      <c r="E1637" s="5" t="s">
        <v>44</v>
      </c>
      <c r="F1637" s="9">
        <v>99</v>
      </c>
      <c r="G1637" s="9">
        <v>1219</v>
      </c>
      <c r="H1637" s="5" t="s">
        <v>21</v>
      </c>
      <c r="I1637" s="5" t="s">
        <v>4246</v>
      </c>
      <c r="J1637" s="12" t="str">
        <f>HYPERLINK("https://www.boe.es/gazeta/dias/1802/12/07/pdfs/GMD-1802-99.pdf#page=3","Abrir facsímil")</f>
        <v>Abrir facsímil</v>
      </c>
      <c r="K1637" s="15" t="s">
        <v>23</v>
      </c>
    </row>
    <row r="1638" spans="1:11" ht="42" customHeight="1">
      <c r="A1638" s="4" t="s">
        <v>4247</v>
      </c>
      <c r="B1638" s="5" t="s">
        <v>4248</v>
      </c>
      <c r="C1638" s="5" t="s">
        <v>35</v>
      </c>
      <c r="D1638" s="5" t="s">
        <v>36</v>
      </c>
      <c r="E1638" s="5" t="s">
        <v>339</v>
      </c>
      <c r="F1638" s="9">
        <v>39</v>
      </c>
      <c r="G1638" s="9">
        <v>459</v>
      </c>
      <c r="H1638" s="5" t="s">
        <v>21</v>
      </c>
      <c r="I1638" s="5" t="s">
        <v>4249</v>
      </c>
      <c r="J1638" s="12" t="str">
        <f>HYPERLINK("https://www.boe.es/gazeta/dias/1802/05/14/pdfs/GMD-1802-39.pdf#page=3","Abrir facsímil")</f>
        <v>Abrir facsímil</v>
      </c>
      <c r="K1638" s="15" t="s">
        <v>23</v>
      </c>
    </row>
    <row r="1639" spans="1:11" ht="42" customHeight="1">
      <c r="A1639" s="4" t="s">
        <v>4247</v>
      </c>
      <c r="B1639" s="5" t="s">
        <v>4248</v>
      </c>
      <c r="C1639" s="5" t="s">
        <v>35</v>
      </c>
      <c r="D1639" s="5" t="s">
        <v>36</v>
      </c>
      <c r="E1639" s="5" t="s">
        <v>814</v>
      </c>
      <c r="F1639" s="9">
        <v>41</v>
      </c>
      <c r="G1639" s="9">
        <v>486</v>
      </c>
      <c r="H1639" s="5" t="s">
        <v>21</v>
      </c>
      <c r="I1639" s="5" t="s">
        <v>4250</v>
      </c>
      <c r="J1639" s="12" t="str">
        <f>HYPERLINK("https://www.boe.es/gazeta/dias/1802/05/21/pdfs/GMD-1802-41.pdf#page=2","Abrir facsímil")</f>
        <v>Abrir facsímil</v>
      </c>
      <c r="K1639" s="15" t="s">
        <v>23</v>
      </c>
    </row>
    <row r="1640" spans="1:11" ht="42" customHeight="1">
      <c r="A1640" s="4" t="s">
        <v>4251</v>
      </c>
      <c r="B1640" s="5" t="s">
        <v>4252</v>
      </c>
      <c r="C1640" s="5" t="s">
        <v>55</v>
      </c>
      <c r="D1640" s="5" t="s">
        <v>56</v>
      </c>
      <c r="E1640" s="5" t="s">
        <v>188</v>
      </c>
      <c r="F1640" s="9">
        <v>49</v>
      </c>
      <c r="G1640" s="9">
        <v>600</v>
      </c>
      <c r="H1640" s="5" t="s">
        <v>21</v>
      </c>
      <c r="I1640" s="5" t="s">
        <v>4253</v>
      </c>
      <c r="J1640" s="12" t="str">
        <f>HYPERLINK("https://www.boe.es/gazeta/dias/1802/06/18/pdfs/GMD-1802-49.pdf#page=12","Abrir facsímil")</f>
        <v>Abrir facsímil</v>
      </c>
      <c r="K1640" s="15" t="s">
        <v>23</v>
      </c>
    </row>
    <row r="1641" spans="1:11" ht="42" customHeight="1">
      <c r="A1641" s="4" t="s">
        <v>4254</v>
      </c>
      <c r="B1641" s="5" t="s">
        <v>4255</v>
      </c>
      <c r="C1641" s="5" t="s">
        <v>29</v>
      </c>
      <c r="D1641" s="5" t="s">
        <v>30</v>
      </c>
      <c r="E1641" s="5" t="s">
        <v>1381</v>
      </c>
      <c r="F1641" s="9">
        <v>17</v>
      </c>
      <c r="G1641" s="9">
        <v>185</v>
      </c>
      <c r="H1641" s="5" t="s">
        <v>21</v>
      </c>
      <c r="I1641" s="5" t="s">
        <v>4256</v>
      </c>
      <c r="J1641" s="12" t="str">
        <f>HYPERLINK("https://www.boe.es/gazeta/dias/1802/02/26/pdfs/GMD-1802-17.pdf#page=9","Abrir facsímil")</f>
        <v>Abrir facsímil</v>
      </c>
      <c r="K1641" s="15" t="s">
        <v>23</v>
      </c>
    </row>
    <row r="1642" spans="1:11" ht="42" customHeight="1">
      <c r="A1642" s="4" t="s">
        <v>4257</v>
      </c>
      <c r="B1642" s="5" t="s">
        <v>4258</v>
      </c>
      <c r="C1642" s="5" t="s">
        <v>90</v>
      </c>
      <c r="D1642" s="5" t="s">
        <v>91</v>
      </c>
      <c r="E1642" s="5" t="s">
        <v>900</v>
      </c>
      <c r="F1642" s="9">
        <v>16</v>
      </c>
      <c r="G1642" s="9">
        <v>169</v>
      </c>
      <c r="H1642" s="5" t="s">
        <v>21</v>
      </c>
      <c r="I1642" s="5" t="s">
        <v>4259</v>
      </c>
      <c r="J1642" s="12" t="str">
        <f>HYPERLINK("https://www.boe.es/gazeta/dias/1802/02/23/pdfs/GMD-1802-16.pdf#page=9","Abrir facsímil")</f>
        <v>Abrir facsímil</v>
      </c>
      <c r="K1642" s="15" t="s">
        <v>23</v>
      </c>
    </row>
    <row r="1643" spans="1:11" ht="42" customHeight="1">
      <c r="A1643" s="4" t="s">
        <v>4260</v>
      </c>
      <c r="B1643" s="5" t="s">
        <v>4261</v>
      </c>
      <c r="C1643" s="5" t="s">
        <v>29</v>
      </c>
      <c r="D1643" s="5" t="s">
        <v>30</v>
      </c>
      <c r="E1643" s="5" t="s">
        <v>49</v>
      </c>
      <c r="F1643" s="9">
        <v>83</v>
      </c>
      <c r="G1643" s="9">
        <v>1021</v>
      </c>
      <c r="H1643" s="5" t="s">
        <v>21</v>
      </c>
      <c r="I1643" s="5" t="s">
        <v>4262</v>
      </c>
      <c r="J1643" s="12" t="str">
        <f>HYPERLINK("https://www.boe.es/gazeta/dias/1802/10/12/pdfs/GMD-1802-83.pdf#page=9","Abrir facsímil")</f>
        <v>Abrir facsímil</v>
      </c>
      <c r="K1643" s="15" t="s">
        <v>23</v>
      </c>
    </row>
    <row r="1644" spans="1:11" ht="42" customHeight="1">
      <c r="A1644" s="4" t="s">
        <v>4263</v>
      </c>
      <c r="B1644" s="5" t="s">
        <v>4264</v>
      </c>
      <c r="C1644" s="5" t="s">
        <v>29</v>
      </c>
      <c r="D1644" s="5" t="s">
        <v>30</v>
      </c>
      <c r="E1644" s="5" t="s">
        <v>299</v>
      </c>
      <c r="F1644" s="9">
        <v>19</v>
      </c>
      <c r="G1644" s="9">
        <v>210</v>
      </c>
      <c r="H1644" s="5" t="s">
        <v>21</v>
      </c>
      <c r="I1644" s="5" t="s">
        <v>4265</v>
      </c>
      <c r="J1644" s="12" t="str">
        <f>HYPERLINK("https://www.boe.es/gazeta/dias/1802/03/05/pdfs/GMD-1802-19.pdf#page=10","Abrir facsímil")</f>
        <v>Abrir facsímil</v>
      </c>
      <c r="K1644" s="15" t="s">
        <v>23</v>
      </c>
    </row>
    <row r="1645" spans="1:11" ht="42" customHeight="1">
      <c r="A1645" s="4" t="s">
        <v>4263</v>
      </c>
      <c r="B1645" s="5" t="s">
        <v>4264</v>
      </c>
      <c r="C1645" s="5" t="s">
        <v>18</v>
      </c>
      <c r="D1645" s="5" t="s">
        <v>19</v>
      </c>
      <c r="E1645" s="5" t="s">
        <v>20</v>
      </c>
      <c r="F1645" s="9">
        <v>84</v>
      </c>
      <c r="G1645" s="9">
        <v>1042</v>
      </c>
      <c r="H1645" s="5" t="s">
        <v>21</v>
      </c>
      <c r="I1645" s="5" t="s">
        <v>4266</v>
      </c>
      <c r="J1645" s="12" t="str">
        <f>HYPERLINK("https://www.boe.es/gazeta/dias/1802/10/15/pdfs/GMD-1802-84.pdf#page=10","Abrir facsímil")</f>
        <v>Abrir facsímil</v>
      </c>
      <c r="K1645" s="15" t="s">
        <v>23</v>
      </c>
    </row>
    <row r="1646" spans="1:11" ht="42" customHeight="1">
      <c r="A1646" s="4" t="s">
        <v>4267</v>
      </c>
      <c r="B1646" s="5" t="s">
        <v>4268</v>
      </c>
      <c r="C1646" s="5" t="s">
        <v>29</v>
      </c>
      <c r="D1646" s="5" t="s">
        <v>30</v>
      </c>
      <c r="E1646" s="5" t="s">
        <v>299</v>
      </c>
      <c r="F1646" s="9">
        <v>19</v>
      </c>
      <c r="G1646" s="9">
        <v>211</v>
      </c>
      <c r="H1646" s="5" t="s">
        <v>21</v>
      </c>
      <c r="I1646" s="5" t="s">
        <v>4269</v>
      </c>
      <c r="J1646" s="12" t="str">
        <f>HYPERLINK("https://www.boe.es/gazeta/dias/1802/03/05/pdfs/GMD-1802-19.pdf#page=11","Abrir facsímil")</f>
        <v>Abrir facsímil</v>
      </c>
      <c r="K1646" s="15" t="s">
        <v>23</v>
      </c>
    </row>
    <row r="1647" spans="1:11" ht="42" customHeight="1">
      <c r="A1647" s="4" t="s">
        <v>4270</v>
      </c>
      <c r="B1647" s="5" t="s">
        <v>4271</v>
      </c>
      <c r="C1647" s="5" t="s">
        <v>18</v>
      </c>
      <c r="D1647" s="5" t="s">
        <v>19</v>
      </c>
      <c r="E1647" s="5" t="s">
        <v>1332</v>
      </c>
      <c r="F1647" s="9">
        <v>4</v>
      </c>
      <c r="G1647" s="9">
        <v>31</v>
      </c>
      <c r="H1647" s="5" t="s">
        <v>21</v>
      </c>
      <c r="I1647" s="5" t="s">
        <v>4272</v>
      </c>
      <c r="J1647" s="12" t="str">
        <f>HYPERLINK("https://www.boe.es/gazeta/dias/1802/01/12/pdfs/GMD-1802-4.pdf#page=3","Abrir facsímil")</f>
        <v>Abrir facsímil</v>
      </c>
      <c r="K1647" s="15" t="s">
        <v>23</v>
      </c>
    </row>
    <row r="1648" spans="1:11" ht="42" customHeight="1">
      <c r="A1648" s="4" t="s">
        <v>4273</v>
      </c>
      <c r="B1648" s="5" t="s">
        <v>4274</v>
      </c>
      <c r="C1648" s="5" t="s">
        <v>29</v>
      </c>
      <c r="D1648" s="5" t="s">
        <v>30</v>
      </c>
      <c r="E1648" s="5" t="s">
        <v>749</v>
      </c>
      <c r="F1648" s="9">
        <v>97</v>
      </c>
      <c r="G1648" s="9">
        <v>1203</v>
      </c>
      <c r="H1648" s="5" t="s">
        <v>21</v>
      </c>
      <c r="I1648" s="5" t="s">
        <v>4275</v>
      </c>
      <c r="J1648" s="12" t="str">
        <f>HYPERLINK("https://www.boe.es/gazeta/dias/1802/11/30/pdfs/GMD-1802-97.pdf#page=11","Abrir facsímil")</f>
        <v>Abrir facsímil</v>
      </c>
      <c r="K1648" s="15" t="s">
        <v>23</v>
      </c>
    </row>
    <row r="1649" spans="1:11" ht="42" customHeight="1">
      <c r="A1649" s="4" t="s">
        <v>4276</v>
      </c>
      <c r="B1649" s="5" t="s">
        <v>4277</v>
      </c>
      <c r="C1649" s="5" t="s">
        <v>29</v>
      </c>
      <c r="D1649" s="5" t="s">
        <v>30</v>
      </c>
      <c r="E1649" s="5" t="s">
        <v>590</v>
      </c>
      <c r="F1649" s="9">
        <v>38</v>
      </c>
      <c r="G1649" s="9">
        <v>454</v>
      </c>
      <c r="H1649" s="5" t="s">
        <v>21</v>
      </c>
      <c r="I1649" s="5" t="s">
        <v>4278</v>
      </c>
      <c r="J1649" s="12" t="str">
        <f>HYPERLINK("https://www.boe.es/gazeta/dias/1802/05/11/pdfs/GMD-1802-38.pdf#page=10","Abrir facsímil")</f>
        <v>Abrir facsímil</v>
      </c>
      <c r="K1649" s="15" t="s">
        <v>23</v>
      </c>
    </row>
    <row r="1650" spans="1:11" ht="42" customHeight="1">
      <c r="A1650" s="4" t="s">
        <v>4279</v>
      </c>
      <c r="B1650" s="5" t="s">
        <v>4280</v>
      </c>
      <c r="C1650" s="5" t="s">
        <v>18</v>
      </c>
      <c r="D1650" s="5" t="s">
        <v>19</v>
      </c>
      <c r="E1650" s="5" t="s">
        <v>49</v>
      </c>
      <c r="F1650" s="9">
        <v>83</v>
      </c>
      <c r="G1650" s="9">
        <v>1024</v>
      </c>
      <c r="H1650" s="5" t="s">
        <v>21</v>
      </c>
      <c r="I1650" s="5" t="s">
        <v>4281</v>
      </c>
      <c r="J1650" s="12" t="str">
        <f>HYPERLINK("https://www.boe.es/gazeta/dias/1802/10/12/pdfs/GMD-1802-83.pdf#page=12","Abrir facsímil")</f>
        <v>Abrir facsímil</v>
      </c>
      <c r="K1650" s="15" t="s">
        <v>23</v>
      </c>
    </row>
    <row r="1651" spans="1:11" ht="42" customHeight="1">
      <c r="A1651" s="4" t="s">
        <v>4282</v>
      </c>
      <c r="B1651" s="5" t="s">
        <v>4283</v>
      </c>
      <c r="C1651" s="5" t="s">
        <v>55</v>
      </c>
      <c r="D1651" s="5" t="s">
        <v>56</v>
      </c>
      <c r="E1651" s="5" t="s">
        <v>389</v>
      </c>
      <c r="F1651" s="9">
        <v>96</v>
      </c>
      <c r="G1651" s="9">
        <v>1192</v>
      </c>
      <c r="H1651" s="5" t="s">
        <v>21</v>
      </c>
      <c r="I1651" s="5" t="s">
        <v>4284</v>
      </c>
      <c r="J1651" s="12" t="str">
        <f>HYPERLINK("https://www.boe.es/gazeta/dias/1802/11/26/pdfs/GMD-1802-96.pdf#page=12","Abrir facsímil")</f>
        <v>Abrir facsímil</v>
      </c>
      <c r="K1651" s="15" t="s">
        <v>23</v>
      </c>
    </row>
    <row r="1652" spans="1:11" ht="42" customHeight="1">
      <c r="A1652" s="4" t="s">
        <v>4285</v>
      </c>
      <c r="B1652" s="5" t="s">
        <v>4286</v>
      </c>
      <c r="C1652" s="5" t="s">
        <v>42</v>
      </c>
      <c r="D1652" s="5" t="s">
        <v>43</v>
      </c>
      <c r="E1652" s="5" t="s">
        <v>44</v>
      </c>
      <c r="F1652" s="9">
        <v>99</v>
      </c>
      <c r="G1652" s="9" t="s">
        <v>779</v>
      </c>
      <c r="H1652" s="5" t="s">
        <v>21</v>
      </c>
      <c r="I1652" s="5" t="s">
        <v>4287</v>
      </c>
      <c r="J1652" s="12" t="str">
        <f>HYPERLINK("https://www.boe.es/gazeta/dias/1802/12/07/pdfs/GMD-D-1802-99.pdf#page=13","Abrir facsímil")</f>
        <v>Abrir facsímil</v>
      </c>
      <c r="K1652" s="15" t="s">
        <v>23</v>
      </c>
    </row>
    <row r="1653" spans="1:11" ht="42" customHeight="1">
      <c r="A1653" s="4" t="s">
        <v>4288</v>
      </c>
      <c r="B1653" s="5" t="s">
        <v>4289</v>
      </c>
      <c r="C1653" s="5" t="s">
        <v>29</v>
      </c>
      <c r="D1653" s="5" t="s">
        <v>30</v>
      </c>
      <c r="E1653" s="5" t="s">
        <v>121</v>
      </c>
      <c r="F1653" s="9">
        <v>87</v>
      </c>
      <c r="G1653" s="9">
        <v>1081</v>
      </c>
      <c r="H1653" s="5" t="s">
        <v>21</v>
      </c>
      <c r="I1653" s="5" t="s">
        <v>4290</v>
      </c>
      <c r="J1653" s="12" t="str">
        <f>HYPERLINK("https://www.boe.es/gazeta/dias/1802/10/26/pdfs/GMD-1802-87.pdf#page=9","Abrir facsímil")</f>
        <v>Abrir facsímil</v>
      </c>
      <c r="K1653" s="15" t="s">
        <v>23</v>
      </c>
    </row>
    <row r="1654" spans="1:11" ht="42" customHeight="1">
      <c r="A1654" s="4" t="s">
        <v>4291</v>
      </c>
      <c r="B1654" s="5" t="s">
        <v>4292</v>
      </c>
      <c r="C1654" s="5" t="s">
        <v>29</v>
      </c>
      <c r="D1654" s="5" t="s">
        <v>30</v>
      </c>
      <c r="E1654" s="5" t="s">
        <v>163</v>
      </c>
      <c r="F1654" s="9">
        <v>1</v>
      </c>
      <c r="G1654" s="9">
        <v>7</v>
      </c>
      <c r="H1654" s="5" t="s">
        <v>21</v>
      </c>
      <c r="I1654" s="5" t="s">
        <v>4293</v>
      </c>
      <c r="J1654" s="12" t="str">
        <f>HYPERLINK("https://www.boe.es/gazeta/dias/1802/01/01/pdfs/GMD-1802-1.pdf#page=7","Abrir facsímil")</f>
        <v>Abrir facsímil</v>
      </c>
      <c r="K1654" s="15" t="s">
        <v>23</v>
      </c>
    </row>
    <row r="1655" spans="1:11" ht="42" customHeight="1">
      <c r="A1655" s="4" t="s">
        <v>4294</v>
      </c>
      <c r="B1655" s="5" t="s">
        <v>4295</v>
      </c>
      <c r="C1655" s="5" t="s">
        <v>55</v>
      </c>
      <c r="D1655" s="5" t="s">
        <v>56</v>
      </c>
      <c r="E1655" s="5" t="s">
        <v>745</v>
      </c>
      <c r="F1655" s="9">
        <v>92</v>
      </c>
      <c r="G1655" s="9">
        <v>1140</v>
      </c>
      <c r="H1655" s="5" t="s">
        <v>21</v>
      </c>
      <c r="I1655" s="5" t="s">
        <v>4296</v>
      </c>
      <c r="J1655" s="12" t="str">
        <f>HYPERLINK("https://www.boe.es/gazeta/dias/1802/11/12/pdfs/GMD-1802-92.pdf#page=8","Abrir facsímil")</f>
        <v>Abrir facsímil</v>
      </c>
      <c r="K1655" s="15" t="s">
        <v>23</v>
      </c>
    </row>
    <row r="1656" spans="1:11" ht="42" customHeight="1">
      <c r="A1656" s="4" t="s">
        <v>4297</v>
      </c>
      <c r="B1656" s="5" t="s">
        <v>4298</v>
      </c>
      <c r="C1656" s="5" t="s">
        <v>42</v>
      </c>
      <c r="D1656" s="5" t="s">
        <v>43</v>
      </c>
      <c r="E1656" s="5" t="s">
        <v>44</v>
      </c>
      <c r="F1656" s="9">
        <v>99</v>
      </c>
      <c r="G1656" s="9" t="s">
        <v>558</v>
      </c>
      <c r="H1656" s="5" t="s">
        <v>21</v>
      </c>
      <c r="I1656" s="5" t="s">
        <v>4299</v>
      </c>
      <c r="J1656" s="12" t="str">
        <f>HYPERLINK("https://www.boe.es/gazeta/dias/1802/12/07/pdfs/GMD-D-1802-99.pdf#page=1","Abrir facsímil")</f>
        <v>Abrir facsímil</v>
      </c>
      <c r="K1656" s="15" t="s">
        <v>23</v>
      </c>
    </row>
    <row r="1657" spans="1:11" ht="42" customHeight="1">
      <c r="A1657" s="4" t="s">
        <v>4300</v>
      </c>
      <c r="B1657" s="5" t="s">
        <v>4301</v>
      </c>
      <c r="C1657" s="5" t="s">
        <v>29</v>
      </c>
      <c r="D1657" s="5" t="s">
        <v>30</v>
      </c>
      <c r="E1657" s="5" t="s">
        <v>439</v>
      </c>
      <c r="F1657" s="9">
        <v>76</v>
      </c>
      <c r="G1657" s="9">
        <v>939</v>
      </c>
      <c r="H1657" s="5" t="s">
        <v>21</v>
      </c>
      <c r="I1657" s="5" t="s">
        <v>4302</v>
      </c>
      <c r="J1657" s="12" t="str">
        <f>HYPERLINK("https://www.boe.es/gazeta/dias/1802/09/17/pdfs/GMD-1802-76.pdf#page=11","Abrir facsímil")</f>
        <v>Abrir facsímil</v>
      </c>
      <c r="K1657" s="15" t="s">
        <v>23</v>
      </c>
    </row>
    <row r="1658" spans="1:11" ht="42" customHeight="1">
      <c r="A1658" s="4" t="s">
        <v>4303</v>
      </c>
      <c r="B1658" s="5" t="s">
        <v>4304</v>
      </c>
      <c r="C1658" s="5" t="s">
        <v>2417</v>
      </c>
      <c r="D1658" s="5" t="s">
        <v>2418</v>
      </c>
      <c r="E1658" s="5" t="s">
        <v>206</v>
      </c>
      <c r="F1658" s="9">
        <v>22</v>
      </c>
      <c r="G1658" s="9">
        <v>246</v>
      </c>
      <c r="H1658" s="5" t="s">
        <v>21</v>
      </c>
      <c r="I1658" s="5" t="s">
        <v>4305</v>
      </c>
      <c r="J1658" s="12" t="str">
        <f>HYPERLINK("https://www.boe.es/gazeta/dias/1802/03/16/pdfs/GMD-C-1802-22.pdf#page=2","Abrir facsímil")</f>
        <v>Abrir facsímil</v>
      </c>
      <c r="K1658" s="15" t="s">
        <v>23</v>
      </c>
    </row>
    <row r="1659" spans="1:11" ht="42" customHeight="1">
      <c r="A1659" s="4" t="s">
        <v>4303</v>
      </c>
      <c r="B1659" s="5" t="s">
        <v>4304</v>
      </c>
      <c r="C1659" s="5" t="s">
        <v>18</v>
      </c>
      <c r="D1659" s="5" t="s">
        <v>19</v>
      </c>
      <c r="E1659" s="5" t="s">
        <v>167</v>
      </c>
      <c r="F1659" s="9">
        <v>23</v>
      </c>
      <c r="G1659" s="9">
        <v>260</v>
      </c>
      <c r="H1659" s="5" t="s">
        <v>21</v>
      </c>
      <c r="I1659" s="5" t="s">
        <v>4306</v>
      </c>
      <c r="J1659" s="12" t="str">
        <f>HYPERLINK("https://www.boe.es/gazeta/dias/1802/03/19/pdfs/GMD-1802-23.pdf#page=8","Abrir facsímil")</f>
        <v>Abrir facsímil</v>
      </c>
      <c r="K1659" s="15" t="s">
        <v>23</v>
      </c>
    </row>
    <row r="1660" spans="1:11" ht="42" customHeight="1">
      <c r="A1660" s="4" t="s">
        <v>4303</v>
      </c>
      <c r="B1660" s="5" t="s">
        <v>4304</v>
      </c>
      <c r="C1660" s="5" t="s">
        <v>18</v>
      </c>
      <c r="D1660" s="5" t="s">
        <v>19</v>
      </c>
      <c r="E1660" s="5" t="s">
        <v>332</v>
      </c>
      <c r="F1660" s="9">
        <v>24</v>
      </c>
      <c r="G1660" s="9">
        <v>273</v>
      </c>
      <c r="H1660" s="5" t="s">
        <v>21</v>
      </c>
      <c r="I1660" s="5" t="s">
        <v>4307</v>
      </c>
      <c r="J1660" s="12" t="str">
        <f>HYPERLINK("https://www.boe.es/gazeta/dias/1802/03/23/pdfs/GMD-1802-24.pdf#page=9","Abrir facsímil")</f>
        <v>Abrir facsímil</v>
      </c>
      <c r="K1660" s="15" t="s">
        <v>23</v>
      </c>
    </row>
    <row r="1661" spans="1:11" ht="42" customHeight="1">
      <c r="A1661" s="4" t="s">
        <v>4303</v>
      </c>
      <c r="B1661" s="5" t="s">
        <v>4304</v>
      </c>
      <c r="C1661" s="5" t="s">
        <v>18</v>
      </c>
      <c r="D1661" s="5" t="s">
        <v>19</v>
      </c>
      <c r="E1661" s="5" t="s">
        <v>1749</v>
      </c>
      <c r="F1661" s="9">
        <v>60</v>
      </c>
      <c r="G1661" s="9">
        <v>730</v>
      </c>
      <c r="H1661" s="5" t="s">
        <v>21</v>
      </c>
      <c r="I1661" s="5" t="s">
        <v>4308</v>
      </c>
      <c r="J1661" s="12" t="str">
        <f>HYPERLINK("https://www.boe.es/gazeta/dias/1802/07/23/pdfs/GMD-1802-60.pdf#page=14","Abrir facsímil")</f>
        <v>Abrir facsímil</v>
      </c>
      <c r="K1661" s="15" t="s">
        <v>23</v>
      </c>
    </row>
    <row r="1662" spans="1:11" ht="42" customHeight="1">
      <c r="A1662" s="4" t="s">
        <v>4303</v>
      </c>
      <c r="B1662" s="5" t="s">
        <v>4304</v>
      </c>
      <c r="C1662" s="5" t="s">
        <v>18</v>
      </c>
      <c r="D1662" s="5" t="s">
        <v>19</v>
      </c>
      <c r="E1662" s="5" t="s">
        <v>517</v>
      </c>
      <c r="F1662" s="9">
        <v>61</v>
      </c>
      <c r="G1662" s="9">
        <v>742</v>
      </c>
      <c r="H1662" s="5" t="s">
        <v>21</v>
      </c>
      <c r="I1662" s="5" t="s">
        <v>4309</v>
      </c>
      <c r="J1662" s="12" t="str">
        <f>HYPERLINK("https://www.boe.es/gazeta/dias/1802/07/27/pdfs/GMD-1802-61.pdf#page=10","Abrir facsímil")</f>
        <v>Abrir facsímil</v>
      </c>
      <c r="K1662" s="15" t="s">
        <v>23</v>
      </c>
    </row>
    <row r="1663" spans="1:11" ht="42" customHeight="1">
      <c r="A1663" s="4" t="s">
        <v>4303</v>
      </c>
      <c r="B1663" s="5" t="s">
        <v>4304</v>
      </c>
      <c r="C1663" s="5" t="s">
        <v>18</v>
      </c>
      <c r="D1663" s="5" t="s">
        <v>19</v>
      </c>
      <c r="E1663" s="5" t="s">
        <v>292</v>
      </c>
      <c r="F1663" s="9">
        <v>62</v>
      </c>
      <c r="G1663" s="9">
        <v>754</v>
      </c>
      <c r="H1663" s="5" t="s">
        <v>21</v>
      </c>
      <c r="I1663" s="5" t="s">
        <v>4310</v>
      </c>
      <c r="J1663" s="12" t="str">
        <f>HYPERLINK("https://www.boe.es/gazeta/dias/1802/07/30/pdfs/GMD-1802-62.pdf#page=10","Abrir facsímil")</f>
        <v>Abrir facsímil</v>
      </c>
      <c r="K1663" s="15" t="s">
        <v>23</v>
      </c>
    </row>
    <row r="1664" spans="1:11" ht="42" customHeight="1">
      <c r="A1664" s="4" t="s">
        <v>4303</v>
      </c>
      <c r="B1664" s="5" t="s">
        <v>4304</v>
      </c>
      <c r="C1664" s="5" t="s">
        <v>18</v>
      </c>
      <c r="D1664" s="5" t="s">
        <v>19</v>
      </c>
      <c r="E1664" s="5" t="s">
        <v>1185</v>
      </c>
      <c r="F1664" s="9">
        <v>93</v>
      </c>
      <c r="G1664" s="9">
        <v>1150</v>
      </c>
      <c r="H1664" s="5" t="s">
        <v>21</v>
      </c>
      <c r="I1664" s="5" t="s">
        <v>4311</v>
      </c>
      <c r="J1664" s="12" t="str">
        <f>HYPERLINK("https://www.boe.es/gazeta/dias/1802/11/16/pdfs/GMD-1802-93.pdf#page=10","Abrir facsímil")</f>
        <v>Abrir facsímil</v>
      </c>
      <c r="K1664" s="15" t="s">
        <v>23</v>
      </c>
    </row>
    <row r="1665" spans="1:11" ht="42" customHeight="1">
      <c r="A1665" s="4" t="s">
        <v>4303</v>
      </c>
      <c r="B1665" s="5" t="s">
        <v>4304</v>
      </c>
      <c r="C1665" s="5" t="s">
        <v>35</v>
      </c>
      <c r="D1665" s="5" t="s">
        <v>36</v>
      </c>
      <c r="E1665" s="5" t="s">
        <v>185</v>
      </c>
      <c r="F1665" s="9">
        <v>95</v>
      </c>
      <c r="G1665" s="9">
        <v>1174</v>
      </c>
      <c r="H1665" s="5" t="s">
        <v>21</v>
      </c>
      <c r="I1665" s="5" t="s">
        <v>4312</v>
      </c>
      <c r="J1665" s="12" t="str">
        <f>HYPERLINK("https://www.boe.es/gazeta/dias/1802/11/23/pdfs/GMD-1802-95.pdf#page=10","Abrir facsímil")</f>
        <v>Abrir facsímil</v>
      </c>
      <c r="K1665" s="15" t="s">
        <v>23</v>
      </c>
    </row>
    <row r="1666" spans="1:11" ht="42" customHeight="1">
      <c r="A1666" s="4" t="s">
        <v>4313</v>
      </c>
      <c r="B1666" s="5" t="s">
        <v>4314</v>
      </c>
      <c r="C1666" s="5" t="s">
        <v>35</v>
      </c>
      <c r="D1666" s="5" t="s">
        <v>36</v>
      </c>
      <c r="E1666" s="5" t="s">
        <v>823</v>
      </c>
      <c r="F1666" s="9">
        <v>94</v>
      </c>
      <c r="G1666" s="9">
        <v>1162</v>
      </c>
      <c r="H1666" s="5" t="s">
        <v>21</v>
      </c>
      <c r="I1666" s="5" t="s">
        <v>4315</v>
      </c>
      <c r="J1666" s="12" t="str">
        <f>HYPERLINK("https://www.boe.es/gazeta/dias/1802/11/19/pdfs/GMD-1802-94.pdf#page=10","Abrir facsímil")</f>
        <v>Abrir facsímil</v>
      </c>
      <c r="K1666" s="15" t="s">
        <v>23</v>
      </c>
    </row>
    <row r="1667" spans="1:11" ht="42" customHeight="1">
      <c r="A1667" s="4" t="s">
        <v>4316</v>
      </c>
      <c r="B1667" s="5" t="s">
        <v>4317</v>
      </c>
      <c r="C1667" s="5" t="s">
        <v>18</v>
      </c>
      <c r="D1667" s="5" t="s">
        <v>19</v>
      </c>
      <c r="E1667" s="5" t="s">
        <v>900</v>
      </c>
      <c r="F1667" s="9">
        <v>16</v>
      </c>
      <c r="G1667" s="9">
        <v>169</v>
      </c>
      <c r="H1667" s="5" t="s">
        <v>21</v>
      </c>
      <c r="I1667" s="5" t="s">
        <v>4318</v>
      </c>
      <c r="J1667" s="12" t="str">
        <f>HYPERLINK("https://www.boe.es/gazeta/dias/1802/02/23/pdfs/GMD-1802-16.pdf#page=9","Abrir facsímil")</f>
        <v>Abrir facsímil</v>
      </c>
      <c r="K1667" s="15" t="s">
        <v>23</v>
      </c>
    </row>
    <row r="1668" spans="1:11" ht="42" customHeight="1">
      <c r="A1668" s="4" t="s">
        <v>4319</v>
      </c>
      <c r="B1668" s="5" t="s">
        <v>4320</v>
      </c>
      <c r="C1668" s="5" t="s">
        <v>29</v>
      </c>
      <c r="D1668" s="5" t="s">
        <v>30</v>
      </c>
      <c r="E1668" s="5" t="s">
        <v>710</v>
      </c>
      <c r="F1668" s="9">
        <v>85</v>
      </c>
      <c r="G1668" s="9">
        <v>1058</v>
      </c>
      <c r="H1668" s="5" t="s">
        <v>21</v>
      </c>
      <c r="I1668" s="5" t="s">
        <v>4321</v>
      </c>
      <c r="J1668" s="12" t="str">
        <f>HYPERLINK("https://www.boe.es/gazeta/dias/1802/10/19/pdfs/GMD-1802-85.pdf#page=10","Abrir facsímil")</f>
        <v>Abrir facsímil</v>
      </c>
      <c r="K1668" s="15" t="s">
        <v>23</v>
      </c>
    </row>
    <row r="1669" spans="1:11" ht="42" customHeight="1">
      <c r="A1669" s="4" t="s">
        <v>4322</v>
      </c>
      <c r="B1669" s="5" t="s">
        <v>4323</v>
      </c>
      <c r="C1669" s="5" t="s">
        <v>18</v>
      </c>
      <c r="D1669" s="5" t="s">
        <v>19</v>
      </c>
      <c r="E1669" s="5" t="s">
        <v>20</v>
      </c>
      <c r="F1669" s="9">
        <v>84</v>
      </c>
      <c r="G1669" s="9">
        <v>1043</v>
      </c>
      <c r="H1669" s="5" t="s">
        <v>21</v>
      </c>
      <c r="I1669" s="5" t="s">
        <v>4324</v>
      </c>
      <c r="J1669" s="12" t="str">
        <f>HYPERLINK("https://www.boe.es/gazeta/dias/1802/10/15/pdfs/GMD-1802-84.pdf#page=11","Abrir facsímil")</f>
        <v>Abrir facsímil</v>
      </c>
      <c r="K1669" s="15" t="s">
        <v>23</v>
      </c>
    </row>
    <row r="1670" spans="1:11" ht="42" customHeight="1">
      <c r="A1670" s="4" t="s">
        <v>4325</v>
      </c>
      <c r="B1670" s="5" t="s">
        <v>4326</v>
      </c>
      <c r="C1670" s="5" t="s">
        <v>90</v>
      </c>
      <c r="D1670" s="5" t="s">
        <v>91</v>
      </c>
      <c r="E1670" s="5" t="s">
        <v>131</v>
      </c>
      <c r="F1670" s="9">
        <v>11</v>
      </c>
      <c r="G1670" s="9">
        <v>115</v>
      </c>
      <c r="H1670" s="5" t="s">
        <v>21</v>
      </c>
      <c r="I1670" s="5" t="s">
        <v>4327</v>
      </c>
      <c r="J1670" s="12" t="str">
        <f>HYPERLINK("https://www.boe.es/gazeta/dias/1802/02/05/pdfs/GMD-1802-11.pdf#page=11","Abrir facsímil")</f>
        <v>Abrir facsímil</v>
      </c>
      <c r="K1670" s="15" t="s">
        <v>23</v>
      </c>
    </row>
    <row r="1671" spans="1:11" ht="42" customHeight="1">
      <c r="A1671" s="4" t="s">
        <v>4328</v>
      </c>
      <c r="B1671" s="5" t="s">
        <v>4329</v>
      </c>
      <c r="C1671" s="5" t="s">
        <v>18</v>
      </c>
      <c r="D1671" s="5" t="s">
        <v>19</v>
      </c>
      <c r="E1671" s="5" t="s">
        <v>196</v>
      </c>
      <c r="F1671" s="9">
        <v>2</v>
      </c>
      <c r="G1671" s="9">
        <v>14</v>
      </c>
      <c r="H1671" s="5" t="s">
        <v>21</v>
      </c>
      <c r="I1671" s="5" t="s">
        <v>4330</v>
      </c>
      <c r="J1671" s="12" t="str">
        <f>HYPERLINK("https://www.boe.es/gazeta/dias/1802/01/05/pdfs/GMD-1802-2.pdf#page=6","Abrir facsímil")</f>
        <v>Abrir facsímil</v>
      </c>
      <c r="K1671" s="15" t="s">
        <v>23</v>
      </c>
    </row>
    <row r="1672" spans="1:11" ht="42" customHeight="1">
      <c r="A1672" s="4" t="s">
        <v>4331</v>
      </c>
      <c r="B1672" s="5" t="s">
        <v>4332</v>
      </c>
      <c r="C1672" s="5" t="s">
        <v>55</v>
      </c>
      <c r="D1672" s="5" t="s">
        <v>56</v>
      </c>
      <c r="E1672" s="5" t="s">
        <v>1185</v>
      </c>
      <c r="F1672" s="9">
        <v>93</v>
      </c>
      <c r="G1672" s="9">
        <v>1142</v>
      </c>
      <c r="H1672" s="5" t="s">
        <v>21</v>
      </c>
      <c r="I1672" s="5" t="s">
        <v>4333</v>
      </c>
      <c r="J1672" s="12" t="str">
        <f>HYPERLINK("https://www.boe.es/gazeta/dias/1802/11/16/pdfs/GMD-1802-93.pdf#page=2","Abrir facsímil")</f>
        <v>Abrir facsímil</v>
      </c>
      <c r="K1672" s="15" t="s">
        <v>23</v>
      </c>
    </row>
    <row r="1673" spans="1:11" ht="42" customHeight="1">
      <c r="A1673" s="4" t="s">
        <v>4334</v>
      </c>
      <c r="B1673" s="5" t="s">
        <v>4335</v>
      </c>
      <c r="C1673" s="5" t="s">
        <v>35</v>
      </c>
      <c r="D1673" s="5" t="s">
        <v>36</v>
      </c>
      <c r="E1673" s="5" t="s">
        <v>339</v>
      </c>
      <c r="F1673" s="9">
        <v>39</v>
      </c>
      <c r="G1673" s="9">
        <v>459</v>
      </c>
      <c r="H1673" s="5" t="s">
        <v>21</v>
      </c>
      <c r="I1673" s="5" t="s">
        <v>4336</v>
      </c>
      <c r="J1673" s="12" t="str">
        <f>HYPERLINK("https://www.boe.es/gazeta/dias/1802/05/14/pdfs/GMD-1802-39.pdf#page=3","Abrir facsímil")</f>
        <v>Abrir facsímil</v>
      </c>
      <c r="K1673" s="15" t="s">
        <v>23</v>
      </c>
    </row>
    <row r="1674" spans="1:11" ht="42" customHeight="1">
      <c r="A1674" s="4" t="s">
        <v>4337</v>
      </c>
      <c r="B1674" s="5" t="s">
        <v>4338</v>
      </c>
      <c r="C1674" s="5" t="s">
        <v>18</v>
      </c>
      <c r="D1674" s="5" t="s">
        <v>19</v>
      </c>
      <c r="E1674" s="5" t="s">
        <v>152</v>
      </c>
      <c r="F1674" s="9">
        <v>25</v>
      </c>
      <c r="G1674" s="9">
        <v>285</v>
      </c>
      <c r="H1674" s="5" t="s">
        <v>21</v>
      </c>
      <c r="I1674" s="5" t="s">
        <v>4339</v>
      </c>
      <c r="J1674" s="12" t="str">
        <f>HYPERLINK("https://www.boe.es/gazeta/dias/1802/03/26/pdfs/GMD-1802-25.pdf#page=9","Abrir facsímil")</f>
        <v>Abrir facsímil</v>
      </c>
      <c r="K1674" s="15" t="s">
        <v>23</v>
      </c>
    </row>
    <row r="1675" spans="1:11" ht="42" customHeight="1">
      <c r="A1675" s="4" t="s">
        <v>4340</v>
      </c>
      <c r="B1675" s="5" t="s">
        <v>4341</v>
      </c>
      <c r="C1675" s="5" t="s">
        <v>18</v>
      </c>
      <c r="D1675" s="5" t="s">
        <v>19</v>
      </c>
      <c r="E1675" s="5" t="s">
        <v>152</v>
      </c>
      <c r="F1675" s="9">
        <v>25</v>
      </c>
      <c r="G1675" s="9">
        <v>284</v>
      </c>
      <c r="H1675" s="5" t="s">
        <v>21</v>
      </c>
      <c r="I1675" s="5" t="s">
        <v>4342</v>
      </c>
      <c r="J1675" s="12" t="str">
        <f>HYPERLINK("https://www.boe.es/gazeta/dias/1802/03/26/pdfs/GMD-1802-25.pdf#page=8","Abrir facsímil")</f>
        <v>Abrir facsímil</v>
      </c>
      <c r="K1675" s="15" t="s">
        <v>23</v>
      </c>
    </row>
    <row r="1676" spans="1:11" ht="42" customHeight="1">
      <c r="A1676" s="4" t="s">
        <v>4340</v>
      </c>
      <c r="B1676" s="5" t="s">
        <v>4341</v>
      </c>
      <c r="C1676" s="5" t="s">
        <v>18</v>
      </c>
      <c r="D1676" s="5" t="s">
        <v>19</v>
      </c>
      <c r="E1676" s="5" t="s">
        <v>152</v>
      </c>
      <c r="F1676" s="9">
        <v>25</v>
      </c>
      <c r="G1676" s="9">
        <v>285</v>
      </c>
      <c r="H1676" s="5" t="s">
        <v>21</v>
      </c>
      <c r="I1676" s="5" t="s">
        <v>4343</v>
      </c>
      <c r="J1676" s="12" t="str">
        <f>HYPERLINK("https://www.boe.es/gazeta/dias/1802/03/26/pdfs/GMD-1802-25.pdf#page=9","Abrir facsímil")</f>
        <v>Abrir facsímil</v>
      </c>
      <c r="K1676" s="15" t="s">
        <v>23</v>
      </c>
    </row>
    <row r="1677" spans="1:11" ht="42" customHeight="1">
      <c r="A1677" s="4" t="s">
        <v>4344</v>
      </c>
      <c r="B1677" s="5" t="s">
        <v>4345</v>
      </c>
      <c r="C1677" s="5" t="s">
        <v>18</v>
      </c>
      <c r="D1677" s="5" t="s">
        <v>19</v>
      </c>
      <c r="E1677" s="5" t="s">
        <v>655</v>
      </c>
      <c r="F1677" s="9">
        <v>46</v>
      </c>
      <c r="G1677" s="9">
        <v>562</v>
      </c>
      <c r="H1677" s="5" t="s">
        <v>21</v>
      </c>
      <c r="I1677" s="5" t="s">
        <v>4346</v>
      </c>
      <c r="J1677" s="12" t="str">
        <f>HYPERLINK("https://www.boe.es/gazeta/dias/1802/06/08/pdfs/GMD-1802-46.pdf#page=14","Abrir facsímil")</f>
        <v>Abrir facsímil</v>
      </c>
      <c r="K1677" s="15" t="s">
        <v>23</v>
      </c>
    </row>
    <row r="1678" spans="1:11" ht="42" customHeight="1">
      <c r="A1678" s="4" t="s">
        <v>4347</v>
      </c>
      <c r="B1678" s="5" t="s">
        <v>4348</v>
      </c>
      <c r="C1678" s="5" t="s">
        <v>29</v>
      </c>
      <c r="D1678" s="5" t="s">
        <v>30</v>
      </c>
      <c r="E1678" s="5" t="s">
        <v>165</v>
      </c>
      <c r="F1678" s="9">
        <v>3</v>
      </c>
      <c r="G1678" s="9">
        <v>25</v>
      </c>
      <c r="H1678" s="5" t="s">
        <v>21</v>
      </c>
      <c r="I1678" s="5" t="s">
        <v>4349</v>
      </c>
      <c r="J1678" s="12" t="str">
        <f>HYPERLINK("https://www.boe.es/gazeta/dias/1802/01/08/pdfs/GMD-1802-3.pdf#page=5","Abrir facsímil")</f>
        <v>Abrir facsímil</v>
      </c>
      <c r="K1678" s="15" t="s">
        <v>23</v>
      </c>
    </row>
    <row r="1679" spans="1:11" ht="42" customHeight="1">
      <c r="A1679" s="4" t="s">
        <v>4350</v>
      </c>
      <c r="B1679" s="5" t="s">
        <v>4351</v>
      </c>
      <c r="C1679" s="5" t="s">
        <v>29</v>
      </c>
      <c r="D1679" s="5" t="s">
        <v>30</v>
      </c>
      <c r="E1679" s="5" t="s">
        <v>491</v>
      </c>
      <c r="F1679" s="9">
        <v>57</v>
      </c>
      <c r="G1679" s="9">
        <v>689</v>
      </c>
      <c r="H1679" s="5" t="s">
        <v>21</v>
      </c>
      <c r="I1679" s="5" t="s">
        <v>4352</v>
      </c>
      <c r="J1679" s="12" t="str">
        <f>HYPERLINK("https://www.boe.es/gazeta/dias/1802/07/16/pdfs/GMD-1802-57.pdf#page=9","Abrir facsímil")</f>
        <v>Abrir facsímil</v>
      </c>
      <c r="K1679" s="15" t="s">
        <v>23</v>
      </c>
    </row>
    <row r="1680" spans="1:11" ht="42" customHeight="1">
      <c r="A1680" s="4" t="s">
        <v>4353</v>
      </c>
      <c r="B1680" s="5" t="s">
        <v>4354</v>
      </c>
      <c r="C1680" s="5" t="s">
        <v>29</v>
      </c>
      <c r="D1680" s="5" t="s">
        <v>30</v>
      </c>
      <c r="E1680" s="5" t="s">
        <v>152</v>
      </c>
      <c r="F1680" s="9">
        <v>25</v>
      </c>
      <c r="G1680" s="9">
        <v>286</v>
      </c>
      <c r="H1680" s="5" t="s">
        <v>21</v>
      </c>
      <c r="I1680" s="5" t="s">
        <v>4355</v>
      </c>
      <c r="J1680" s="12" t="str">
        <f>HYPERLINK("https://www.boe.es/gazeta/dias/1802/03/26/pdfs/GMD-1802-25.pdf#page=10","Abrir facsímil")</f>
        <v>Abrir facsímil</v>
      </c>
      <c r="K1680" s="15" t="s">
        <v>23</v>
      </c>
    </row>
    <row r="1681" spans="1:11" ht="42" customHeight="1">
      <c r="A1681" s="4" t="s">
        <v>4356</v>
      </c>
      <c r="B1681" s="5" t="s">
        <v>4357</v>
      </c>
      <c r="C1681" s="5" t="s">
        <v>29</v>
      </c>
      <c r="D1681" s="5" t="s">
        <v>30</v>
      </c>
      <c r="E1681" s="5" t="s">
        <v>128</v>
      </c>
      <c r="F1681" s="9">
        <v>9</v>
      </c>
      <c r="G1681" s="9">
        <v>90</v>
      </c>
      <c r="H1681" s="5" t="s">
        <v>21</v>
      </c>
      <c r="I1681" s="5" t="s">
        <v>4358</v>
      </c>
      <c r="J1681" s="12" t="str">
        <f>HYPERLINK("https://www.boe.es/gazeta/dias/1802/01/29/pdfs/GMD-1802-9.pdf#page=10","Abrir facsímil")</f>
        <v>Abrir facsímil</v>
      </c>
      <c r="K1681" s="15" t="s">
        <v>23</v>
      </c>
    </row>
    <row r="1682" spans="1:11" ht="42" customHeight="1">
      <c r="A1682" s="4" t="s">
        <v>4359</v>
      </c>
      <c r="B1682" s="5" t="s">
        <v>4360</v>
      </c>
      <c r="C1682" s="5" t="s">
        <v>18</v>
      </c>
      <c r="D1682" s="5" t="s">
        <v>19</v>
      </c>
      <c r="E1682" s="5" t="s">
        <v>1374</v>
      </c>
      <c r="F1682" s="9">
        <v>71</v>
      </c>
      <c r="G1682" s="9">
        <v>876</v>
      </c>
      <c r="H1682" s="5" t="s">
        <v>21</v>
      </c>
      <c r="I1682" s="5" t="s">
        <v>4361</v>
      </c>
      <c r="J1682" s="12" t="str">
        <f>HYPERLINK("https://www.boe.es/gazeta/dias/1802/08/31/pdfs/GMD-1802-71.pdf#page=12","Abrir facsímil")</f>
        <v>Abrir facsímil</v>
      </c>
      <c r="K1682" s="15" t="s">
        <v>23</v>
      </c>
    </row>
    <row r="1683" spans="1:11" ht="42" customHeight="1">
      <c r="A1683" s="4" t="s">
        <v>4362</v>
      </c>
      <c r="B1683" s="5" t="s">
        <v>4363</v>
      </c>
      <c r="C1683" s="5" t="s">
        <v>42</v>
      </c>
      <c r="D1683" s="5" t="s">
        <v>43</v>
      </c>
      <c r="E1683" s="5" t="s">
        <v>44</v>
      </c>
      <c r="F1683" s="9">
        <v>99</v>
      </c>
      <c r="G1683" s="9" t="s">
        <v>554</v>
      </c>
      <c r="H1683" s="5" t="s">
        <v>21</v>
      </c>
      <c r="I1683" s="5" t="s">
        <v>4364</v>
      </c>
      <c r="J1683" s="12" t="str">
        <f>HYPERLINK("https://www.boe.es/gazeta/dias/1802/12/07/pdfs/GMD-D-1802-99.pdf#page=4","Abrir facsímil")</f>
        <v>Abrir facsímil</v>
      </c>
      <c r="K1683" s="15" t="s">
        <v>23</v>
      </c>
    </row>
    <row r="1684" spans="1:11" ht="42" customHeight="1">
      <c r="A1684" s="4" t="s">
        <v>4365</v>
      </c>
      <c r="B1684" s="5" t="s">
        <v>4366</v>
      </c>
      <c r="C1684" s="5" t="s">
        <v>18</v>
      </c>
      <c r="D1684" s="5" t="s">
        <v>19</v>
      </c>
      <c r="E1684" s="5" t="s">
        <v>20</v>
      </c>
      <c r="F1684" s="9">
        <v>84</v>
      </c>
      <c r="G1684" s="9">
        <v>1042</v>
      </c>
      <c r="H1684" s="5" t="s">
        <v>21</v>
      </c>
      <c r="I1684" s="5" t="s">
        <v>4367</v>
      </c>
      <c r="J1684" s="12" t="str">
        <f>HYPERLINK("https://www.boe.es/gazeta/dias/1802/10/15/pdfs/GMD-1802-84.pdf#page=10","Abrir facsímil")</f>
        <v>Abrir facsímil</v>
      </c>
      <c r="K1684" s="15" t="s">
        <v>23</v>
      </c>
    </row>
    <row r="1685" spans="1:11" ht="42" customHeight="1">
      <c r="A1685" s="4" t="s">
        <v>4368</v>
      </c>
      <c r="B1685" s="5" t="s">
        <v>4369</v>
      </c>
      <c r="C1685" s="5" t="s">
        <v>29</v>
      </c>
      <c r="D1685" s="5" t="s">
        <v>30</v>
      </c>
      <c r="E1685" s="5" t="s">
        <v>181</v>
      </c>
      <c r="F1685" s="9">
        <v>55</v>
      </c>
      <c r="G1685" s="9">
        <v>663</v>
      </c>
      <c r="H1685" s="5" t="s">
        <v>21</v>
      </c>
      <c r="I1685" s="5" t="s">
        <v>4370</v>
      </c>
      <c r="J1685" s="12" t="str">
        <f>HYPERLINK("https://www.boe.es/gazeta/dias/1802/07/09/pdfs/GMD-1802-55.pdf#page=7","Abrir facsímil")</f>
        <v>Abrir facsímil</v>
      </c>
      <c r="K1685" s="15" t="s">
        <v>23</v>
      </c>
    </row>
    <row r="1686" spans="1:11" ht="42" customHeight="1">
      <c r="A1686" s="4" t="s">
        <v>4371</v>
      </c>
      <c r="B1686" s="5" t="s">
        <v>4372</v>
      </c>
      <c r="C1686" s="5" t="s">
        <v>18</v>
      </c>
      <c r="D1686" s="5" t="s">
        <v>19</v>
      </c>
      <c r="E1686" s="5" t="s">
        <v>1374</v>
      </c>
      <c r="F1686" s="9">
        <v>71</v>
      </c>
      <c r="G1686" s="9">
        <v>876</v>
      </c>
      <c r="H1686" s="5" t="s">
        <v>21</v>
      </c>
      <c r="I1686" s="5" t="s">
        <v>4373</v>
      </c>
      <c r="J1686" s="12" t="str">
        <f>HYPERLINK("https://www.boe.es/gazeta/dias/1802/08/31/pdfs/GMD-1802-71.pdf#page=12","Abrir facsímil")</f>
        <v>Abrir facsímil</v>
      </c>
      <c r="K1686" s="15" t="s">
        <v>23</v>
      </c>
    </row>
    <row r="1687" spans="1:11" ht="42" customHeight="1">
      <c r="A1687" s="4" t="s">
        <v>4374</v>
      </c>
      <c r="B1687" s="5" t="s">
        <v>4375</v>
      </c>
      <c r="C1687" s="5" t="s">
        <v>29</v>
      </c>
      <c r="D1687" s="5" t="s">
        <v>30</v>
      </c>
      <c r="E1687" s="5" t="s">
        <v>491</v>
      </c>
      <c r="F1687" s="9">
        <v>57</v>
      </c>
      <c r="G1687" s="9">
        <v>689</v>
      </c>
      <c r="H1687" s="5" t="s">
        <v>21</v>
      </c>
      <c r="I1687" s="5" t="s">
        <v>4376</v>
      </c>
      <c r="J1687" s="12" t="str">
        <f>HYPERLINK("https://www.boe.es/gazeta/dias/1802/07/16/pdfs/GMD-1802-57.pdf#page=9","Abrir facsímil")</f>
        <v>Abrir facsímil</v>
      </c>
      <c r="K1687" s="15" t="s">
        <v>23</v>
      </c>
    </row>
    <row r="1688" spans="1:11" ht="42" customHeight="1">
      <c r="A1688" s="4" t="s">
        <v>4377</v>
      </c>
      <c r="B1688" s="5" t="s">
        <v>4378</v>
      </c>
      <c r="C1688" s="5" t="s">
        <v>29</v>
      </c>
      <c r="D1688" s="5" t="s">
        <v>30</v>
      </c>
      <c r="E1688" s="5" t="s">
        <v>439</v>
      </c>
      <c r="F1688" s="9">
        <v>76</v>
      </c>
      <c r="G1688" s="9">
        <v>939</v>
      </c>
      <c r="H1688" s="5" t="s">
        <v>21</v>
      </c>
      <c r="I1688" s="5" t="s">
        <v>4379</v>
      </c>
      <c r="J1688" s="12" t="str">
        <f>HYPERLINK("https://www.boe.es/gazeta/dias/1802/09/17/pdfs/GMD-1802-76.pdf#page=11","Abrir facsímil")</f>
        <v>Abrir facsímil</v>
      </c>
      <c r="K1688" s="15" t="s">
        <v>23</v>
      </c>
    </row>
    <row r="1689" spans="1:11" ht="42" customHeight="1">
      <c r="A1689" s="4" t="s">
        <v>4380</v>
      </c>
      <c r="B1689" s="5" t="s">
        <v>4381</v>
      </c>
      <c r="C1689" s="5" t="s">
        <v>29</v>
      </c>
      <c r="D1689" s="5" t="s">
        <v>30</v>
      </c>
      <c r="E1689" s="5" t="s">
        <v>49</v>
      </c>
      <c r="F1689" s="9">
        <v>83</v>
      </c>
      <c r="G1689" s="9">
        <v>1026</v>
      </c>
      <c r="H1689" s="5" t="s">
        <v>21</v>
      </c>
      <c r="I1689" s="5" t="s">
        <v>4382</v>
      </c>
      <c r="J1689" s="12" t="str">
        <f>HYPERLINK("https://www.boe.es/gazeta/dias/1802/10/12/pdfs/GMD-1802-83.pdf#page=14","Abrir facsímil")</f>
        <v>Abrir facsímil</v>
      </c>
      <c r="K1689" s="15" t="s">
        <v>23</v>
      </c>
    </row>
    <row r="1690" spans="1:11" ht="42" customHeight="1">
      <c r="A1690" s="4" t="s">
        <v>4383</v>
      </c>
      <c r="B1690" s="5" t="s">
        <v>4384</v>
      </c>
      <c r="C1690" s="5" t="s">
        <v>160</v>
      </c>
      <c r="D1690" s="5" t="s">
        <v>91</v>
      </c>
      <c r="E1690" s="5" t="s">
        <v>232</v>
      </c>
      <c r="F1690" s="9">
        <v>30</v>
      </c>
      <c r="G1690" s="9">
        <v>351</v>
      </c>
      <c r="H1690" s="5" t="s">
        <v>21</v>
      </c>
      <c r="I1690" s="5" t="s">
        <v>4385</v>
      </c>
      <c r="J1690" s="12" t="str">
        <f>HYPERLINK("https://www.boe.es/gazeta/dias/1802/04/13/pdfs/GMD-1802-30.pdf#page=7","Abrir facsímil")</f>
        <v>Abrir facsímil</v>
      </c>
      <c r="K1690" s="15" t="s">
        <v>23</v>
      </c>
    </row>
    <row r="1691" spans="1:11" ht="42" customHeight="1">
      <c r="A1691" s="4" t="s">
        <v>4386</v>
      </c>
      <c r="B1691" s="5" t="s">
        <v>4387</v>
      </c>
      <c r="C1691" s="5" t="s">
        <v>55</v>
      </c>
      <c r="D1691" s="5" t="s">
        <v>56</v>
      </c>
      <c r="E1691" s="5" t="s">
        <v>114</v>
      </c>
      <c r="F1691" s="9">
        <v>82</v>
      </c>
      <c r="G1691" s="9">
        <v>1012</v>
      </c>
      <c r="H1691" s="5" t="s">
        <v>21</v>
      </c>
      <c r="I1691" s="5" t="s">
        <v>4388</v>
      </c>
      <c r="J1691" s="12" t="str">
        <f>HYPERLINK("https://www.boe.es/gazeta/dias/1802/10/08/pdfs/GMD-1802-82.pdf#page=12","Abrir facsímil")</f>
        <v>Abrir facsímil</v>
      </c>
      <c r="K1691" s="15" t="s">
        <v>23</v>
      </c>
    </row>
    <row r="1692" spans="1:11" ht="42" customHeight="1">
      <c r="A1692" s="4" t="s">
        <v>4389</v>
      </c>
      <c r="B1692" s="5" t="s">
        <v>4390</v>
      </c>
      <c r="C1692" s="5" t="s">
        <v>18</v>
      </c>
      <c r="D1692" s="5" t="s">
        <v>19</v>
      </c>
      <c r="E1692" s="5" t="s">
        <v>20</v>
      </c>
      <c r="F1692" s="9">
        <v>84</v>
      </c>
      <c r="G1692" s="9">
        <v>1040</v>
      </c>
      <c r="H1692" s="5" t="s">
        <v>21</v>
      </c>
      <c r="I1692" s="5" t="s">
        <v>4391</v>
      </c>
      <c r="J1692" s="12" t="str">
        <f>HYPERLINK("https://www.boe.es/gazeta/dias/1802/10/15/pdfs/GMD-1802-84.pdf#page=8","Abrir facsímil")</f>
        <v>Abrir facsímil</v>
      </c>
      <c r="K1692" s="15" t="s">
        <v>23</v>
      </c>
    </row>
    <row r="1693" spans="1:11" ht="42" customHeight="1">
      <c r="A1693" s="4" t="s">
        <v>4392</v>
      </c>
      <c r="B1693" s="5" t="s">
        <v>4393</v>
      </c>
      <c r="C1693" s="5" t="s">
        <v>18</v>
      </c>
      <c r="D1693" s="5" t="s">
        <v>19</v>
      </c>
      <c r="E1693" s="5" t="s">
        <v>517</v>
      </c>
      <c r="F1693" s="9">
        <v>61</v>
      </c>
      <c r="G1693" s="9">
        <v>738</v>
      </c>
      <c r="H1693" s="5" t="s">
        <v>21</v>
      </c>
      <c r="I1693" s="5" t="s">
        <v>4394</v>
      </c>
      <c r="J1693" s="12" t="str">
        <f>HYPERLINK("https://www.boe.es/gazeta/dias/1802/07/27/pdfs/GMD-1802-61.pdf#page=6","Abrir facsímil")</f>
        <v>Abrir facsímil</v>
      </c>
      <c r="K1693" s="15" t="s">
        <v>23</v>
      </c>
    </row>
    <row r="1694" spans="1:11" ht="42" customHeight="1">
      <c r="A1694" s="4" t="s">
        <v>4395</v>
      </c>
      <c r="B1694" s="5" t="s">
        <v>4396</v>
      </c>
      <c r="C1694" s="5" t="s">
        <v>18</v>
      </c>
      <c r="D1694" s="5" t="s">
        <v>19</v>
      </c>
      <c r="E1694" s="5" t="s">
        <v>49</v>
      </c>
      <c r="F1694" s="9">
        <v>83</v>
      </c>
      <c r="G1694" s="9">
        <v>1019</v>
      </c>
      <c r="H1694" s="5" t="s">
        <v>21</v>
      </c>
      <c r="I1694" s="5" t="s">
        <v>4397</v>
      </c>
      <c r="J1694" s="12" t="str">
        <f>HYPERLINK("https://www.boe.es/gazeta/dias/1802/10/12/pdfs/GMD-1802-83.pdf#page=7","Abrir facsímil")</f>
        <v>Abrir facsímil</v>
      </c>
      <c r="K1694" s="15" t="s">
        <v>23</v>
      </c>
    </row>
    <row r="1695" spans="1:11" ht="42" customHeight="1">
      <c r="A1695" s="4" t="s">
        <v>4398</v>
      </c>
      <c r="B1695" s="5" t="s">
        <v>4399</v>
      </c>
      <c r="C1695" s="5" t="s">
        <v>29</v>
      </c>
      <c r="D1695" s="5" t="s">
        <v>30</v>
      </c>
      <c r="E1695" s="5" t="s">
        <v>25</v>
      </c>
      <c r="F1695" s="9">
        <v>44</v>
      </c>
      <c r="G1695" s="9">
        <v>532</v>
      </c>
      <c r="H1695" s="5" t="s">
        <v>21</v>
      </c>
      <c r="I1695" s="5" t="s">
        <v>4400</v>
      </c>
      <c r="J1695" s="12" t="str">
        <f>HYPERLINK("https://www.boe.es/gazeta/dias/1802/06/01/pdfs/GMD-1802-44.pdf#page=8","Abrir facsímil")</f>
        <v>Abrir facsímil</v>
      </c>
      <c r="K1695" s="15" t="s">
        <v>23</v>
      </c>
    </row>
    <row r="1696" spans="1:11" ht="42" customHeight="1">
      <c r="A1696" s="4" t="s">
        <v>4401</v>
      </c>
      <c r="B1696" s="5" t="s">
        <v>4402</v>
      </c>
      <c r="C1696" s="5" t="s">
        <v>29</v>
      </c>
      <c r="D1696" s="5" t="s">
        <v>30</v>
      </c>
      <c r="E1696" s="5" t="s">
        <v>1618</v>
      </c>
      <c r="F1696" s="9">
        <v>31</v>
      </c>
      <c r="G1696" s="9">
        <v>359</v>
      </c>
      <c r="H1696" s="5" t="s">
        <v>21</v>
      </c>
      <c r="I1696" s="5" t="s">
        <v>4403</v>
      </c>
      <c r="J1696" s="12" t="str">
        <f>HYPERLINK("https://www.boe.es/gazeta/dias/1802/04/16/pdfs/GMD-1802-31.pdf#page=3","Abrir facsímil")</f>
        <v>Abrir facsímil</v>
      </c>
      <c r="K1696" s="15" t="s">
        <v>23</v>
      </c>
    </row>
    <row r="1697" spans="1:11" ht="42" customHeight="1">
      <c r="A1697" s="4" t="s">
        <v>4404</v>
      </c>
      <c r="B1697" s="5" t="s">
        <v>4405</v>
      </c>
      <c r="C1697" s="5" t="s">
        <v>29</v>
      </c>
      <c r="D1697" s="5" t="s">
        <v>30</v>
      </c>
      <c r="E1697" s="5" t="s">
        <v>86</v>
      </c>
      <c r="F1697" s="9">
        <v>26</v>
      </c>
      <c r="G1697" s="9">
        <v>298</v>
      </c>
      <c r="H1697" s="5" t="s">
        <v>21</v>
      </c>
      <c r="I1697" s="5" t="s">
        <v>4406</v>
      </c>
      <c r="J1697" s="12" t="str">
        <f>HYPERLINK("https://www.boe.es/gazeta/dias/1802/03/30/pdfs/GMD-1802-26.pdf#page=10","Abrir facsímil")</f>
        <v>Abrir facsímil</v>
      </c>
      <c r="K1697" s="15" t="s">
        <v>23</v>
      </c>
    </row>
    <row r="1698" spans="1:11" ht="42" customHeight="1">
      <c r="A1698" s="4" t="s">
        <v>4407</v>
      </c>
      <c r="B1698" s="5" t="s">
        <v>4408</v>
      </c>
      <c r="C1698" s="5" t="s">
        <v>29</v>
      </c>
      <c r="D1698" s="5" t="s">
        <v>30</v>
      </c>
      <c r="E1698" s="5" t="s">
        <v>299</v>
      </c>
      <c r="F1698" s="9">
        <v>19</v>
      </c>
      <c r="G1698" s="9">
        <v>209</v>
      </c>
      <c r="H1698" s="5" t="s">
        <v>21</v>
      </c>
      <c r="I1698" s="5" t="s">
        <v>4409</v>
      </c>
      <c r="J1698" s="12" t="str">
        <f>HYPERLINK("https://www.boe.es/gazeta/dias/1802/03/05/pdfs/GMD-1802-19.pdf#page=9","Abrir facsímil")</f>
        <v>Abrir facsímil</v>
      </c>
      <c r="K1698" s="15" t="s">
        <v>23</v>
      </c>
    </row>
    <row r="1699" spans="1:11" ht="42" customHeight="1">
      <c r="A1699" s="4" t="s">
        <v>4410</v>
      </c>
      <c r="B1699" s="5" t="s">
        <v>4411</v>
      </c>
      <c r="C1699" s="5" t="s">
        <v>29</v>
      </c>
      <c r="D1699" s="5" t="s">
        <v>30</v>
      </c>
      <c r="E1699" s="5" t="s">
        <v>328</v>
      </c>
      <c r="F1699" s="9">
        <v>45</v>
      </c>
      <c r="G1699" s="9">
        <v>545</v>
      </c>
      <c r="H1699" s="5" t="s">
        <v>21</v>
      </c>
      <c r="I1699" s="5" t="s">
        <v>4412</v>
      </c>
      <c r="J1699" s="12" t="str">
        <f>HYPERLINK("https://www.boe.es/gazeta/dias/1802/06/04/pdfs/GMD-1802-45.pdf#page=9","Abrir facsímil")</f>
        <v>Abrir facsímil</v>
      </c>
      <c r="K1699" s="15" t="s">
        <v>23</v>
      </c>
    </row>
    <row r="1700" spans="1:11" ht="42" customHeight="1">
      <c r="A1700" s="4" t="s">
        <v>4413</v>
      </c>
      <c r="B1700" s="5" t="s">
        <v>4414</v>
      </c>
      <c r="C1700" s="5" t="s">
        <v>18</v>
      </c>
      <c r="D1700" s="5" t="s">
        <v>19</v>
      </c>
      <c r="E1700" s="5" t="s">
        <v>49</v>
      </c>
      <c r="F1700" s="9">
        <v>83</v>
      </c>
      <c r="G1700" s="9">
        <v>1024</v>
      </c>
      <c r="H1700" s="5" t="s">
        <v>21</v>
      </c>
      <c r="I1700" s="5" t="s">
        <v>4415</v>
      </c>
      <c r="J1700" s="12" t="str">
        <f>HYPERLINK("https://www.boe.es/gazeta/dias/1802/10/12/pdfs/GMD-1802-83.pdf#page=12","Abrir facsímil")</f>
        <v>Abrir facsímil</v>
      </c>
      <c r="K1700" s="15" t="s">
        <v>23</v>
      </c>
    </row>
    <row r="1701" spans="1:11" ht="42" customHeight="1">
      <c r="A1701" s="4" t="s">
        <v>4416</v>
      </c>
      <c r="B1701" s="5" t="s">
        <v>4417</v>
      </c>
      <c r="C1701" s="5" t="s">
        <v>29</v>
      </c>
      <c r="D1701" s="5" t="s">
        <v>30</v>
      </c>
      <c r="E1701" s="5" t="s">
        <v>1374</v>
      </c>
      <c r="F1701" s="9">
        <v>71</v>
      </c>
      <c r="G1701" s="9">
        <v>874</v>
      </c>
      <c r="H1701" s="5" t="s">
        <v>21</v>
      </c>
      <c r="I1701" s="5" t="s">
        <v>4418</v>
      </c>
      <c r="J1701" s="12" t="str">
        <f>HYPERLINK("https://www.boe.es/gazeta/dias/1802/08/31/pdfs/GMD-1802-71.pdf#page=10","Abrir facsímil")</f>
        <v>Abrir facsímil</v>
      </c>
      <c r="K1701" s="15" t="s">
        <v>23</v>
      </c>
    </row>
    <row r="1702" spans="1:11" ht="42" customHeight="1">
      <c r="A1702" s="4" t="s">
        <v>4419</v>
      </c>
      <c r="B1702" s="5" t="s">
        <v>4420</v>
      </c>
      <c r="C1702" s="5" t="s">
        <v>18</v>
      </c>
      <c r="D1702" s="5" t="s">
        <v>19</v>
      </c>
      <c r="E1702" s="5" t="s">
        <v>900</v>
      </c>
      <c r="F1702" s="9">
        <v>16</v>
      </c>
      <c r="G1702" s="9">
        <v>170</v>
      </c>
      <c r="H1702" s="5" t="s">
        <v>21</v>
      </c>
      <c r="I1702" s="5" t="s">
        <v>4421</v>
      </c>
      <c r="J1702" s="12" t="str">
        <f>HYPERLINK("https://www.boe.es/gazeta/dias/1802/02/23/pdfs/GMD-1802-16.pdf#page=10","Abrir facsímil")</f>
        <v>Abrir facsímil</v>
      </c>
      <c r="K1702" s="15" t="s">
        <v>23</v>
      </c>
    </row>
    <row r="1703" spans="1:11" ht="42" customHeight="1">
      <c r="A1703" s="4" t="s">
        <v>4419</v>
      </c>
      <c r="B1703" s="5" t="s">
        <v>4420</v>
      </c>
      <c r="C1703" s="5" t="s">
        <v>18</v>
      </c>
      <c r="D1703" s="5" t="s">
        <v>19</v>
      </c>
      <c r="E1703" s="5" t="s">
        <v>292</v>
      </c>
      <c r="F1703" s="9">
        <v>62</v>
      </c>
      <c r="G1703" s="9">
        <v>755</v>
      </c>
      <c r="H1703" s="5" t="s">
        <v>21</v>
      </c>
      <c r="I1703" s="5" t="s">
        <v>4422</v>
      </c>
      <c r="J1703" s="12" t="str">
        <f>HYPERLINK("https://www.boe.es/gazeta/dias/1802/07/30/pdfs/GMD-1802-62.pdf#page=11","Abrir facsímil")</f>
        <v>Abrir facsímil</v>
      </c>
      <c r="K1703" s="15" t="s">
        <v>23</v>
      </c>
    </row>
    <row r="1704" spans="1:11" ht="42" customHeight="1">
      <c r="A1704" s="4" t="s">
        <v>4423</v>
      </c>
      <c r="B1704" s="5" t="s">
        <v>4424</v>
      </c>
      <c r="C1704" s="5" t="s">
        <v>29</v>
      </c>
      <c r="D1704" s="5" t="s">
        <v>30</v>
      </c>
      <c r="E1704" s="5" t="s">
        <v>276</v>
      </c>
      <c r="F1704" s="9">
        <v>75</v>
      </c>
      <c r="G1704" s="9">
        <v>928</v>
      </c>
      <c r="H1704" s="5" t="s">
        <v>21</v>
      </c>
      <c r="I1704" s="5" t="s">
        <v>4425</v>
      </c>
      <c r="J1704" s="12" t="str">
        <f>HYPERLINK("https://www.boe.es/gazeta/dias/1802/09/14/pdfs/GMD-1802-75.pdf#page=12","Abrir facsímil")</f>
        <v>Abrir facsímil</v>
      </c>
      <c r="K1704" s="15" t="s">
        <v>23</v>
      </c>
    </row>
    <row r="1705" spans="1:11" ht="42" customHeight="1">
      <c r="A1705" s="4" t="s">
        <v>4426</v>
      </c>
      <c r="B1705" s="5" t="s">
        <v>4427</v>
      </c>
      <c r="C1705" s="5" t="s">
        <v>18</v>
      </c>
      <c r="D1705" s="5" t="s">
        <v>19</v>
      </c>
      <c r="E1705" s="5" t="s">
        <v>49</v>
      </c>
      <c r="F1705" s="9">
        <v>83</v>
      </c>
      <c r="G1705" s="9">
        <v>1025</v>
      </c>
      <c r="H1705" s="5" t="s">
        <v>21</v>
      </c>
      <c r="I1705" s="5" t="s">
        <v>4428</v>
      </c>
      <c r="J1705" s="12" t="str">
        <f>HYPERLINK("https://www.boe.es/gazeta/dias/1802/10/12/pdfs/GMD-1802-83.pdf#page=13","Abrir facsímil")</f>
        <v>Abrir facsímil</v>
      </c>
      <c r="K1705" s="15" t="s">
        <v>23</v>
      </c>
    </row>
    <row r="1706" spans="1:11" ht="42" customHeight="1">
      <c r="A1706" s="4" t="s">
        <v>4429</v>
      </c>
      <c r="B1706" s="5" t="s">
        <v>4430</v>
      </c>
      <c r="C1706" s="5" t="s">
        <v>35</v>
      </c>
      <c r="D1706" s="5" t="s">
        <v>36</v>
      </c>
      <c r="E1706" s="5" t="s">
        <v>57</v>
      </c>
      <c r="F1706" s="9">
        <v>54</v>
      </c>
      <c r="G1706" s="9">
        <v>653</v>
      </c>
      <c r="H1706" s="5" t="s">
        <v>21</v>
      </c>
      <c r="I1706" s="5" t="s">
        <v>4431</v>
      </c>
      <c r="J1706" s="12" t="str">
        <f>HYPERLINK("https://www.boe.es/gazeta/dias/1802/07/06/pdfs/GMD-1802-54.pdf#page=9","Abrir facsímil")</f>
        <v>Abrir facsímil</v>
      </c>
      <c r="K1706" s="15" t="s">
        <v>23</v>
      </c>
    </row>
    <row r="1707" spans="1:11" ht="42" customHeight="1">
      <c r="A1707" s="4" t="s">
        <v>4432</v>
      </c>
      <c r="B1707" s="5" t="s">
        <v>4433</v>
      </c>
      <c r="C1707" s="5" t="s">
        <v>55</v>
      </c>
      <c r="D1707" s="5" t="s">
        <v>56</v>
      </c>
      <c r="E1707" s="5" t="s">
        <v>764</v>
      </c>
      <c r="F1707" s="9">
        <v>69</v>
      </c>
      <c r="G1707" s="9">
        <v>852</v>
      </c>
      <c r="H1707" s="5" t="s">
        <v>21</v>
      </c>
      <c r="I1707" s="5" t="s">
        <v>4434</v>
      </c>
      <c r="J1707" s="12" t="str">
        <f>HYPERLINK("https://www.boe.es/gazeta/dias/1802/08/24/pdfs/GMD-1802-69.pdf#page=12","Abrir facsímil")</f>
        <v>Abrir facsímil</v>
      </c>
      <c r="K1707" s="15" t="s">
        <v>23</v>
      </c>
    </row>
    <row r="1708" spans="1:11" ht="42" customHeight="1">
      <c r="A1708" s="4" t="s">
        <v>4435</v>
      </c>
      <c r="B1708" s="5" t="s">
        <v>4436</v>
      </c>
      <c r="C1708" s="5" t="s">
        <v>90</v>
      </c>
      <c r="D1708" s="5" t="s">
        <v>91</v>
      </c>
      <c r="E1708" s="5" t="s">
        <v>453</v>
      </c>
      <c r="F1708" s="9">
        <v>52</v>
      </c>
      <c r="G1708" s="9">
        <v>629</v>
      </c>
      <c r="H1708" s="5" t="s">
        <v>21</v>
      </c>
      <c r="I1708" s="5" t="s">
        <v>4437</v>
      </c>
      <c r="J1708" s="12" t="str">
        <f>HYPERLINK("https://www.boe.es/gazeta/dias/1802/06/29/pdfs/GMD-1802-52.pdf#page=5","Abrir facsímil")</f>
        <v>Abrir facsímil</v>
      </c>
      <c r="K1708" s="15" t="s">
        <v>23</v>
      </c>
    </row>
    <row r="1709" spans="1:11" ht="42" customHeight="1">
      <c r="A1709" s="4" t="s">
        <v>4435</v>
      </c>
      <c r="B1709" s="5" t="s">
        <v>4436</v>
      </c>
      <c r="C1709" s="5" t="s">
        <v>18</v>
      </c>
      <c r="D1709" s="5" t="s">
        <v>19</v>
      </c>
      <c r="E1709" s="5" t="s">
        <v>1749</v>
      </c>
      <c r="F1709" s="9">
        <v>60</v>
      </c>
      <c r="G1709" s="9">
        <v>718</v>
      </c>
      <c r="H1709" s="5" t="s">
        <v>21</v>
      </c>
      <c r="I1709" s="5" t="s">
        <v>4438</v>
      </c>
      <c r="J1709" s="12" t="str">
        <f>HYPERLINK("https://www.boe.es/gazeta/dias/1802/07/23/pdfs/GMD-1802-60.pdf#page=2","Abrir facsímil")</f>
        <v>Abrir facsímil</v>
      </c>
      <c r="K1709" s="15" t="s">
        <v>23</v>
      </c>
    </row>
    <row r="1710" spans="1:11" ht="42" customHeight="1">
      <c r="A1710" s="4" t="s">
        <v>4439</v>
      </c>
      <c r="B1710" s="5" t="s">
        <v>4440</v>
      </c>
      <c r="C1710" s="5" t="s">
        <v>572</v>
      </c>
      <c r="D1710" s="5" t="s">
        <v>573</v>
      </c>
      <c r="E1710" s="5" t="s">
        <v>574</v>
      </c>
      <c r="F1710" s="9" t="s">
        <v>575</v>
      </c>
      <c r="G1710" s="9">
        <v>710</v>
      </c>
      <c r="H1710" s="5" t="s">
        <v>21</v>
      </c>
      <c r="I1710" s="5" t="s">
        <v>4441</v>
      </c>
      <c r="J1710" s="12" t="str">
        <f>HYPERLINK("https://www.boe.es/gazeta/dias/1802/07/21/pdfs/GMD-1802-59E.pdf#page=6","Abrir facsímil")</f>
        <v>Abrir facsímil</v>
      </c>
      <c r="K1710" s="15" t="s">
        <v>23</v>
      </c>
    </row>
    <row r="1711" spans="1:11" ht="42" customHeight="1">
      <c r="A1711" s="4" t="s">
        <v>4442</v>
      </c>
      <c r="B1711" s="5" t="s">
        <v>4443</v>
      </c>
      <c r="C1711" s="5" t="s">
        <v>29</v>
      </c>
      <c r="D1711" s="5" t="s">
        <v>30</v>
      </c>
      <c r="E1711" s="5" t="s">
        <v>20</v>
      </c>
      <c r="F1711" s="9">
        <v>84</v>
      </c>
      <c r="G1711" s="9">
        <v>1040</v>
      </c>
      <c r="H1711" s="5" t="s">
        <v>21</v>
      </c>
      <c r="I1711" s="5" t="s">
        <v>4444</v>
      </c>
      <c r="J1711" s="12" t="str">
        <f>HYPERLINK("https://www.boe.es/gazeta/dias/1802/10/15/pdfs/GMD-1802-84.pdf#page=8","Abrir facsímil")</f>
        <v>Abrir facsímil</v>
      </c>
      <c r="K1711" s="15" t="s">
        <v>23</v>
      </c>
    </row>
    <row r="1712" spans="1:11" ht="42" customHeight="1">
      <c r="A1712" s="4" t="s">
        <v>4445</v>
      </c>
      <c r="B1712" s="5" t="s">
        <v>4446</v>
      </c>
      <c r="C1712" s="5" t="s">
        <v>90</v>
      </c>
      <c r="D1712" s="5" t="s">
        <v>91</v>
      </c>
      <c r="E1712" s="5" t="s">
        <v>381</v>
      </c>
      <c r="F1712" s="9">
        <v>13</v>
      </c>
      <c r="G1712" s="9">
        <v>131</v>
      </c>
      <c r="H1712" s="5" t="s">
        <v>21</v>
      </c>
      <c r="I1712" s="5" t="s">
        <v>4447</v>
      </c>
      <c r="J1712" s="12" t="str">
        <f>HYPERLINK("https://www.boe.es/gazeta/dias/1802/02/12/pdfs/GMD-1802-13.pdf#page=7","Abrir facsímil")</f>
        <v>Abrir facsímil</v>
      </c>
      <c r="K1712" s="15" t="s">
        <v>23</v>
      </c>
    </row>
    <row r="1713" spans="1:11" ht="42" customHeight="1">
      <c r="A1713" s="4" t="s">
        <v>4448</v>
      </c>
      <c r="B1713" s="5" t="s">
        <v>4449</v>
      </c>
      <c r="C1713" s="5" t="s">
        <v>18</v>
      </c>
      <c r="D1713" s="5" t="s">
        <v>19</v>
      </c>
      <c r="E1713" s="5" t="s">
        <v>20</v>
      </c>
      <c r="F1713" s="9">
        <v>84</v>
      </c>
      <c r="G1713" s="9">
        <v>1046</v>
      </c>
      <c r="H1713" s="5" t="s">
        <v>21</v>
      </c>
      <c r="I1713" s="5" t="s">
        <v>4450</v>
      </c>
      <c r="J1713" s="12" t="str">
        <f>HYPERLINK("https://www.boe.es/gazeta/dias/1802/10/15/pdfs/GMD-1802-84.pdf#page=14","Abrir facsímil")</f>
        <v>Abrir facsímil</v>
      </c>
      <c r="K1713" s="15" t="s">
        <v>23</v>
      </c>
    </row>
    <row r="1714" spans="1:11" ht="42" customHeight="1">
      <c r="A1714" s="4" t="s">
        <v>4451</v>
      </c>
      <c r="B1714" s="5" t="s">
        <v>4452</v>
      </c>
      <c r="C1714" s="5" t="s">
        <v>90</v>
      </c>
      <c r="D1714" s="5" t="s">
        <v>91</v>
      </c>
      <c r="E1714" s="5" t="s">
        <v>1264</v>
      </c>
      <c r="F1714" s="9">
        <v>105</v>
      </c>
      <c r="G1714" s="9">
        <v>1286</v>
      </c>
      <c r="H1714" s="5" t="s">
        <v>21</v>
      </c>
      <c r="I1714" s="5" t="s">
        <v>4453</v>
      </c>
      <c r="J1714" s="12" t="str">
        <f>HYPERLINK("https://www.boe.es/gazeta/dias/1802/12/28/pdfs/GMD-1802-105.pdf#page=10","Abrir facsímil")</f>
        <v>Abrir facsímil</v>
      </c>
      <c r="K1714" s="15" t="s">
        <v>23</v>
      </c>
    </row>
    <row r="1715" spans="1:11" ht="42" customHeight="1">
      <c r="A1715" s="4" t="s">
        <v>4454</v>
      </c>
      <c r="B1715" s="5" t="s">
        <v>4455</v>
      </c>
      <c r="C1715" s="5" t="s">
        <v>29</v>
      </c>
      <c r="D1715" s="5" t="s">
        <v>30</v>
      </c>
      <c r="E1715" s="5" t="s">
        <v>206</v>
      </c>
      <c r="F1715" s="9">
        <v>22</v>
      </c>
      <c r="G1715" s="9">
        <v>241</v>
      </c>
      <c r="H1715" s="5" t="s">
        <v>21</v>
      </c>
      <c r="I1715" s="5" t="s">
        <v>4456</v>
      </c>
      <c r="J1715" s="12" t="str">
        <f>HYPERLINK("https://www.boe.es/gazeta/dias/1802/03/16/pdfs/GMD-1802-22.pdf#page=9","Abrir facsímil")</f>
        <v>Abrir facsímil</v>
      </c>
      <c r="K1715" s="15" t="s">
        <v>23</v>
      </c>
    </row>
    <row r="1716" spans="1:11" ht="42" customHeight="1">
      <c r="A1716" s="4" t="s">
        <v>4457</v>
      </c>
      <c r="B1716" s="5" t="s">
        <v>4458</v>
      </c>
      <c r="C1716" s="5" t="s">
        <v>29</v>
      </c>
      <c r="D1716" s="5" t="s">
        <v>30</v>
      </c>
      <c r="E1716" s="5" t="s">
        <v>37</v>
      </c>
      <c r="F1716" s="9">
        <v>106</v>
      </c>
      <c r="G1716" s="9">
        <v>1295</v>
      </c>
      <c r="H1716" s="5" t="s">
        <v>21</v>
      </c>
      <c r="I1716" s="5" t="s">
        <v>4459</v>
      </c>
      <c r="J1716" s="12" t="str">
        <f>HYPERLINK("https://www.boe.es/gazeta/dias/1802/12/31/pdfs/GMD-1802-106.pdf#page=7","Abrir facsímil")</f>
        <v>Abrir facsímil</v>
      </c>
      <c r="K1716" s="15" t="s">
        <v>23</v>
      </c>
    </row>
    <row r="1717" spans="1:11" ht="42" customHeight="1">
      <c r="A1717" s="4" t="s">
        <v>4460</v>
      </c>
      <c r="B1717" s="5" t="s">
        <v>4461</v>
      </c>
      <c r="C1717" s="5" t="s">
        <v>90</v>
      </c>
      <c r="D1717" s="5" t="s">
        <v>91</v>
      </c>
      <c r="E1717" s="5" t="s">
        <v>232</v>
      </c>
      <c r="F1717" s="9">
        <v>30</v>
      </c>
      <c r="G1717" s="9">
        <v>351</v>
      </c>
      <c r="H1717" s="5" t="s">
        <v>21</v>
      </c>
      <c r="I1717" s="5" t="s">
        <v>4462</v>
      </c>
      <c r="J1717" s="12" t="str">
        <f>HYPERLINK("https://www.boe.es/gazeta/dias/1802/04/13/pdfs/GMD-1802-30.pdf#page=7","Abrir facsímil")</f>
        <v>Abrir facsímil</v>
      </c>
      <c r="K1717" s="15" t="s">
        <v>23</v>
      </c>
    </row>
    <row r="1718" spans="1:11" ht="42" customHeight="1">
      <c r="A1718" s="4" t="s">
        <v>4463</v>
      </c>
      <c r="B1718" s="5" t="s">
        <v>4464</v>
      </c>
      <c r="C1718" s="5" t="s">
        <v>18</v>
      </c>
      <c r="D1718" s="5" t="s">
        <v>19</v>
      </c>
      <c r="E1718" s="5" t="s">
        <v>152</v>
      </c>
      <c r="F1718" s="9">
        <v>25</v>
      </c>
      <c r="G1718" s="9">
        <v>284</v>
      </c>
      <c r="H1718" s="5" t="s">
        <v>21</v>
      </c>
      <c r="I1718" s="5" t="s">
        <v>4465</v>
      </c>
      <c r="J1718" s="12" t="str">
        <f>HYPERLINK("https://www.boe.es/gazeta/dias/1802/03/26/pdfs/GMD-1802-25.pdf#page=8","Abrir facsímil")</f>
        <v>Abrir facsímil</v>
      </c>
      <c r="K1718" s="15" t="s">
        <v>23</v>
      </c>
    </row>
    <row r="1719" spans="1:11" ht="42" customHeight="1">
      <c r="A1719" s="4" t="s">
        <v>4466</v>
      </c>
      <c r="B1719" s="5" t="s">
        <v>4467</v>
      </c>
      <c r="C1719" s="5" t="s">
        <v>90</v>
      </c>
      <c r="D1719" s="5" t="s">
        <v>91</v>
      </c>
      <c r="E1719" s="5" t="s">
        <v>152</v>
      </c>
      <c r="F1719" s="9">
        <v>25</v>
      </c>
      <c r="G1719" s="9">
        <v>287</v>
      </c>
      <c r="H1719" s="5" t="s">
        <v>21</v>
      </c>
      <c r="I1719" s="5" t="s">
        <v>4468</v>
      </c>
      <c r="J1719" s="12" t="str">
        <f>HYPERLINK("https://www.boe.es/gazeta/dias/1802/03/26/pdfs/GMD-1802-25.pdf#page=11","Abrir facsímil")</f>
        <v>Abrir facsímil</v>
      </c>
      <c r="K1719" s="15" t="s">
        <v>23</v>
      </c>
    </row>
    <row r="1720" spans="1:11" ht="42" customHeight="1">
      <c r="A1720" s="4" t="s">
        <v>4466</v>
      </c>
      <c r="B1720" s="5" t="s">
        <v>4467</v>
      </c>
      <c r="C1720" s="5" t="s">
        <v>90</v>
      </c>
      <c r="D1720" s="5" t="s">
        <v>91</v>
      </c>
      <c r="E1720" s="5" t="s">
        <v>170</v>
      </c>
      <c r="F1720" s="9">
        <v>28</v>
      </c>
      <c r="G1720" s="9">
        <v>331</v>
      </c>
      <c r="H1720" s="5" t="s">
        <v>21</v>
      </c>
      <c r="I1720" s="5" t="s">
        <v>4469</v>
      </c>
      <c r="J1720" s="12" t="str">
        <f>HYPERLINK("https://www.boe.es/gazeta/dias/1802/04/06/pdfs/GMD-1802-28.pdf#page=11","Abrir facsímil")</f>
        <v>Abrir facsímil</v>
      </c>
      <c r="K1720" s="15" t="s">
        <v>23</v>
      </c>
    </row>
    <row r="1721" spans="1:11" ht="42" customHeight="1">
      <c r="A1721" s="4" t="s">
        <v>4470</v>
      </c>
      <c r="B1721" s="5" t="s">
        <v>4471</v>
      </c>
      <c r="C1721" s="5" t="s">
        <v>18</v>
      </c>
      <c r="D1721" s="5" t="s">
        <v>19</v>
      </c>
      <c r="E1721" s="5" t="s">
        <v>258</v>
      </c>
      <c r="F1721" s="9">
        <v>63</v>
      </c>
      <c r="G1721" s="9">
        <v>770</v>
      </c>
      <c r="H1721" s="5" t="s">
        <v>21</v>
      </c>
      <c r="I1721" s="5" t="s">
        <v>4472</v>
      </c>
      <c r="J1721" s="12" t="str">
        <f>HYPERLINK("https://www.boe.es/gazeta/dias/1802/08/03/pdfs/GMD-1802-63.pdf#page=10","Abrir facsímil")</f>
        <v>Abrir facsímil</v>
      </c>
      <c r="K1721" s="15" t="s">
        <v>23</v>
      </c>
    </row>
    <row r="1722" spans="1:11" ht="42" customHeight="1">
      <c r="A1722" s="4" t="s">
        <v>4473</v>
      </c>
      <c r="B1722" s="5" t="s">
        <v>4474</v>
      </c>
      <c r="C1722" s="5" t="s">
        <v>35</v>
      </c>
      <c r="D1722" s="5" t="s">
        <v>36</v>
      </c>
      <c r="E1722" s="5" t="s">
        <v>757</v>
      </c>
      <c r="F1722" s="9">
        <v>104</v>
      </c>
      <c r="G1722" s="9">
        <v>1266</v>
      </c>
      <c r="H1722" s="5" t="s">
        <v>21</v>
      </c>
      <c r="I1722" s="5" t="s">
        <v>4475</v>
      </c>
      <c r="J1722" s="12" t="str">
        <f>HYPERLINK("https://www.boe.es/gazeta/dias/1802/12/24/pdfs/GMD-1802-104.pdf#page=2","Abrir facsímil")</f>
        <v>Abrir facsímil</v>
      </c>
      <c r="K1722" s="15" t="s">
        <v>23</v>
      </c>
    </row>
    <row r="1723" spans="1:11" ht="42" customHeight="1">
      <c r="A1723" s="4" t="s">
        <v>4476</v>
      </c>
      <c r="B1723" s="5" t="s">
        <v>4477</v>
      </c>
      <c r="C1723" s="5" t="s">
        <v>18</v>
      </c>
      <c r="D1723" s="5" t="s">
        <v>19</v>
      </c>
      <c r="E1723" s="5" t="s">
        <v>1097</v>
      </c>
      <c r="F1723" s="9">
        <v>20</v>
      </c>
      <c r="G1723" s="9">
        <v>215</v>
      </c>
      <c r="H1723" s="5" t="s">
        <v>21</v>
      </c>
      <c r="I1723" s="5" t="s">
        <v>4478</v>
      </c>
      <c r="J1723" s="12" t="str">
        <f>HYPERLINK("https://www.boe.es/gazeta/dias/1802/03/09/pdfs/GMD-1802-20.pdf#page=3","Abrir facsímil")</f>
        <v>Abrir facsímil</v>
      </c>
      <c r="K1723" s="15" t="s">
        <v>23</v>
      </c>
    </row>
    <row r="1724" spans="1:11" ht="42" customHeight="1">
      <c r="A1724" s="4" t="s">
        <v>4479</v>
      </c>
      <c r="B1724" s="5" t="s">
        <v>4480</v>
      </c>
      <c r="C1724" s="5" t="s">
        <v>29</v>
      </c>
      <c r="D1724" s="5" t="s">
        <v>30</v>
      </c>
      <c r="E1724" s="5" t="s">
        <v>1332</v>
      </c>
      <c r="F1724" s="9">
        <v>4</v>
      </c>
      <c r="G1724" s="9">
        <v>33</v>
      </c>
      <c r="H1724" s="5" t="s">
        <v>21</v>
      </c>
      <c r="I1724" s="5" t="s">
        <v>4481</v>
      </c>
      <c r="J1724" s="12" t="str">
        <f>HYPERLINK("https://www.boe.es/gazeta/dias/1802/01/12/pdfs/GMD-1802-4.pdf#page=5","Abrir facsímil")</f>
        <v>Abrir facsímil</v>
      </c>
      <c r="K1724" s="15" t="s">
        <v>23</v>
      </c>
    </row>
    <row r="1725" spans="1:11" ht="42" customHeight="1">
      <c r="A1725" s="4" t="s">
        <v>4482</v>
      </c>
      <c r="B1725" s="5" t="s">
        <v>4483</v>
      </c>
      <c r="C1725" s="5" t="s">
        <v>29</v>
      </c>
      <c r="D1725" s="5" t="s">
        <v>30</v>
      </c>
      <c r="E1725" s="5" t="s">
        <v>299</v>
      </c>
      <c r="F1725" s="9">
        <v>19</v>
      </c>
      <c r="G1725" s="9">
        <v>209</v>
      </c>
      <c r="H1725" s="5" t="s">
        <v>21</v>
      </c>
      <c r="I1725" s="5" t="s">
        <v>4484</v>
      </c>
      <c r="J1725" s="12" t="str">
        <f>HYPERLINK("https://www.boe.es/gazeta/dias/1802/03/05/pdfs/GMD-1802-19.pdf#page=9","Abrir facsímil")</f>
        <v>Abrir facsímil</v>
      </c>
      <c r="K1725" s="15" t="s">
        <v>23</v>
      </c>
    </row>
    <row r="1726" spans="1:11" ht="42" customHeight="1">
      <c r="A1726" s="4" t="s">
        <v>4485</v>
      </c>
      <c r="B1726" s="5" t="s">
        <v>4486</v>
      </c>
      <c r="C1726" s="5" t="s">
        <v>35</v>
      </c>
      <c r="D1726" s="5" t="s">
        <v>36</v>
      </c>
      <c r="E1726" s="5" t="s">
        <v>1332</v>
      </c>
      <c r="F1726" s="9">
        <v>4</v>
      </c>
      <c r="G1726" s="9">
        <v>30</v>
      </c>
      <c r="H1726" s="5" t="s">
        <v>21</v>
      </c>
      <c r="I1726" s="5" t="s">
        <v>4487</v>
      </c>
      <c r="J1726" s="12" t="str">
        <f>HYPERLINK("https://www.boe.es/gazeta/dias/1802/01/12/pdfs/GMD-1802-4.pdf#page=2","Abrir facsímil")</f>
        <v>Abrir facsímil</v>
      </c>
      <c r="K1726" s="15" t="s">
        <v>23</v>
      </c>
    </row>
    <row r="1727" spans="1:11" ht="42" customHeight="1">
      <c r="A1727" s="4" t="s">
        <v>4485</v>
      </c>
      <c r="B1727" s="5" t="s">
        <v>4486</v>
      </c>
      <c r="C1727" s="5" t="s">
        <v>29</v>
      </c>
      <c r="D1727" s="5" t="s">
        <v>30</v>
      </c>
      <c r="E1727" s="5" t="s">
        <v>1829</v>
      </c>
      <c r="F1727" s="9">
        <v>32</v>
      </c>
      <c r="G1727" s="9">
        <v>372</v>
      </c>
      <c r="H1727" s="5" t="s">
        <v>21</v>
      </c>
      <c r="I1727" s="5" t="s">
        <v>4488</v>
      </c>
      <c r="J1727" s="12" t="str">
        <f>HYPERLINK("https://www.boe.es/gazeta/dias/1802/04/20/pdfs/GMD-1802-32.pdf#page=4","Abrir facsímil")</f>
        <v>Abrir facsímil</v>
      </c>
      <c r="K1727" s="15" t="s">
        <v>23</v>
      </c>
    </row>
    <row r="1728" spans="1:11" ht="42" customHeight="1">
      <c r="A1728" s="4" t="s">
        <v>4489</v>
      </c>
      <c r="B1728" s="5" t="s">
        <v>4490</v>
      </c>
      <c r="C1728" s="5" t="s">
        <v>18</v>
      </c>
      <c r="D1728" s="5" t="s">
        <v>19</v>
      </c>
      <c r="E1728" s="5" t="s">
        <v>49</v>
      </c>
      <c r="F1728" s="9">
        <v>83</v>
      </c>
      <c r="G1728" s="9">
        <v>1019</v>
      </c>
      <c r="H1728" s="5" t="s">
        <v>21</v>
      </c>
      <c r="I1728" s="5" t="s">
        <v>4491</v>
      </c>
      <c r="J1728" s="12" t="str">
        <f>HYPERLINK("https://www.boe.es/gazeta/dias/1802/10/12/pdfs/GMD-1802-83.pdf#page=7","Abrir facsímil")</f>
        <v>Abrir facsímil</v>
      </c>
      <c r="K1728" s="15" t="s">
        <v>23</v>
      </c>
    </row>
    <row r="1729" spans="1:11" ht="42" customHeight="1">
      <c r="A1729" s="4" t="s">
        <v>4492</v>
      </c>
      <c r="B1729" s="5" t="s">
        <v>4493</v>
      </c>
      <c r="C1729" s="5" t="s">
        <v>18</v>
      </c>
      <c r="D1729" s="5" t="s">
        <v>19</v>
      </c>
      <c r="E1729" s="5" t="s">
        <v>75</v>
      </c>
      <c r="F1729" s="9">
        <v>103</v>
      </c>
      <c r="G1729" s="9">
        <v>1263</v>
      </c>
      <c r="H1729" s="5" t="s">
        <v>21</v>
      </c>
      <c r="I1729" s="5" t="s">
        <v>4494</v>
      </c>
      <c r="J1729" s="12" t="str">
        <f>HYPERLINK("https://www.boe.es/gazeta/dias/1802/12/21/pdfs/GMD-1802-103.pdf#page=7","Abrir facsímil")</f>
        <v>Abrir facsímil</v>
      </c>
      <c r="K1729" s="15" t="s">
        <v>23</v>
      </c>
    </row>
    <row r="1730" spans="1:11" ht="42" customHeight="1">
      <c r="A1730" s="4" t="s">
        <v>4495</v>
      </c>
      <c r="B1730" s="5" t="s">
        <v>4496</v>
      </c>
      <c r="C1730" s="5" t="s">
        <v>18</v>
      </c>
      <c r="D1730" s="5" t="s">
        <v>19</v>
      </c>
      <c r="E1730" s="5" t="s">
        <v>196</v>
      </c>
      <c r="F1730" s="9">
        <v>2</v>
      </c>
      <c r="G1730" s="9">
        <v>17</v>
      </c>
      <c r="H1730" s="5" t="s">
        <v>21</v>
      </c>
      <c r="I1730" s="5" t="s">
        <v>4497</v>
      </c>
      <c r="J1730" s="12" t="str">
        <f>HYPERLINK("https://www.boe.es/gazeta/dias/1802/01/05/pdfs/GMD-1802-2.pdf#page=9","Abrir facsímil")</f>
        <v>Abrir facsímil</v>
      </c>
      <c r="K1730" s="15" t="s">
        <v>23</v>
      </c>
    </row>
    <row r="1731" spans="1:11" ht="42" customHeight="1">
      <c r="A1731" s="4" t="s">
        <v>4498</v>
      </c>
      <c r="B1731" s="5" t="s">
        <v>4499</v>
      </c>
      <c r="C1731" s="5" t="s">
        <v>90</v>
      </c>
      <c r="D1731" s="5" t="s">
        <v>91</v>
      </c>
      <c r="E1731" s="5" t="s">
        <v>152</v>
      </c>
      <c r="F1731" s="9">
        <v>25</v>
      </c>
      <c r="G1731" s="9">
        <v>286</v>
      </c>
      <c r="H1731" s="5" t="s">
        <v>21</v>
      </c>
      <c r="I1731" s="5" t="s">
        <v>4500</v>
      </c>
      <c r="J1731" s="12" t="str">
        <f>HYPERLINK("https://www.boe.es/gazeta/dias/1802/03/26/pdfs/GMD-1802-25.pdf#page=10","Abrir facsímil")</f>
        <v>Abrir facsímil</v>
      </c>
      <c r="K1731" s="15" t="s">
        <v>23</v>
      </c>
    </row>
    <row r="1732" spans="1:11" ht="42" customHeight="1">
      <c r="A1732" s="4" t="s">
        <v>4501</v>
      </c>
      <c r="B1732" s="5" t="s">
        <v>4502</v>
      </c>
      <c r="C1732" s="5" t="s">
        <v>35</v>
      </c>
      <c r="D1732" s="5" t="s">
        <v>36</v>
      </c>
      <c r="E1732" s="5" t="s">
        <v>385</v>
      </c>
      <c r="F1732" s="9">
        <v>70</v>
      </c>
      <c r="G1732" s="9">
        <v>853</v>
      </c>
      <c r="H1732" s="5" t="s">
        <v>21</v>
      </c>
      <c r="I1732" s="5" t="s">
        <v>4503</v>
      </c>
      <c r="J1732" s="12" t="str">
        <f>HYPERLINK("https://www.boe.es/gazeta/dias/1802/08/27/pdfs/GMD-1802-70.pdf#page=1","Abrir facsímil")</f>
        <v>Abrir facsímil</v>
      </c>
      <c r="K1732" s="15" t="s">
        <v>23</v>
      </c>
    </row>
    <row r="1733" spans="1:11" ht="42" customHeight="1">
      <c r="A1733" s="4" t="s">
        <v>4504</v>
      </c>
      <c r="B1733" s="5" t="s">
        <v>4505</v>
      </c>
      <c r="C1733" s="5" t="s">
        <v>18</v>
      </c>
      <c r="D1733" s="5" t="s">
        <v>19</v>
      </c>
      <c r="E1733" s="5" t="s">
        <v>121</v>
      </c>
      <c r="F1733" s="9">
        <v>87</v>
      </c>
      <c r="G1733" s="9">
        <v>1082</v>
      </c>
      <c r="H1733" s="5" t="s">
        <v>21</v>
      </c>
      <c r="I1733" s="5" t="s">
        <v>4506</v>
      </c>
      <c r="J1733" s="12" t="str">
        <f>HYPERLINK("https://www.boe.es/gazeta/dias/1802/10/26/pdfs/GMD-1802-87.pdf#page=10","Abrir facsímil")</f>
        <v>Abrir facsímil</v>
      </c>
      <c r="K1733" s="15" t="s">
        <v>23</v>
      </c>
    </row>
    <row r="1734" spans="1:11" ht="42" customHeight="1">
      <c r="A1734" s="4" t="s">
        <v>4507</v>
      </c>
      <c r="B1734" s="5" t="s">
        <v>4508</v>
      </c>
      <c r="C1734" s="5" t="s">
        <v>90</v>
      </c>
      <c r="D1734" s="5" t="s">
        <v>91</v>
      </c>
      <c r="E1734" s="5" t="s">
        <v>436</v>
      </c>
      <c r="F1734" s="9">
        <v>58</v>
      </c>
      <c r="G1734" s="9">
        <v>701</v>
      </c>
      <c r="H1734" s="5" t="s">
        <v>21</v>
      </c>
      <c r="I1734" s="5" t="s">
        <v>4509</v>
      </c>
      <c r="J1734" s="12" t="str">
        <f>HYPERLINK("https://www.boe.es/gazeta/dias/1802/07/20/pdfs/GMD-1802-58.pdf#page=9","Abrir facsímil")</f>
        <v>Abrir facsímil</v>
      </c>
      <c r="K1734" s="15" t="s">
        <v>23</v>
      </c>
    </row>
    <row r="1735" spans="1:11" ht="42" customHeight="1">
      <c r="A1735" s="4" t="s">
        <v>4510</v>
      </c>
      <c r="B1735" s="5" t="s">
        <v>4511</v>
      </c>
      <c r="C1735" s="5" t="s">
        <v>18</v>
      </c>
      <c r="D1735" s="5" t="s">
        <v>19</v>
      </c>
      <c r="E1735" s="5" t="s">
        <v>20</v>
      </c>
      <c r="F1735" s="9">
        <v>84</v>
      </c>
      <c r="G1735" s="9">
        <v>1047</v>
      </c>
      <c r="H1735" s="5" t="s">
        <v>21</v>
      </c>
      <c r="I1735" s="5" t="s">
        <v>4512</v>
      </c>
      <c r="J1735" s="12" t="str">
        <f>HYPERLINK("https://www.boe.es/gazeta/dias/1802/10/15/pdfs/GMD-1802-84.pdf#page=15","Abrir facsímil")</f>
        <v>Abrir facsímil</v>
      </c>
      <c r="K1735" s="15" t="s">
        <v>23</v>
      </c>
    </row>
    <row r="1736" spans="1:11" ht="42" customHeight="1">
      <c r="A1736" s="4" t="s">
        <v>4513</v>
      </c>
      <c r="B1736" s="5" t="s">
        <v>4514</v>
      </c>
      <c r="C1736" s="5" t="s">
        <v>29</v>
      </c>
      <c r="D1736" s="5" t="s">
        <v>30</v>
      </c>
      <c r="E1736" s="5" t="s">
        <v>299</v>
      </c>
      <c r="F1736" s="9">
        <v>19</v>
      </c>
      <c r="G1736" s="9">
        <v>210</v>
      </c>
      <c r="H1736" s="5" t="s">
        <v>21</v>
      </c>
      <c r="I1736" s="5" t="s">
        <v>4515</v>
      </c>
      <c r="J1736" s="12" t="str">
        <f>HYPERLINK("https://www.boe.es/gazeta/dias/1802/03/05/pdfs/GMD-1802-19.pdf#page=10","Abrir facsímil")</f>
        <v>Abrir facsímil</v>
      </c>
      <c r="K1736" s="15" t="s">
        <v>23</v>
      </c>
    </row>
    <row r="1737" spans="1:11" ht="42" customHeight="1">
      <c r="A1737" s="4" t="s">
        <v>4516</v>
      </c>
      <c r="B1737" s="5" t="s">
        <v>4517</v>
      </c>
      <c r="C1737" s="5" t="s">
        <v>29</v>
      </c>
      <c r="D1737" s="5" t="s">
        <v>30</v>
      </c>
      <c r="E1737" s="5" t="s">
        <v>25</v>
      </c>
      <c r="F1737" s="9">
        <v>44</v>
      </c>
      <c r="G1737" s="9">
        <v>533</v>
      </c>
      <c r="H1737" s="5" t="s">
        <v>21</v>
      </c>
      <c r="I1737" s="5" t="s">
        <v>4518</v>
      </c>
      <c r="J1737" s="12" t="str">
        <f>HYPERLINK("https://www.boe.es/gazeta/dias/1802/06/01/pdfs/GMD-1802-44.pdf#page=9","Abrir facsímil")</f>
        <v>Abrir facsímil</v>
      </c>
      <c r="K1737" s="15" t="s">
        <v>23</v>
      </c>
    </row>
    <row r="1738" spans="1:11" ht="42" customHeight="1">
      <c r="A1738" s="4" t="s">
        <v>4519</v>
      </c>
      <c r="B1738" s="5" t="s">
        <v>4520</v>
      </c>
      <c r="C1738" s="5" t="s">
        <v>18</v>
      </c>
      <c r="D1738" s="5" t="s">
        <v>19</v>
      </c>
      <c r="E1738" s="5" t="s">
        <v>20</v>
      </c>
      <c r="F1738" s="9">
        <v>84</v>
      </c>
      <c r="G1738" s="9">
        <v>1040</v>
      </c>
      <c r="H1738" s="5" t="s">
        <v>21</v>
      </c>
      <c r="I1738" s="5" t="s">
        <v>4521</v>
      </c>
      <c r="J1738" s="12" t="str">
        <f>HYPERLINK("https://www.boe.es/gazeta/dias/1802/10/15/pdfs/GMD-1802-84.pdf#page=8","Abrir facsímil")</f>
        <v>Abrir facsímil</v>
      </c>
      <c r="K1738" s="15" t="s">
        <v>23</v>
      </c>
    </row>
    <row r="1739" spans="1:11" ht="42" customHeight="1">
      <c r="A1739" s="4" t="s">
        <v>4522</v>
      </c>
      <c r="B1739" s="5" t="s">
        <v>4523</v>
      </c>
      <c r="C1739" s="5" t="s">
        <v>18</v>
      </c>
      <c r="D1739" s="5" t="s">
        <v>19</v>
      </c>
      <c r="E1739" s="5" t="s">
        <v>20</v>
      </c>
      <c r="F1739" s="9">
        <v>84</v>
      </c>
      <c r="G1739" s="9">
        <v>1047</v>
      </c>
      <c r="H1739" s="5" t="s">
        <v>21</v>
      </c>
      <c r="I1739" s="5" t="s">
        <v>4524</v>
      </c>
      <c r="J1739" s="12" t="str">
        <f>HYPERLINK("https://www.boe.es/gazeta/dias/1802/10/15/pdfs/GMD-1802-84.pdf#page=15","Abrir facsímil")</f>
        <v>Abrir facsímil</v>
      </c>
      <c r="K1739" s="15" t="s">
        <v>23</v>
      </c>
    </row>
    <row r="1740" spans="1:11" ht="42" customHeight="1">
      <c r="A1740" s="4" t="s">
        <v>4525</v>
      </c>
      <c r="B1740" s="5" t="s">
        <v>4526</v>
      </c>
      <c r="C1740" s="5" t="s">
        <v>90</v>
      </c>
      <c r="D1740" s="5" t="s">
        <v>91</v>
      </c>
      <c r="E1740" s="5" t="s">
        <v>258</v>
      </c>
      <c r="F1740" s="9">
        <v>63</v>
      </c>
      <c r="G1740" s="9">
        <v>771</v>
      </c>
      <c r="H1740" s="5" t="s">
        <v>21</v>
      </c>
      <c r="I1740" s="5" t="s">
        <v>4527</v>
      </c>
      <c r="J1740" s="12" t="str">
        <f>HYPERLINK("https://www.boe.es/gazeta/dias/1802/08/03/pdfs/GMD-1802-63.pdf#page=11","Abrir facsímil")</f>
        <v>Abrir facsímil</v>
      </c>
      <c r="K1740" s="15" t="s">
        <v>23</v>
      </c>
    </row>
    <row r="1741" spans="1:11" ht="42" customHeight="1">
      <c r="A1741" s="4" t="s">
        <v>4528</v>
      </c>
      <c r="B1741" s="5" t="s">
        <v>4529</v>
      </c>
      <c r="C1741" s="5" t="s">
        <v>55</v>
      </c>
      <c r="D1741" s="5" t="s">
        <v>56</v>
      </c>
      <c r="E1741" s="5" t="s">
        <v>75</v>
      </c>
      <c r="F1741" s="9">
        <v>103</v>
      </c>
      <c r="G1741" s="9">
        <v>1264</v>
      </c>
      <c r="H1741" s="5" t="s">
        <v>21</v>
      </c>
      <c r="I1741" s="5" t="s">
        <v>4530</v>
      </c>
      <c r="J1741" s="12" t="str">
        <f>HYPERLINK("https://www.boe.es/gazeta/dias/1802/12/21/pdfs/GMD-1802-103.pdf#page=8","Abrir facsímil")</f>
        <v>Abrir facsímil</v>
      </c>
      <c r="K1741" s="15" t="s">
        <v>23</v>
      </c>
    </row>
    <row r="1742" spans="1:11" ht="42" customHeight="1">
      <c r="A1742" s="4" t="s">
        <v>4531</v>
      </c>
      <c r="B1742" s="5" t="s">
        <v>4532</v>
      </c>
      <c r="C1742" s="5" t="s">
        <v>29</v>
      </c>
      <c r="D1742" s="5" t="s">
        <v>30</v>
      </c>
      <c r="E1742" s="5" t="s">
        <v>146</v>
      </c>
      <c r="F1742" s="9">
        <v>42</v>
      </c>
      <c r="G1742" s="9">
        <v>504</v>
      </c>
      <c r="H1742" s="5" t="s">
        <v>21</v>
      </c>
      <c r="I1742" s="5" t="s">
        <v>4533</v>
      </c>
      <c r="J1742" s="12" t="str">
        <f>HYPERLINK("https://www.boe.es/gazeta/dias/1802/05/25/pdfs/GMD-1802-42.pdf#page=8","Abrir facsímil")</f>
        <v>Abrir facsímil</v>
      </c>
      <c r="K1742" s="15" t="s">
        <v>23</v>
      </c>
    </row>
    <row r="1743" spans="1:11" ht="42" customHeight="1">
      <c r="A1743" s="4" t="s">
        <v>4534</v>
      </c>
      <c r="B1743" s="5" t="s">
        <v>4535</v>
      </c>
      <c r="C1743" s="5" t="s">
        <v>29</v>
      </c>
      <c r="D1743" s="5" t="s">
        <v>30</v>
      </c>
      <c r="E1743" s="5" t="s">
        <v>453</v>
      </c>
      <c r="F1743" s="9">
        <v>52</v>
      </c>
      <c r="G1743" s="9">
        <v>631</v>
      </c>
      <c r="H1743" s="5" t="s">
        <v>21</v>
      </c>
      <c r="I1743" s="5" t="s">
        <v>4536</v>
      </c>
      <c r="J1743" s="12" t="str">
        <f>HYPERLINK("https://www.boe.es/gazeta/dias/1802/06/29/pdfs/GMD-1802-52.pdf#page=7","Abrir facsímil")</f>
        <v>Abrir facsímil</v>
      </c>
      <c r="K1743" s="15" t="s">
        <v>23</v>
      </c>
    </row>
    <row r="1744" spans="1:11" ht="42" customHeight="1">
      <c r="A1744" s="4" t="s">
        <v>4537</v>
      </c>
      <c r="B1744" s="5" t="s">
        <v>4538</v>
      </c>
      <c r="C1744" s="5" t="s">
        <v>18</v>
      </c>
      <c r="D1744" s="5" t="s">
        <v>19</v>
      </c>
      <c r="E1744" s="5" t="s">
        <v>31</v>
      </c>
      <c r="F1744" s="9">
        <v>27</v>
      </c>
      <c r="G1744" s="9">
        <v>317</v>
      </c>
      <c r="H1744" s="5" t="s">
        <v>21</v>
      </c>
      <c r="I1744" s="5" t="s">
        <v>4539</v>
      </c>
      <c r="J1744" s="12" t="str">
        <f>HYPERLINK("https://www.boe.es/gazeta/dias/1802/04/02/pdfs/GMD-1802-27.pdf#page=13","Abrir facsímil")</f>
        <v>Abrir facsímil</v>
      </c>
      <c r="K1744" s="15" t="s">
        <v>23</v>
      </c>
    </row>
    <row r="1745" spans="1:11" ht="42" customHeight="1">
      <c r="A1745" s="4" t="s">
        <v>4540</v>
      </c>
      <c r="B1745" s="5" t="s">
        <v>4541</v>
      </c>
      <c r="C1745" s="5" t="s">
        <v>29</v>
      </c>
      <c r="D1745" s="5" t="s">
        <v>30</v>
      </c>
      <c r="E1745" s="5" t="s">
        <v>20</v>
      </c>
      <c r="F1745" s="9">
        <v>84</v>
      </c>
      <c r="G1745" s="9">
        <v>1048</v>
      </c>
      <c r="H1745" s="5" t="s">
        <v>21</v>
      </c>
      <c r="I1745" s="5" t="s">
        <v>4542</v>
      </c>
      <c r="J1745" s="12" t="str">
        <f>HYPERLINK("https://www.boe.es/gazeta/dias/1802/10/15/pdfs/GMD-1802-84.pdf#page=16","Abrir facsímil")</f>
        <v>Abrir facsímil</v>
      </c>
      <c r="K1745" s="15" t="s">
        <v>23</v>
      </c>
    </row>
    <row r="1746" spans="1:11" ht="42" customHeight="1">
      <c r="A1746" s="4" t="s">
        <v>4543</v>
      </c>
      <c r="B1746" s="5" t="s">
        <v>4544</v>
      </c>
      <c r="C1746" s="5" t="s">
        <v>18</v>
      </c>
      <c r="D1746" s="5" t="s">
        <v>19</v>
      </c>
      <c r="E1746" s="5" t="s">
        <v>49</v>
      </c>
      <c r="F1746" s="9">
        <v>83</v>
      </c>
      <c r="G1746" s="9">
        <v>1020</v>
      </c>
      <c r="H1746" s="5" t="s">
        <v>21</v>
      </c>
      <c r="I1746" s="5" t="s">
        <v>4545</v>
      </c>
      <c r="J1746" s="12" t="str">
        <f>HYPERLINK("https://www.boe.es/gazeta/dias/1802/10/12/pdfs/GMD-1802-83.pdf#page=8","Abrir facsímil")</f>
        <v>Abrir facsímil</v>
      </c>
      <c r="K1746" s="15" t="s">
        <v>23</v>
      </c>
    </row>
    <row r="1747" spans="1:11" ht="42" customHeight="1">
      <c r="A1747" s="4" t="s">
        <v>4546</v>
      </c>
      <c r="B1747" s="5" t="s">
        <v>4547</v>
      </c>
      <c r="C1747" s="5" t="s">
        <v>55</v>
      </c>
      <c r="D1747" s="5" t="s">
        <v>56</v>
      </c>
      <c r="E1747" s="5" t="s">
        <v>678</v>
      </c>
      <c r="F1747" s="9">
        <v>15</v>
      </c>
      <c r="G1747" s="9">
        <v>159</v>
      </c>
      <c r="H1747" s="5" t="s">
        <v>21</v>
      </c>
      <c r="I1747" s="5" t="s">
        <v>4548</v>
      </c>
      <c r="J1747" s="12" t="str">
        <f>HYPERLINK("https://www.boe.es/gazeta/dias/1802/02/19/pdfs/GMD-1802-15.pdf#page=11","Abrir facsímil")</f>
        <v>Abrir facsímil</v>
      </c>
      <c r="K1747" s="15" t="s">
        <v>23</v>
      </c>
    </row>
    <row r="1748" spans="1:11" ht="42" customHeight="1">
      <c r="A1748" s="4" t="s">
        <v>4549</v>
      </c>
      <c r="B1748" s="5" t="s">
        <v>4550</v>
      </c>
      <c r="C1748" s="5" t="s">
        <v>29</v>
      </c>
      <c r="D1748" s="5" t="s">
        <v>30</v>
      </c>
      <c r="E1748" s="5" t="s">
        <v>232</v>
      </c>
      <c r="F1748" s="9">
        <v>30</v>
      </c>
      <c r="G1748" s="9">
        <v>350</v>
      </c>
      <c r="H1748" s="5" t="s">
        <v>21</v>
      </c>
      <c r="I1748" s="5" t="s">
        <v>4551</v>
      </c>
      <c r="J1748" s="12" t="str">
        <f>HYPERLINK("https://www.boe.es/gazeta/dias/1802/04/13/pdfs/GMD-1802-30.pdf#page=6","Abrir facsímil")</f>
        <v>Abrir facsímil</v>
      </c>
      <c r="K1748" s="15" t="s">
        <v>23</v>
      </c>
    </row>
    <row r="1749" spans="1:11" ht="42" customHeight="1">
      <c r="A1749" s="4" t="s">
        <v>4552</v>
      </c>
      <c r="B1749" s="5" t="s">
        <v>4553</v>
      </c>
      <c r="C1749" s="5" t="s">
        <v>18</v>
      </c>
      <c r="D1749" s="5" t="s">
        <v>19</v>
      </c>
      <c r="E1749" s="5" t="s">
        <v>900</v>
      </c>
      <c r="F1749" s="9">
        <v>16</v>
      </c>
      <c r="G1749" s="9">
        <v>169</v>
      </c>
      <c r="H1749" s="5" t="s">
        <v>21</v>
      </c>
      <c r="I1749" s="5" t="s">
        <v>4554</v>
      </c>
      <c r="J1749" s="12" t="str">
        <f>HYPERLINK("https://www.boe.es/gazeta/dias/1802/02/23/pdfs/GMD-1802-16.pdf#page=9","Abrir facsímil")</f>
        <v>Abrir facsímil</v>
      </c>
      <c r="K1749" s="15" t="s">
        <v>23</v>
      </c>
    </row>
    <row r="1750" spans="1:11" ht="42" customHeight="1">
      <c r="A1750" s="4" t="s">
        <v>4555</v>
      </c>
      <c r="B1750" s="5" t="s">
        <v>4556</v>
      </c>
      <c r="C1750" s="5" t="s">
        <v>90</v>
      </c>
      <c r="D1750" s="5" t="s">
        <v>91</v>
      </c>
      <c r="E1750" s="5" t="s">
        <v>102</v>
      </c>
      <c r="F1750" s="9">
        <v>73</v>
      </c>
      <c r="G1750" s="9">
        <v>901</v>
      </c>
      <c r="H1750" s="5" t="s">
        <v>21</v>
      </c>
      <c r="I1750" s="5" t="s">
        <v>4557</v>
      </c>
      <c r="J1750" s="12" t="str">
        <f>HYPERLINK("https://www.boe.es/gazeta/dias/1802/09/07/pdfs/GMD-1802-73.pdf#page=9","Abrir facsímil")</f>
        <v>Abrir facsímil</v>
      </c>
      <c r="K1750" s="15" t="s">
        <v>23</v>
      </c>
    </row>
    <row r="1751" spans="1:11" ht="42" customHeight="1">
      <c r="A1751" s="4" t="s">
        <v>4558</v>
      </c>
      <c r="B1751" s="5" t="s">
        <v>4559</v>
      </c>
      <c r="C1751" s="5" t="s">
        <v>29</v>
      </c>
      <c r="D1751" s="5" t="s">
        <v>30</v>
      </c>
      <c r="E1751" s="5" t="s">
        <v>1588</v>
      </c>
      <c r="F1751" s="9">
        <v>18</v>
      </c>
      <c r="G1751" s="9">
        <v>197</v>
      </c>
      <c r="H1751" s="5" t="s">
        <v>21</v>
      </c>
      <c r="I1751" s="5" t="s">
        <v>4560</v>
      </c>
      <c r="J1751" s="12" t="str">
        <f>HYPERLINK("https://www.boe.es/gazeta/dias/1802/03/02/pdfs/GMD-1802-18.pdf#page=9","Abrir facsímil")</f>
        <v>Abrir facsímil</v>
      </c>
      <c r="K1751" s="15" t="s">
        <v>23</v>
      </c>
    </row>
    <row r="1752" spans="1:11" ht="42" customHeight="1">
      <c r="A1752" s="4" t="s">
        <v>4561</v>
      </c>
      <c r="B1752" s="5" t="s">
        <v>4562</v>
      </c>
      <c r="C1752" s="5" t="s">
        <v>90</v>
      </c>
      <c r="D1752" s="5" t="s">
        <v>91</v>
      </c>
      <c r="E1752" s="5" t="s">
        <v>86</v>
      </c>
      <c r="F1752" s="9">
        <v>26</v>
      </c>
      <c r="G1752" s="9">
        <v>297</v>
      </c>
      <c r="H1752" s="5" t="s">
        <v>21</v>
      </c>
      <c r="I1752" s="5" t="s">
        <v>4563</v>
      </c>
      <c r="J1752" s="12" t="str">
        <f>HYPERLINK("https://www.boe.es/gazeta/dias/1802/03/30/pdfs/GMD-1802-26.pdf#page=9","Abrir facsímil")</f>
        <v>Abrir facsímil</v>
      </c>
      <c r="K1752" s="15" t="s">
        <v>23</v>
      </c>
    </row>
    <row r="1753" spans="1:11" ht="42" customHeight="1">
      <c r="A1753" s="4" t="s">
        <v>4564</v>
      </c>
      <c r="B1753" s="5" t="s">
        <v>4565</v>
      </c>
      <c r="C1753" s="5" t="s">
        <v>29</v>
      </c>
      <c r="D1753" s="5" t="s">
        <v>30</v>
      </c>
      <c r="E1753" s="5" t="s">
        <v>710</v>
      </c>
      <c r="F1753" s="9">
        <v>85</v>
      </c>
      <c r="G1753" s="9">
        <v>1058</v>
      </c>
      <c r="H1753" s="5" t="s">
        <v>21</v>
      </c>
      <c r="I1753" s="5" t="s">
        <v>4566</v>
      </c>
      <c r="J1753" s="12" t="str">
        <f>HYPERLINK("https://www.boe.es/gazeta/dias/1802/10/19/pdfs/GMD-1802-85.pdf#page=10","Abrir facsímil")</f>
        <v>Abrir facsímil</v>
      </c>
      <c r="K1753" s="15" t="s">
        <v>23</v>
      </c>
    </row>
    <row r="1754" spans="1:11" ht="42" customHeight="1">
      <c r="A1754" s="4" t="s">
        <v>4567</v>
      </c>
      <c r="B1754" s="5" t="s">
        <v>4568</v>
      </c>
      <c r="C1754" s="5" t="s">
        <v>29</v>
      </c>
      <c r="D1754" s="5" t="s">
        <v>30</v>
      </c>
      <c r="E1754" s="5" t="s">
        <v>192</v>
      </c>
      <c r="F1754" s="9">
        <v>53</v>
      </c>
      <c r="G1754" s="9">
        <v>643</v>
      </c>
      <c r="H1754" s="5" t="s">
        <v>21</v>
      </c>
      <c r="I1754" s="5" t="s">
        <v>4569</v>
      </c>
      <c r="J1754" s="12" t="str">
        <f>HYPERLINK("https://www.boe.es/gazeta/dias/1802/07/02/pdfs/GMD-1802-53.pdf#page=11","Abrir facsímil")</f>
        <v>Abrir facsímil</v>
      </c>
      <c r="K1754" s="15" t="s">
        <v>23</v>
      </c>
    </row>
    <row r="1755" spans="1:11" ht="42" customHeight="1">
      <c r="A1755" s="4" t="s">
        <v>4570</v>
      </c>
      <c r="B1755" s="5" t="s">
        <v>4571</v>
      </c>
      <c r="C1755" s="5" t="s">
        <v>18</v>
      </c>
      <c r="D1755" s="5" t="s">
        <v>19</v>
      </c>
      <c r="E1755" s="5" t="s">
        <v>381</v>
      </c>
      <c r="F1755" s="9">
        <v>13</v>
      </c>
      <c r="G1755" s="9">
        <v>131</v>
      </c>
      <c r="H1755" s="5" t="s">
        <v>21</v>
      </c>
      <c r="I1755" s="5" t="s">
        <v>4572</v>
      </c>
      <c r="J1755" s="12" t="str">
        <f>HYPERLINK("https://www.boe.es/gazeta/dias/1802/02/12/pdfs/GMD-1802-13.pdf#page=7","Abrir facsímil")</f>
        <v>Abrir facsímil</v>
      </c>
      <c r="K1755" s="15" t="s">
        <v>23</v>
      </c>
    </row>
    <row r="1756" spans="1:11" ht="42" customHeight="1">
      <c r="A1756" s="4" t="s">
        <v>4573</v>
      </c>
      <c r="B1756" s="5" t="s">
        <v>4574</v>
      </c>
      <c r="C1756" s="5" t="s">
        <v>18</v>
      </c>
      <c r="D1756" s="5" t="s">
        <v>19</v>
      </c>
      <c r="E1756" s="5" t="s">
        <v>152</v>
      </c>
      <c r="F1756" s="9">
        <v>25</v>
      </c>
      <c r="G1756" s="9">
        <v>285</v>
      </c>
      <c r="H1756" s="5" t="s">
        <v>21</v>
      </c>
      <c r="I1756" s="5" t="s">
        <v>4575</v>
      </c>
      <c r="J1756" s="12" t="str">
        <f>HYPERLINK("https://www.boe.es/gazeta/dias/1802/03/26/pdfs/GMD-1802-25.pdf#page=9","Abrir facsímil")</f>
        <v>Abrir facsímil</v>
      </c>
      <c r="K1756" s="15" t="s">
        <v>23</v>
      </c>
    </row>
    <row r="1757" spans="1:11" ht="42" customHeight="1">
      <c r="A1757" s="4" t="s">
        <v>4576</v>
      </c>
      <c r="B1757" s="5" t="s">
        <v>4577</v>
      </c>
      <c r="C1757" s="5" t="s">
        <v>18</v>
      </c>
      <c r="D1757" s="5" t="s">
        <v>19</v>
      </c>
      <c r="E1757" s="5" t="s">
        <v>20</v>
      </c>
      <c r="F1757" s="9">
        <v>84</v>
      </c>
      <c r="G1757" s="9">
        <v>1047</v>
      </c>
      <c r="H1757" s="5" t="s">
        <v>21</v>
      </c>
      <c r="I1757" s="5" t="s">
        <v>4578</v>
      </c>
      <c r="J1757" s="12" t="str">
        <f>HYPERLINK("https://www.boe.es/gazeta/dias/1802/10/15/pdfs/GMD-1802-84.pdf#page=15","Abrir facsímil")</f>
        <v>Abrir facsímil</v>
      </c>
      <c r="K1757" s="15" t="s">
        <v>23</v>
      </c>
    </row>
    <row r="1758" spans="1:11" ht="42" customHeight="1">
      <c r="A1758" s="4" t="s">
        <v>4579</v>
      </c>
      <c r="B1758" s="5" t="s">
        <v>4580</v>
      </c>
      <c r="C1758" s="5" t="s">
        <v>18</v>
      </c>
      <c r="D1758" s="5" t="s">
        <v>19</v>
      </c>
      <c r="E1758" s="5" t="s">
        <v>49</v>
      </c>
      <c r="F1758" s="9">
        <v>83</v>
      </c>
      <c r="G1758" s="9">
        <v>1022</v>
      </c>
      <c r="H1758" s="5" t="s">
        <v>21</v>
      </c>
      <c r="I1758" s="5" t="s">
        <v>4581</v>
      </c>
      <c r="J1758" s="12" t="str">
        <f>HYPERLINK("https://www.boe.es/gazeta/dias/1802/10/12/pdfs/GMD-1802-83.pdf#page=10","Abrir facsímil")</f>
        <v>Abrir facsímil</v>
      </c>
      <c r="K1758" s="15" t="s">
        <v>23</v>
      </c>
    </row>
    <row r="1759" spans="1:11" ht="42" customHeight="1">
      <c r="A1759" s="4" t="s">
        <v>4582</v>
      </c>
      <c r="B1759" s="5" t="s">
        <v>4583</v>
      </c>
      <c r="C1759" s="5" t="s">
        <v>90</v>
      </c>
      <c r="D1759" s="5" t="s">
        <v>91</v>
      </c>
      <c r="E1759" s="5" t="s">
        <v>590</v>
      </c>
      <c r="F1759" s="9">
        <v>38</v>
      </c>
      <c r="G1759" s="9">
        <v>454</v>
      </c>
      <c r="H1759" s="5" t="s">
        <v>21</v>
      </c>
      <c r="I1759" s="5" t="s">
        <v>4584</v>
      </c>
      <c r="J1759" s="12" t="str">
        <f>HYPERLINK("https://www.boe.es/gazeta/dias/1802/05/11/pdfs/GMD-1802-38.pdf#page=10","Abrir facsímil")</f>
        <v>Abrir facsímil</v>
      </c>
      <c r="K1759" s="15" t="s">
        <v>23</v>
      </c>
    </row>
    <row r="1760" spans="1:11" ht="42" customHeight="1">
      <c r="A1760" s="4" t="s">
        <v>4585</v>
      </c>
      <c r="B1760" s="5" t="s">
        <v>4586</v>
      </c>
      <c r="C1760" s="5" t="s">
        <v>35</v>
      </c>
      <c r="D1760" s="5" t="s">
        <v>36</v>
      </c>
      <c r="E1760" s="5" t="s">
        <v>172</v>
      </c>
      <c r="F1760" s="9">
        <v>35</v>
      </c>
      <c r="G1760" s="9">
        <v>404</v>
      </c>
      <c r="H1760" s="5" t="s">
        <v>21</v>
      </c>
      <c r="I1760" s="5" t="s">
        <v>4587</v>
      </c>
      <c r="J1760" s="12" t="str">
        <f>HYPERLINK("https://www.boe.es/gazeta/dias/1802/04/30/pdfs/GMD-1802-35.pdf#page=4","Abrir facsímil")</f>
        <v>Abrir facsímil</v>
      </c>
      <c r="K1760" s="15" t="s">
        <v>23</v>
      </c>
    </row>
    <row r="1761" spans="1:11" ht="42" customHeight="1">
      <c r="A1761" s="4" t="s">
        <v>4588</v>
      </c>
      <c r="B1761" s="5" t="s">
        <v>4589</v>
      </c>
      <c r="C1761" s="5" t="s">
        <v>35</v>
      </c>
      <c r="D1761" s="5" t="s">
        <v>36</v>
      </c>
      <c r="E1761" s="5" t="s">
        <v>436</v>
      </c>
      <c r="F1761" s="9">
        <v>58</v>
      </c>
      <c r="G1761" s="9">
        <v>694</v>
      </c>
      <c r="H1761" s="5" t="s">
        <v>21</v>
      </c>
      <c r="I1761" s="5" t="s">
        <v>4590</v>
      </c>
      <c r="J1761" s="12" t="str">
        <f>HYPERLINK("https://www.boe.es/gazeta/dias/1802/07/20/pdfs/GMD-1802-58.pdf#page=2","Abrir facsímil")</f>
        <v>Abrir facsímil</v>
      </c>
      <c r="K1761" s="15" t="s">
        <v>23</v>
      </c>
    </row>
    <row r="1762" spans="1:11" ht="42" customHeight="1">
      <c r="A1762" s="4" t="s">
        <v>4591</v>
      </c>
      <c r="B1762" s="5" t="s">
        <v>4592</v>
      </c>
      <c r="C1762" s="5" t="s">
        <v>29</v>
      </c>
      <c r="D1762" s="5" t="s">
        <v>30</v>
      </c>
      <c r="E1762" s="5" t="s">
        <v>678</v>
      </c>
      <c r="F1762" s="9">
        <v>15</v>
      </c>
      <c r="G1762" s="9">
        <v>151</v>
      </c>
      <c r="H1762" s="5" t="s">
        <v>21</v>
      </c>
      <c r="I1762" s="5" t="s">
        <v>4593</v>
      </c>
      <c r="J1762" s="12" t="str">
        <f>HYPERLINK("https://www.boe.es/gazeta/dias/1802/02/19/pdfs/GMD-1802-15.pdf#page=3","Abrir facsímil")</f>
        <v>Abrir facsímil</v>
      </c>
      <c r="K1762" s="15" t="s">
        <v>23</v>
      </c>
    </row>
    <row r="1763" spans="1:11" ht="42" customHeight="1">
      <c r="A1763" s="4" t="s">
        <v>4594</v>
      </c>
      <c r="B1763" s="5" t="s">
        <v>4595</v>
      </c>
      <c r="C1763" s="5" t="s">
        <v>90</v>
      </c>
      <c r="D1763" s="5" t="s">
        <v>91</v>
      </c>
      <c r="E1763" s="5" t="s">
        <v>292</v>
      </c>
      <c r="F1763" s="9">
        <v>62</v>
      </c>
      <c r="G1763" s="9">
        <v>753</v>
      </c>
      <c r="H1763" s="5" t="s">
        <v>21</v>
      </c>
      <c r="I1763" s="5" t="s">
        <v>4596</v>
      </c>
      <c r="J1763" s="12" t="str">
        <f>HYPERLINK("https://www.boe.es/gazeta/dias/1802/07/30/pdfs/GMD-1802-62.pdf#page=9","Abrir facsímil")</f>
        <v>Abrir facsímil</v>
      </c>
      <c r="K1763" s="15" t="s">
        <v>23</v>
      </c>
    </row>
    <row r="1764" spans="1:11" ht="42" customHeight="1">
      <c r="A1764" s="4" t="s">
        <v>4597</v>
      </c>
      <c r="B1764" s="5" t="s">
        <v>4598</v>
      </c>
      <c r="C1764" s="5" t="s">
        <v>18</v>
      </c>
      <c r="D1764" s="5" t="s">
        <v>19</v>
      </c>
      <c r="E1764" s="5" t="s">
        <v>49</v>
      </c>
      <c r="F1764" s="9">
        <v>83</v>
      </c>
      <c r="G1764" s="9">
        <v>1025</v>
      </c>
      <c r="H1764" s="5" t="s">
        <v>21</v>
      </c>
      <c r="I1764" s="5" t="s">
        <v>4599</v>
      </c>
      <c r="J1764" s="12" t="str">
        <f>HYPERLINK("https://www.boe.es/gazeta/dias/1802/10/12/pdfs/GMD-1802-83.pdf#page=13","Abrir facsímil")</f>
        <v>Abrir facsímil</v>
      </c>
      <c r="K1764" s="15" t="s">
        <v>23</v>
      </c>
    </row>
    <row r="1765" spans="1:11" ht="42" customHeight="1">
      <c r="A1765" s="4" t="s">
        <v>4600</v>
      </c>
      <c r="B1765" s="5" t="s">
        <v>4601</v>
      </c>
      <c r="C1765" s="5" t="s">
        <v>29</v>
      </c>
      <c r="D1765" s="5" t="s">
        <v>30</v>
      </c>
      <c r="E1765" s="5" t="s">
        <v>206</v>
      </c>
      <c r="F1765" s="9">
        <v>22</v>
      </c>
      <c r="G1765" s="9">
        <v>242</v>
      </c>
      <c r="H1765" s="5" t="s">
        <v>21</v>
      </c>
      <c r="I1765" s="5" t="s">
        <v>4602</v>
      </c>
      <c r="J1765" s="12" t="str">
        <f>HYPERLINK("https://www.boe.es/gazeta/dias/1802/03/16/pdfs/GMD-1802-22.pdf#page=10","Abrir facsímil")</f>
        <v>Abrir facsímil</v>
      </c>
      <c r="K1765" s="15" t="s">
        <v>23</v>
      </c>
    </row>
    <row r="1766" spans="1:11" ht="42" customHeight="1">
      <c r="A1766" s="4" t="s">
        <v>4603</v>
      </c>
      <c r="B1766" s="5" t="s">
        <v>4604</v>
      </c>
      <c r="C1766" s="5" t="s">
        <v>18</v>
      </c>
      <c r="D1766" s="5" t="s">
        <v>19</v>
      </c>
      <c r="E1766" s="5" t="s">
        <v>20</v>
      </c>
      <c r="F1766" s="9">
        <v>84</v>
      </c>
      <c r="G1766" s="9">
        <v>1044</v>
      </c>
      <c r="H1766" s="5" t="s">
        <v>21</v>
      </c>
      <c r="I1766" s="5" t="s">
        <v>4605</v>
      </c>
      <c r="J1766" s="12" t="str">
        <f>HYPERLINK("https://www.boe.es/gazeta/dias/1802/10/15/pdfs/GMD-1802-84.pdf#page=12","Abrir facsímil")</f>
        <v>Abrir facsímil</v>
      </c>
      <c r="K1766" s="15" t="s">
        <v>23</v>
      </c>
    </row>
    <row r="1767" spans="1:11" ht="42" customHeight="1">
      <c r="A1767" s="4" t="s">
        <v>4606</v>
      </c>
      <c r="B1767" s="5" t="s">
        <v>4607</v>
      </c>
      <c r="C1767" s="5" t="s">
        <v>42</v>
      </c>
      <c r="D1767" s="5" t="s">
        <v>43</v>
      </c>
      <c r="E1767" s="5" t="s">
        <v>44</v>
      </c>
      <c r="F1767" s="9">
        <v>99</v>
      </c>
      <c r="G1767" s="9" t="s">
        <v>537</v>
      </c>
      <c r="H1767" s="5" t="s">
        <v>21</v>
      </c>
      <c r="I1767" s="5" t="s">
        <v>4608</v>
      </c>
      <c r="J1767" s="12" t="str">
        <f>HYPERLINK("https://www.boe.es/gazeta/dias/1802/12/07/pdfs/GMD-D-1802-99.pdf#page=9","Abrir facsímil")</f>
        <v>Abrir facsímil</v>
      </c>
      <c r="K1767" s="15" t="s">
        <v>23</v>
      </c>
    </row>
    <row r="1768" spans="1:11" ht="42" customHeight="1">
      <c r="A1768" s="4" t="s">
        <v>4609</v>
      </c>
      <c r="B1768" s="5" t="s">
        <v>4610</v>
      </c>
      <c r="C1768" s="5" t="s">
        <v>18</v>
      </c>
      <c r="D1768" s="5" t="s">
        <v>19</v>
      </c>
      <c r="E1768" s="5" t="s">
        <v>49</v>
      </c>
      <c r="F1768" s="9">
        <v>83</v>
      </c>
      <c r="G1768" s="9">
        <v>1025</v>
      </c>
      <c r="H1768" s="5" t="s">
        <v>21</v>
      </c>
      <c r="I1768" s="5" t="s">
        <v>4611</v>
      </c>
      <c r="J1768" s="12" t="str">
        <f>HYPERLINK("https://www.boe.es/gazeta/dias/1802/10/12/pdfs/GMD-1802-83.pdf#page=13","Abrir facsímil")</f>
        <v>Abrir facsímil</v>
      </c>
      <c r="K1768" s="15" t="s">
        <v>23</v>
      </c>
    </row>
    <row r="1769" spans="1:11" ht="42" customHeight="1">
      <c r="A1769" s="4" t="s">
        <v>4612</v>
      </c>
      <c r="B1769" s="5" t="s">
        <v>4613</v>
      </c>
      <c r="C1769" s="5" t="s">
        <v>90</v>
      </c>
      <c r="D1769" s="5" t="s">
        <v>91</v>
      </c>
      <c r="E1769" s="5" t="s">
        <v>1381</v>
      </c>
      <c r="F1769" s="9">
        <v>17</v>
      </c>
      <c r="G1769" s="9">
        <v>185</v>
      </c>
      <c r="H1769" s="5" t="s">
        <v>21</v>
      </c>
      <c r="I1769" s="5" t="s">
        <v>4614</v>
      </c>
      <c r="J1769" s="12" t="str">
        <f>HYPERLINK("https://www.boe.es/gazeta/dias/1802/02/26/pdfs/GMD-1802-17.pdf#page=9","Abrir facsímil")</f>
        <v>Abrir facsímil</v>
      </c>
      <c r="K1769" s="15" t="s">
        <v>23</v>
      </c>
    </row>
    <row r="1770" spans="1:11" ht="42" customHeight="1">
      <c r="A1770" s="4" t="s">
        <v>4612</v>
      </c>
      <c r="B1770" s="5" t="s">
        <v>4613</v>
      </c>
      <c r="C1770" s="5" t="s">
        <v>29</v>
      </c>
      <c r="D1770" s="5" t="s">
        <v>30</v>
      </c>
      <c r="E1770" s="5" t="s">
        <v>152</v>
      </c>
      <c r="F1770" s="9">
        <v>25</v>
      </c>
      <c r="G1770" s="9">
        <v>285</v>
      </c>
      <c r="H1770" s="5" t="s">
        <v>21</v>
      </c>
      <c r="I1770" s="5" t="s">
        <v>4615</v>
      </c>
      <c r="J1770" s="12" t="str">
        <f>HYPERLINK("https://www.boe.es/gazeta/dias/1802/03/26/pdfs/GMD-1802-25.pdf#page=9","Abrir facsímil")</f>
        <v>Abrir facsímil</v>
      </c>
      <c r="K1770" s="15" t="s">
        <v>23</v>
      </c>
    </row>
    <row r="1771" spans="1:11" ht="42" customHeight="1">
      <c r="A1771" s="4" t="s">
        <v>4616</v>
      </c>
      <c r="B1771" s="5" t="s">
        <v>4617</v>
      </c>
      <c r="C1771" s="5" t="s">
        <v>18</v>
      </c>
      <c r="D1771" s="5" t="s">
        <v>19</v>
      </c>
      <c r="E1771" s="5" t="s">
        <v>49</v>
      </c>
      <c r="F1771" s="9">
        <v>83</v>
      </c>
      <c r="G1771" s="9">
        <v>1023</v>
      </c>
      <c r="H1771" s="5" t="s">
        <v>21</v>
      </c>
      <c r="I1771" s="5" t="s">
        <v>4618</v>
      </c>
      <c r="J1771" s="12" t="str">
        <f>HYPERLINK("https://www.boe.es/gazeta/dias/1802/10/12/pdfs/GMD-1802-83.pdf#page=11","Abrir facsímil")</f>
        <v>Abrir facsímil</v>
      </c>
      <c r="K1771" s="15" t="s">
        <v>23</v>
      </c>
    </row>
    <row r="1772" spans="1:11" ht="42" customHeight="1">
      <c r="A1772" s="4" t="s">
        <v>4619</v>
      </c>
      <c r="B1772" s="5" t="s">
        <v>4620</v>
      </c>
      <c r="C1772" s="5" t="s">
        <v>55</v>
      </c>
      <c r="D1772" s="5" t="s">
        <v>56</v>
      </c>
      <c r="E1772" s="5" t="s">
        <v>92</v>
      </c>
      <c r="F1772" s="9">
        <v>29</v>
      </c>
      <c r="G1772" s="9">
        <v>343</v>
      </c>
      <c r="H1772" s="5" t="s">
        <v>21</v>
      </c>
      <c r="I1772" s="5" t="s">
        <v>4621</v>
      </c>
      <c r="J1772" s="12" t="str">
        <f>HYPERLINK("https://www.boe.es/gazeta/dias/1802/04/09/pdfs/GMD-1802-29.pdf#page=11","Abrir facsímil")</f>
        <v>Abrir facsímil</v>
      </c>
      <c r="K1772" s="15" t="s">
        <v>23</v>
      </c>
    </row>
    <row r="1773" spans="1:11" ht="42" customHeight="1">
      <c r="A1773" s="4" t="s">
        <v>4622</v>
      </c>
      <c r="B1773" s="5" t="s">
        <v>4623</v>
      </c>
      <c r="C1773" s="5" t="s">
        <v>29</v>
      </c>
      <c r="D1773" s="5" t="s">
        <v>30</v>
      </c>
      <c r="E1773" s="5" t="s">
        <v>163</v>
      </c>
      <c r="F1773" s="9">
        <v>1</v>
      </c>
      <c r="G1773" s="9">
        <v>8</v>
      </c>
      <c r="H1773" s="5" t="s">
        <v>21</v>
      </c>
      <c r="I1773" s="5" t="s">
        <v>4624</v>
      </c>
      <c r="J1773" s="12" t="str">
        <f>HYPERLINK("https://www.boe.es/gazeta/dias/1802/01/01/pdfs/GMD-1802-1.pdf#page=8","Abrir facsímil")</f>
        <v>Abrir facsímil</v>
      </c>
      <c r="K1773" s="15" t="s">
        <v>23</v>
      </c>
    </row>
    <row r="1774" spans="1:11" ht="42" customHeight="1">
      <c r="A1774" s="4" t="s">
        <v>4622</v>
      </c>
      <c r="B1774" s="5" t="s">
        <v>4623</v>
      </c>
      <c r="C1774" s="5" t="s">
        <v>160</v>
      </c>
      <c r="D1774" s="5" t="s">
        <v>91</v>
      </c>
      <c r="E1774" s="5" t="s">
        <v>109</v>
      </c>
      <c r="F1774" s="9">
        <v>10</v>
      </c>
      <c r="G1774" s="9">
        <v>100</v>
      </c>
      <c r="H1774" s="5" t="s">
        <v>21</v>
      </c>
      <c r="I1774" s="5" t="s">
        <v>4625</v>
      </c>
      <c r="J1774" s="12" t="str">
        <f>HYPERLINK("https://www.boe.es/gazeta/dias/1802/02/02/pdfs/GMD-1802-10.pdf#page=8","Abrir facsímil")</f>
        <v>Abrir facsímil</v>
      </c>
      <c r="K1774" s="15" t="s">
        <v>23</v>
      </c>
    </row>
    <row r="1775" spans="1:11" ht="42" customHeight="1">
      <c r="A1775" s="4" t="s">
        <v>4622</v>
      </c>
      <c r="B1775" s="5" t="s">
        <v>4623</v>
      </c>
      <c r="C1775" s="5" t="s">
        <v>90</v>
      </c>
      <c r="D1775" s="5" t="s">
        <v>91</v>
      </c>
      <c r="E1775" s="5" t="s">
        <v>131</v>
      </c>
      <c r="F1775" s="9">
        <v>11</v>
      </c>
      <c r="G1775" s="9">
        <v>115</v>
      </c>
      <c r="H1775" s="5" t="s">
        <v>21</v>
      </c>
      <c r="I1775" s="5" t="s">
        <v>4626</v>
      </c>
      <c r="J1775" s="12" t="str">
        <f>HYPERLINK("https://www.boe.es/gazeta/dias/1802/02/05/pdfs/GMD-1802-11.pdf#page=11","Abrir facsímil")</f>
        <v>Abrir facsímil</v>
      </c>
      <c r="K1775" s="15" t="s">
        <v>23</v>
      </c>
    </row>
    <row r="1776" spans="1:11" ht="42" customHeight="1">
      <c r="A1776" s="4" t="s">
        <v>4622</v>
      </c>
      <c r="B1776" s="5" t="s">
        <v>4623</v>
      </c>
      <c r="C1776" s="5" t="s">
        <v>160</v>
      </c>
      <c r="D1776" s="5" t="s">
        <v>91</v>
      </c>
      <c r="E1776" s="5" t="s">
        <v>865</v>
      </c>
      <c r="F1776" s="9">
        <v>12</v>
      </c>
      <c r="G1776" s="9">
        <v>123</v>
      </c>
      <c r="H1776" s="5" t="s">
        <v>21</v>
      </c>
      <c r="I1776" s="5" t="s">
        <v>4627</v>
      </c>
      <c r="J1776" s="12" t="str">
        <f>HYPERLINK("https://www.boe.es/gazeta/dias/1802/02/09/pdfs/GMD-1802-12.pdf#page=7","Abrir facsímil")</f>
        <v>Abrir facsímil</v>
      </c>
      <c r="K1776" s="15" t="s">
        <v>23</v>
      </c>
    </row>
    <row r="1777" spans="1:11" ht="42" customHeight="1">
      <c r="A1777" s="4" t="s">
        <v>4622</v>
      </c>
      <c r="B1777" s="5" t="s">
        <v>4623</v>
      </c>
      <c r="C1777" s="5" t="s">
        <v>55</v>
      </c>
      <c r="D1777" s="5" t="s">
        <v>56</v>
      </c>
      <c r="E1777" s="5" t="s">
        <v>900</v>
      </c>
      <c r="F1777" s="9">
        <v>16</v>
      </c>
      <c r="G1777" s="9">
        <v>171</v>
      </c>
      <c r="H1777" s="5" t="s">
        <v>21</v>
      </c>
      <c r="I1777" s="5" t="s">
        <v>4628</v>
      </c>
      <c r="J1777" s="12" t="str">
        <f>HYPERLINK("https://www.boe.es/gazeta/dias/1802/02/23/pdfs/GMD-1802-16.pdf#page=11","Abrir facsímil")</f>
        <v>Abrir facsímil</v>
      </c>
      <c r="K1777" s="15" t="s">
        <v>23</v>
      </c>
    </row>
    <row r="1778" spans="1:11" ht="42" customHeight="1">
      <c r="A1778" s="4" t="s">
        <v>4622</v>
      </c>
      <c r="B1778" s="5" t="s">
        <v>4623</v>
      </c>
      <c r="C1778" s="5" t="s">
        <v>55</v>
      </c>
      <c r="D1778" s="5" t="s">
        <v>56</v>
      </c>
      <c r="E1778" s="5" t="s">
        <v>206</v>
      </c>
      <c r="F1778" s="9">
        <v>22</v>
      </c>
      <c r="G1778" s="9">
        <v>252</v>
      </c>
      <c r="H1778" s="5" t="s">
        <v>21</v>
      </c>
      <c r="I1778" s="5" t="s">
        <v>4629</v>
      </c>
      <c r="J1778" s="12" t="str">
        <f>HYPERLINK("https://www.boe.es/gazeta/dias/1802/03/16/pdfs/GMD-C-1802-22.pdf#page=8","Abrir facsímil")</f>
        <v>Abrir facsímil</v>
      </c>
      <c r="K1778" s="15" t="s">
        <v>23</v>
      </c>
    </row>
    <row r="1779" spans="1:11" ht="42" customHeight="1">
      <c r="A1779" s="4" t="s">
        <v>4630</v>
      </c>
      <c r="B1779" s="5" t="s">
        <v>4631</v>
      </c>
      <c r="C1779" s="5" t="s">
        <v>160</v>
      </c>
      <c r="D1779" s="5" t="s">
        <v>91</v>
      </c>
      <c r="E1779" s="5" t="s">
        <v>20</v>
      </c>
      <c r="F1779" s="9">
        <v>84</v>
      </c>
      <c r="G1779" s="9">
        <v>1043</v>
      </c>
      <c r="H1779" s="5" t="s">
        <v>21</v>
      </c>
      <c r="I1779" s="5" t="s">
        <v>4632</v>
      </c>
      <c r="J1779" s="12" t="str">
        <f>HYPERLINK("https://www.boe.es/gazeta/dias/1802/10/15/pdfs/GMD-1802-84.pdf#page=11","Abrir facsímil")</f>
        <v>Abrir facsímil</v>
      </c>
      <c r="K1779" s="15" t="s">
        <v>23</v>
      </c>
    </row>
    <row r="1780" spans="1:11" ht="42" customHeight="1">
      <c r="A1780" s="4" t="s">
        <v>4633</v>
      </c>
      <c r="B1780" s="5" t="s">
        <v>4634</v>
      </c>
      <c r="C1780" s="5" t="s">
        <v>160</v>
      </c>
      <c r="D1780" s="5" t="s">
        <v>91</v>
      </c>
      <c r="E1780" s="5" t="s">
        <v>25</v>
      </c>
      <c r="F1780" s="9">
        <v>44</v>
      </c>
      <c r="G1780" s="9">
        <v>535</v>
      </c>
      <c r="H1780" s="5" t="s">
        <v>21</v>
      </c>
      <c r="I1780" s="5" t="s">
        <v>4635</v>
      </c>
      <c r="J1780" s="12" t="str">
        <f>HYPERLINK("https://www.boe.es/gazeta/dias/1802/06/01/pdfs/GMD-1802-44.pdf#page=11","Abrir facsímil")</f>
        <v>Abrir facsímil</v>
      </c>
      <c r="K1780" s="15" t="s">
        <v>23</v>
      </c>
    </row>
    <row r="1781" spans="1:11" ht="42" customHeight="1">
      <c r="A1781" s="4" t="s">
        <v>4636</v>
      </c>
      <c r="B1781" s="5" t="s">
        <v>4637</v>
      </c>
      <c r="C1781" s="5" t="s">
        <v>55</v>
      </c>
      <c r="D1781" s="5" t="s">
        <v>56</v>
      </c>
      <c r="E1781" s="5" t="s">
        <v>167</v>
      </c>
      <c r="F1781" s="9">
        <v>23</v>
      </c>
      <c r="G1781" s="9">
        <v>262</v>
      </c>
      <c r="H1781" s="5" t="s">
        <v>21</v>
      </c>
      <c r="I1781" s="5" t="s">
        <v>4638</v>
      </c>
      <c r="J1781" s="12" t="str">
        <f>HYPERLINK("https://www.boe.es/gazeta/dias/1802/03/19/pdfs/GMD-1802-23.pdf#page=10","Abrir facsímil")</f>
        <v>Abrir facsímil</v>
      </c>
      <c r="K1781" s="15" t="s">
        <v>23</v>
      </c>
    </row>
    <row r="1782" spans="1:11" ht="42" customHeight="1">
      <c r="A1782" s="4" t="s">
        <v>4639</v>
      </c>
      <c r="B1782" s="5" t="s">
        <v>4640</v>
      </c>
      <c r="C1782" s="5" t="s">
        <v>29</v>
      </c>
      <c r="D1782" s="5" t="s">
        <v>30</v>
      </c>
      <c r="E1782" s="5" t="s">
        <v>49</v>
      </c>
      <c r="F1782" s="9">
        <v>83</v>
      </c>
      <c r="G1782" s="9">
        <v>1019</v>
      </c>
      <c r="H1782" s="5" t="s">
        <v>21</v>
      </c>
      <c r="I1782" s="5" t="s">
        <v>4641</v>
      </c>
      <c r="J1782" s="12" t="str">
        <f>HYPERLINK("https://www.boe.es/gazeta/dias/1802/10/12/pdfs/GMD-1802-83.pdf#page=7","Abrir facsímil")</f>
        <v>Abrir facsímil</v>
      </c>
      <c r="K1782" s="15" t="s">
        <v>23</v>
      </c>
    </row>
    <row r="1783" spans="1:11" ht="42" customHeight="1">
      <c r="A1783" s="4" t="s">
        <v>4642</v>
      </c>
      <c r="B1783" s="5" t="s">
        <v>4643</v>
      </c>
      <c r="C1783" s="5" t="s">
        <v>55</v>
      </c>
      <c r="D1783" s="5" t="s">
        <v>56</v>
      </c>
      <c r="E1783" s="5" t="s">
        <v>49</v>
      </c>
      <c r="F1783" s="9">
        <v>83</v>
      </c>
      <c r="G1783" s="9">
        <v>1024</v>
      </c>
      <c r="H1783" s="5" t="s">
        <v>21</v>
      </c>
      <c r="I1783" s="5" t="s">
        <v>4644</v>
      </c>
      <c r="J1783" s="12" t="str">
        <f>HYPERLINK("https://www.boe.es/gazeta/dias/1802/10/12/pdfs/GMD-1802-83.pdf#page=12","Abrir facsímil")</f>
        <v>Abrir facsímil</v>
      </c>
      <c r="K1783" s="15" t="s">
        <v>23</v>
      </c>
    </row>
    <row r="1784" spans="1:11" ht="42" customHeight="1">
      <c r="A1784" s="4" t="s">
        <v>4645</v>
      </c>
      <c r="B1784" s="5" t="s">
        <v>4646</v>
      </c>
      <c r="C1784" s="5" t="s">
        <v>18</v>
      </c>
      <c r="D1784" s="5" t="s">
        <v>19</v>
      </c>
      <c r="E1784" s="5" t="s">
        <v>121</v>
      </c>
      <c r="F1784" s="9">
        <v>87</v>
      </c>
      <c r="G1784" s="9">
        <v>1082</v>
      </c>
      <c r="H1784" s="5" t="s">
        <v>21</v>
      </c>
      <c r="I1784" s="5" t="s">
        <v>4647</v>
      </c>
      <c r="J1784" s="12" t="str">
        <f>HYPERLINK("https://www.boe.es/gazeta/dias/1802/10/26/pdfs/GMD-1802-87.pdf#page=10","Abrir facsímil")</f>
        <v>Abrir facsímil</v>
      </c>
      <c r="K1784" s="15" t="s">
        <v>23</v>
      </c>
    </row>
    <row r="1785" spans="1:11" ht="42" customHeight="1">
      <c r="A1785" s="4" t="s">
        <v>4648</v>
      </c>
      <c r="B1785" s="5" t="s">
        <v>4649</v>
      </c>
      <c r="C1785" s="5" t="s">
        <v>160</v>
      </c>
      <c r="D1785" s="5" t="s">
        <v>91</v>
      </c>
      <c r="E1785" s="5" t="s">
        <v>148</v>
      </c>
      <c r="F1785" s="9">
        <v>66</v>
      </c>
      <c r="G1785" s="9">
        <v>811</v>
      </c>
      <c r="H1785" s="5" t="s">
        <v>21</v>
      </c>
      <c r="I1785" s="5" t="s">
        <v>4650</v>
      </c>
      <c r="J1785" s="12" t="str">
        <f>HYPERLINK("https://www.boe.es/gazeta/dias/1802/08/13/pdfs/GMD-1802-66.pdf#page=15","Abrir facsímil")</f>
        <v>Abrir facsímil</v>
      </c>
      <c r="K1785" s="15" t="s">
        <v>23</v>
      </c>
    </row>
    <row r="1786" spans="1:11" ht="42" customHeight="1">
      <c r="A1786" s="4" t="s">
        <v>4651</v>
      </c>
      <c r="B1786" s="5" t="s">
        <v>4652</v>
      </c>
      <c r="C1786" s="5" t="s">
        <v>18</v>
      </c>
      <c r="D1786" s="5" t="s">
        <v>19</v>
      </c>
      <c r="E1786" s="5" t="s">
        <v>20</v>
      </c>
      <c r="F1786" s="9">
        <v>84</v>
      </c>
      <c r="G1786" s="9">
        <v>1047</v>
      </c>
      <c r="H1786" s="5" t="s">
        <v>21</v>
      </c>
      <c r="I1786" s="5" t="s">
        <v>4653</v>
      </c>
      <c r="J1786" s="12" t="str">
        <f>HYPERLINK("https://www.boe.es/gazeta/dias/1802/10/15/pdfs/GMD-1802-84.pdf#page=15","Abrir facsímil")</f>
        <v>Abrir facsímil</v>
      </c>
      <c r="K1786" s="15" t="s">
        <v>23</v>
      </c>
    </row>
    <row r="1787" spans="1:11" ht="42" customHeight="1">
      <c r="A1787" s="4" t="s">
        <v>4654</v>
      </c>
      <c r="B1787" s="5" t="s">
        <v>4655</v>
      </c>
      <c r="C1787" s="5" t="s">
        <v>18</v>
      </c>
      <c r="D1787" s="5" t="s">
        <v>19</v>
      </c>
      <c r="E1787" s="5" t="s">
        <v>49</v>
      </c>
      <c r="F1787" s="9">
        <v>83</v>
      </c>
      <c r="G1787" s="9">
        <v>1024</v>
      </c>
      <c r="H1787" s="5" t="s">
        <v>21</v>
      </c>
      <c r="I1787" s="5" t="s">
        <v>4656</v>
      </c>
      <c r="J1787" s="12" t="str">
        <f>HYPERLINK("https://www.boe.es/gazeta/dias/1802/10/12/pdfs/GMD-1802-83.pdf#page=12","Abrir facsímil")</f>
        <v>Abrir facsímil</v>
      </c>
      <c r="K1787" s="15" t="s">
        <v>23</v>
      </c>
    </row>
    <row r="1788" spans="1:11" ht="42" customHeight="1">
      <c r="A1788" s="4" t="s">
        <v>4657</v>
      </c>
      <c r="B1788" s="5" t="s">
        <v>4658</v>
      </c>
      <c r="C1788" s="5" t="s">
        <v>18</v>
      </c>
      <c r="D1788" s="5" t="s">
        <v>19</v>
      </c>
      <c r="E1788" s="5" t="s">
        <v>754</v>
      </c>
      <c r="F1788" s="9">
        <v>101</v>
      </c>
      <c r="G1788" s="9">
        <v>1242</v>
      </c>
      <c r="H1788" s="5" t="s">
        <v>21</v>
      </c>
      <c r="I1788" s="5" t="s">
        <v>4659</v>
      </c>
      <c r="J1788" s="12" t="str">
        <f>HYPERLINK("https://www.boe.es/gazeta/dias/1802/12/14/pdfs/GMD-1802-101.pdf#page=6","Abrir facsímil")</f>
        <v>Abrir facsímil</v>
      </c>
      <c r="K1788" s="15" t="s">
        <v>23</v>
      </c>
    </row>
    <row r="1789" spans="1:11" ht="42" customHeight="1">
      <c r="A1789" s="4" t="s">
        <v>4660</v>
      </c>
      <c r="B1789" s="5" t="s">
        <v>4661</v>
      </c>
      <c r="C1789" s="5" t="s">
        <v>18</v>
      </c>
      <c r="D1789" s="5" t="s">
        <v>19</v>
      </c>
      <c r="E1789" s="5" t="s">
        <v>20</v>
      </c>
      <c r="F1789" s="9">
        <v>84</v>
      </c>
      <c r="G1789" s="9">
        <v>1040</v>
      </c>
      <c r="H1789" s="5" t="s">
        <v>21</v>
      </c>
      <c r="I1789" s="5" t="s">
        <v>4662</v>
      </c>
      <c r="J1789" s="12" t="str">
        <f>HYPERLINK("https://www.boe.es/gazeta/dias/1802/10/15/pdfs/GMD-1802-84.pdf#page=8","Abrir facsímil")</f>
        <v>Abrir facsímil</v>
      </c>
      <c r="K1789" s="15" t="s">
        <v>23</v>
      </c>
    </row>
    <row r="1790" spans="1:11" ht="42" customHeight="1">
      <c r="A1790" s="4" t="s">
        <v>4663</v>
      </c>
      <c r="B1790" s="5" t="s">
        <v>4664</v>
      </c>
      <c r="C1790" s="5" t="s">
        <v>29</v>
      </c>
      <c r="D1790" s="5" t="s">
        <v>30</v>
      </c>
      <c r="E1790" s="5" t="s">
        <v>299</v>
      </c>
      <c r="F1790" s="9">
        <v>19</v>
      </c>
      <c r="G1790" s="9">
        <v>210</v>
      </c>
      <c r="H1790" s="5" t="s">
        <v>21</v>
      </c>
      <c r="I1790" s="5" t="s">
        <v>4665</v>
      </c>
      <c r="J1790" s="12" t="str">
        <f>HYPERLINK("https://www.boe.es/gazeta/dias/1802/03/05/pdfs/GMD-1802-19.pdf#page=10","Abrir facsímil")</f>
        <v>Abrir facsímil</v>
      </c>
      <c r="K1790" s="15" t="s">
        <v>23</v>
      </c>
    </row>
    <row r="1791" spans="1:11" ht="42" customHeight="1">
      <c r="A1791" s="4" t="s">
        <v>4666</v>
      </c>
      <c r="B1791" s="5" t="s">
        <v>4667</v>
      </c>
      <c r="C1791" s="5" t="s">
        <v>18</v>
      </c>
      <c r="D1791" s="5" t="s">
        <v>19</v>
      </c>
      <c r="E1791" s="5" t="s">
        <v>20</v>
      </c>
      <c r="F1791" s="9">
        <v>84</v>
      </c>
      <c r="G1791" s="9">
        <v>1046</v>
      </c>
      <c r="H1791" s="5" t="s">
        <v>21</v>
      </c>
      <c r="I1791" s="5" t="s">
        <v>4668</v>
      </c>
      <c r="J1791" s="12" t="str">
        <f>HYPERLINK("https://www.boe.es/gazeta/dias/1802/10/15/pdfs/GMD-1802-84.pdf#page=14","Abrir facsímil")</f>
        <v>Abrir facsímil</v>
      </c>
      <c r="K1791" s="15" t="s">
        <v>23</v>
      </c>
    </row>
    <row r="1792" spans="1:11" ht="42" customHeight="1">
      <c r="A1792" s="4" t="s">
        <v>4669</v>
      </c>
      <c r="B1792" s="5" t="s">
        <v>4670</v>
      </c>
      <c r="C1792" s="5" t="s">
        <v>42</v>
      </c>
      <c r="D1792" s="5" t="s">
        <v>43</v>
      </c>
      <c r="E1792" s="5" t="s">
        <v>44</v>
      </c>
      <c r="F1792" s="9">
        <v>99</v>
      </c>
      <c r="G1792" s="9" t="s">
        <v>779</v>
      </c>
      <c r="H1792" s="5" t="s">
        <v>21</v>
      </c>
      <c r="I1792" s="5" t="s">
        <v>4671</v>
      </c>
      <c r="J1792" s="12" t="str">
        <f>HYPERLINK("https://www.boe.es/gazeta/dias/1802/12/07/pdfs/GMD-D-1802-99.pdf#page=13","Abrir facsímil")</f>
        <v>Abrir facsímil</v>
      </c>
      <c r="K1792" s="15" t="s">
        <v>23</v>
      </c>
    </row>
    <row r="1793" spans="1:11" ht="42" customHeight="1">
      <c r="A1793" s="4" t="s">
        <v>4672</v>
      </c>
      <c r="B1793" s="5" t="s">
        <v>4673</v>
      </c>
      <c r="C1793" s="5" t="s">
        <v>29</v>
      </c>
      <c r="D1793" s="5" t="s">
        <v>30</v>
      </c>
      <c r="E1793" s="5" t="s">
        <v>299</v>
      </c>
      <c r="F1793" s="9">
        <v>19</v>
      </c>
      <c r="G1793" s="9">
        <v>209</v>
      </c>
      <c r="H1793" s="5" t="s">
        <v>21</v>
      </c>
      <c r="I1793" s="5" t="s">
        <v>4674</v>
      </c>
      <c r="J1793" s="12" t="str">
        <f>HYPERLINK("https://www.boe.es/gazeta/dias/1802/03/05/pdfs/GMD-1802-19.pdf#page=9","Abrir facsímil")</f>
        <v>Abrir facsímil</v>
      </c>
      <c r="K1793" s="15" t="s">
        <v>23</v>
      </c>
    </row>
    <row r="1794" spans="1:11" ht="42" customHeight="1">
      <c r="A1794" s="4" t="s">
        <v>4675</v>
      </c>
      <c r="B1794" s="5" t="s">
        <v>4676</v>
      </c>
      <c r="C1794" s="5" t="s">
        <v>55</v>
      </c>
      <c r="D1794" s="5" t="s">
        <v>56</v>
      </c>
      <c r="E1794" s="5" t="s">
        <v>170</v>
      </c>
      <c r="F1794" s="9">
        <v>28</v>
      </c>
      <c r="G1794" s="9">
        <v>331</v>
      </c>
      <c r="H1794" s="5" t="s">
        <v>21</v>
      </c>
      <c r="I1794" s="5" t="s">
        <v>4677</v>
      </c>
      <c r="J1794" s="12" t="str">
        <f>HYPERLINK("https://www.boe.es/gazeta/dias/1802/04/06/pdfs/GMD-1802-28.pdf#page=11","Abrir facsímil")</f>
        <v>Abrir facsímil</v>
      </c>
      <c r="K1794" s="15" t="s">
        <v>23</v>
      </c>
    </row>
    <row r="1795" spans="1:11" ht="42" customHeight="1">
      <c r="A1795" s="4" t="s">
        <v>4675</v>
      </c>
      <c r="B1795" s="5" t="s">
        <v>4676</v>
      </c>
      <c r="C1795" s="5" t="s">
        <v>90</v>
      </c>
      <c r="D1795" s="5" t="s">
        <v>91</v>
      </c>
      <c r="E1795" s="5" t="s">
        <v>429</v>
      </c>
      <c r="F1795" s="9">
        <v>91</v>
      </c>
      <c r="G1795" s="9">
        <v>1128</v>
      </c>
      <c r="H1795" s="5" t="s">
        <v>21</v>
      </c>
      <c r="I1795" s="5" t="s">
        <v>4678</v>
      </c>
      <c r="J1795" s="12" t="str">
        <f>HYPERLINK("https://www.boe.es/gazeta/dias/1802/11/09/pdfs/GMD-1802-91.pdf#page=8","Abrir facsímil")</f>
        <v>Abrir facsímil</v>
      </c>
      <c r="K1795" s="15" t="s">
        <v>23</v>
      </c>
    </row>
    <row r="1796" spans="1:11" ht="42" customHeight="1">
      <c r="A1796" s="4" t="s">
        <v>4679</v>
      </c>
      <c r="B1796" s="5" t="s">
        <v>4680</v>
      </c>
      <c r="C1796" s="5" t="s">
        <v>90</v>
      </c>
      <c r="D1796" s="5" t="s">
        <v>91</v>
      </c>
      <c r="E1796" s="5" t="s">
        <v>92</v>
      </c>
      <c r="F1796" s="9">
        <v>29</v>
      </c>
      <c r="G1796" s="9">
        <v>342</v>
      </c>
      <c r="H1796" s="5" t="s">
        <v>21</v>
      </c>
      <c r="I1796" s="5" t="s">
        <v>4681</v>
      </c>
      <c r="J1796" s="12" t="str">
        <f>HYPERLINK("https://www.boe.es/gazeta/dias/1802/04/09/pdfs/GMD-1802-29.pdf#page=10","Abrir facsímil")</f>
        <v>Abrir facsímil</v>
      </c>
      <c r="K1796" s="15" t="s">
        <v>23</v>
      </c>
    </row>
    <row r="1797" spans="1:11" ht="42" customHeight="1">
      <c r="A1797" s="4" t="s">
        <v>4682</v>
      </c>
      <c r="B1797" s="5" t="s">
        <v>4683</v>
      </c>
      <c r="C1797" s="5" t="s">
        <v>18</v>
      </c>
      <c r="D1797" s="5" t="s">
        <v>19</v>
      </c>
      <c r="E1797" s="5" t="s">
        <v>20</v>
      </c>
      <c r="F1797" s="9">
        <v>84</v>
      </c>
      <c r="G1797" s="9">
        <v>1044</v>
      </c>
      <c r="H1797" s="5" t="s">
        <v>21</v>
      </c>
      <c r="I1797" s="5" t="s">
        <v>4684</v>
      </c>
      <c r="J1797" s="12" t="str">
        <f>HYPERLINK("https://www.boe.es/gazeta/dias/1802/10/15/pdfs/GMD-1802-84.pdf#page=12","Abrir facsímil")</f>
        <v>Abrir facsímil</v>
      </c>
      <c r="K1797" s="15" t="s">
        <v>23</v>
      </c>
    </row>
    <row r="1798" spans="1:11" ht="42" customHeight="1">
      <c r="A1798" s="4" t="s">
        <v>4685</v>
      </c>
      <c r="B1798" s="5" t="s">
        <v>4686</v>
      </c>
      <c r="C1798" s="5" t="s">
        <v>18</v>
      </c>
      <c r="D1798" s="5" t="s">
        <v>19</v>
      </c>
      <c r="E1798" s="5" t="s">
        <v>20</v>
      </c>
      <c r="F1798" s="9">
        <v>84</v>
      </c>
      <c r="G1798" s="9">
        <v>1047</v>
      </c>
      <c r="H1798" s="5" t="s">
        <v>21</v>
      </c>
      <c r="I1798" s="5" t="s">
        <v>4687</v>
      </c>
      <c r="J1798" s="12" t="str">
        <f>HYPERLINK("https://www.boe.es/gazeta/dias/1802/10/15/pdfs/GMD-1802-84.pdf#page=15","Abrir facsímil")</f>
        <v>Abrir facsímil</v>
      </c>
      <c r="K1798" s="15" t="s">
        <v>23</v>
      </c>
    </row>
    <row r="1799" spans="1:11" ht="42" customHeight="1">
      <c r="A1799" s="4" t="s">
        <v>4688</v>
      </c>
      <c r="B1799" s="5" t="s">
        <v>4689</v>
      </c>
      <c r="C1799" s="5" t="s">
        <v>18</v>
      </c>
      <c r="D1799" s="5" t="s">
        <v>19</v>
      </c>
      <c r="E1799" s="5" t="s">
        <v>49</v>
      </c>
      <c r="F1799" s="9">
        <v>83</v>
      </c>
      <c r="G1799" s="9">
        <v>1023</v>
      </c>
      <c r="H1799" s="5" t="s">
        <v>21</v>
      </c>
      <c r="I1799" s="5" t="s">
        <v>4690</v>
      </c>
      <c r="J1799" s="12" t="str">
        <f>HYPERLINK("https://www.boe.es/gazeta/dias/1802/10/12/pdfs/GMD-1802-83.pdf#page=11","Abrir facsímil")</f>
        <v>Abrir facsímil</v>
      </c>
      <c r="K1799" s="15" t="s">
        <v>23</v>
      </c>
    </row>
    <row r="1800" spans="1:11" ht="42" customHeight="1">
      <c r="A1800" s="4" t="s">
        <v>4691</v>
      </c>
      <c r="B1800" s="5" t="s">
        <v>4692</v>
      </c>
      <c r="C1800" s="5" t="s">
        <v>29</v>
      </c>
      <c r="D1800" s="5" t="s">
        <v>30</v>
      </c>
      <c r="E1800" s="5" t="s">
        <v>192</v>
      </c>
      <c r="F1800" s="9">
        <v>53</v>
      </c>
      <c r="G1800" s="9">
        <v>643</v>
      </c>
      <c r="H1800" s="5" t="s">
        <v>21</v>
      </c>
      <c r="I1800" s="5" t="s">
        <v>4693</v>
      </c>
      <c r="J1800" s="12" t="str">
        <f>HYPERLINK("https://www.boe.es/gazeta/dias/1802/07/02/pdfs/GMD-1802-53.pdf#page=11","Abrir facsímil")</f>
        <v>Abrir facsímil</v>
      </c>
      <c r="K1800" s="15" t="s">
        <v>23</v>
      </c>
    </row>
    <row r="1801" spans="1:11" ht="42" customHeight="1">
      <c r="A1801" s="4" t="s">
        <v>4694</v>
      </c>
      <c r="B1801" s="5" t="s">
        <v>4695</v>
      </c>
      <c r="C1801" s="5" t="s">
        <v>18</v>
      </c>
      <c r="D1801" s="5" t="s">
        <v>19</v>
      </c>
      <c r="E1801" s="5" t="s">
        <v>75</v>
      </c>
      <c r="F1801" s="9">
        <v>103</v>
      </c>
      <c r="G1801" s="9">
        <v>1263</v>
      </c>
      <c r="H1801" s="5" t="s">
        <v>21</v>
      </c>
      <c r="I1801" s="5" t="s">
        <v>4696</v>
      </c>
      <c r="J1801" s="12" t="str">
        <f>HYPERLINK("https://www.boe.es/gazeta/dias/1802/12/21/pdfs/GMD-1802-103.pdf#page=7","Abrir facsímil")</f>
        <v>Abrir facsímil</v>
      </c>
      <c r="K1801" s="15" t="s">
        <v>23</v>
      </c>
    </row>
    <row r="1802" spans="1:11" ht="42" customHeight="1">
      <c r="A1802" s="4" t="s">
        <v>4697</v>
      </c>
      <c r="B1802" s="5" t="s">
        <v>4698</v>
      </c>
      <c r="C1802" s="5" t="s">
        <v>18</v>
      </c>
      <c r="D1802" s="5" t="s">
        <v>19</v>
      </c>
      <c r="E1802" s="5" t="s">
        <v>20</v>
      </c>
      <c r="F1802" s="9">
        <v>84</v>
      </c>
      <c r="G1802" s="9">
        <v>1047</v>
      </c>
      <c r="H1802" s="5" t="s">
        <v>21</v>
      </c>
      <c r="I1802" s="5" t="s">
        <v>4699</v>
      </c>
      <c r="J1802" s="12" t="str">
        <f>HYPERLINK("https://www.boe.es/gazeta/dias/1802/10/15/pdfs/GMD-1802-84.pdf#page=15","Abrir facsímil")</f>
        <v>Abrir facsímil</v>
      </c>
      <c r="K1802" s="15" t="s">
        <v>23</v>
      </c>
    </row>
    <row r="1803" spans="1:11" ht="42" customHeight="1">
      <c r="A1803" s="4" t="s">
        <v>4700</v>
      </c>
      <c r="B1803" s="5" t="s">
        <v>4701</v>
      </c>
      <c r="C1803" s="5" t="s">
        <v>18</v>
      </c>
      <c r="D1803" s="5" t="s">
        <v>19</v>
      </c>
      <c r="E1803" s="5" t="s">
        <v>49</v>
      </c>
      <c r="F1803" s="9">
        <v>83</v>
      </c>
      <c r="G1803" s="9">
        <v>1025</v>
      </c>
      <c r="H1803" s="5" t="s">
        <v>21</v>
      </c>
      <c r="I1803" s="5" t="s">
        <v>4702</v>
      </c>
      <c r="J1803" s="12" t="str">
        <f>HYPERLINK("https://www.boe.es/gazeta/dias/1802/10/12/pdfs/GMD-1802-83.pdf#page=13","Abrir facsímil")</f>
        <v>Abrir facsímil</v>
      </c>
      <c r="K1803" s="15" t="s">
        <v>23</v>
      </c>
    </row>
    <row r="1804" spans="1:11" ht="42" customHeight="1">
      <c r="A1804" s="4" t="s">
        <v>4703</v>
      </c>
      <c r="B1804" s="5" t="s">
        <v>4704</v>
      </c>
      <c r="C1804" s="5" t="s">
        <v>29</v>
      </c>
      <c r="D1804" s="5" t="s">
        <v>30</v>
      </c>
      <c r="E1804" s="5" t="s">
        <v>1113</v>
      </c>
      <c r="F1804" s="9">
        <v>6</v>
      </c>
      <c r="G1804" s="9">
        <v>58</v>
      </c>
      <c r="H1804" s="5" t="s">
        <v>21</v>
      </c>
      <c r="I1804" s="5" t="s">
        <v>4705</v>
      </c>
      <c r="J1804" s="12" t="str">
        <f>HYPERLINK("https://www.boe.es/gazeta/dias/1802/01/19/pdfs/GMD-1802-6.pdf#page=6","Abrir facsímil")</f>
        <v>Abrir facsímil</v>
      </c>
      <c r="K1804" s="15" t="s">
        <v>23</v>
      </c>
    </row>
    <row r="1805" spans="1:11" ht="42" customHeight="1">
      <c r="A1805" s="4" t="s">
        <v>4706</v>
      </c>
      <c r="B1805" s="5" t="s">
        <v>4707</v>
      </c>
      <c r="C1805" s="5" t="s">
        <v>29</v>
      </c>
      <c r="D1805" s="5" t="s">
        <v>30</v>
      </c>
      <c r="E1805" s="5" t="s">
        <v>206</v>
      </c>
      <c r="F1805" s="9">
        <v>22</v>
      </c>
      <c r="G1805" s="9">
        <v>241</v>
      </c>
      <c r="H1805" s="5" t="s">
        <v>21</v>
      </c>
      <c r="I1805" s="5" t="s">
        <v>4708</v>
      </c>
      <c r="J1805" s="12" t="str">
        <f>HYPERLINK("https://www.boe.es/gazeta/dias/1802/03/16/pdfs/GMD-1802-22.pdf#page=9","Abrir facsímil")</f>
        <v>Abrir facsímil</v>
      </c>
      <c r="K1805" s="15" t="s">
        <v>23</v>
      </c>
    </row>
    <row r="1806" spans="1:11" ht="42" customHeight="1">
      <c r="A1806" s="4" t="s">
        <v>4709</v>
      </c>
      <c r="B1806" s="5" t="s">
        <v>4710</v>
      </c>
      <c r="C1806" s="5" t="s">
        <v>18</v>
      </c>
      <c r="D1806" s="5" t="s">
        <v>19</v>
      </c>
      <c r="E1806" s="5" t="s">
        <v>20</v>
      </c>
      <c r="F1806" s="9">
        <v>84</v>
      </c>
      <c r="G1806" s="9">
        <v>1045</v>
      </c>
      <c r="H1806" s="5" t="s">
        <v>21</v>
      </c>
      <c r="I1806" s="5" t="s">
        <v>4711</v>
      </c>
      <c r="J1806" s="12" t="str">
        <f>HYPERLINK("https://www.boe.es/gazeta/dias/1802/10/15/pdfs/GMD-1802-84.pdf#page=13","Abrir facsímil")</f>
        <v>Abrir facsímil</v>
      </c>
      <c r="K1806" s="15" t="s">
        <v>23</v>
      </c>
    </row>
    <row r="1807" spans="1:11" ht="42" customHeight="1">
      <c r="A1807" s="4" t="s">
        <v>4712</v>
      </c>
      <c r="B1807" s="5" t="s">
        <v>4713</v>
      </c>
      <c r="C1807" s="5" t="s">
        <v>2417</v>
      </c>
      <c r="D1807" s="5" t="s">
        <v>2418</v>
      </c>
      <c r="E1807" s="5" t="s">
        <v>206</v>
      </c>
      <c r="F1807" s="9">
        <v>22</v>
      </c>
      <c r="G1807" s="9">
        <v>247</v>
      </c>
      <c r="H1807" s="5" t="s">
        <v>21</v>
      </c>
      <c r="I1807" s="5" t="s">
        <v>4714</v>
      </c>
      <c r="J1807" s="12" t="str">
        <f>HYPERLINK("https://www.boe.es/gazeta/dias/1802/03/16/pdfs/GMD-C-1802-22.pdf#page=3","Abrir facsímil")</f>
        <v>Abrir facsímil</v>
      </c>
      <c r="K1807" s="15" t="s">
        <v>23</v>
      </c>
    </row>
    <row r="1808" spans="1:11" ht="42" customHeight="1">
      <c r="A1808" s="4" t="s">
        <v>4712</v>
      </c>
      <c r="B1808" s="5" t="s">
        <v>4713</v>
      </c>
      <c r="C1808" s="5" t="s">
        <v>18</v>
      </c>
      <c r="D1808" s="5" t="s">
        <v>19</v>
      </c>
      <c r="E1808" s="5" t="s">
        <v>167</v>
      </c>
      <c r="F1808" s="9">
        <v>23</v>
      </c>
      <c r="G1808" s="9">
        <v>261</v>
      </c>
      <c r="H1808" s="5" t="s">
        <v>21</v>
      </c>
      <c r="I1808" s="5" t="s">
        <v>4715</v>
      </c>
      <c r="J1808" s="12" t="str">
        <f>HYPERLINK("https://www.boe.es/gazeta/dias/1802/03/19/pdfs/GMD-1802-23.pdf#page=9","Abrir facsímil")</f>
        <v>Abrir facsímil</v>
      </c>
      <c r="K1808" s="15" t="s">
        <v>23</v>
      </c>
    </row>
    <row r="1809" spans="1:11" ht="42" customHeight="1">
      <c r="A1809" s="4" t="s">
        <v>4712</v>
      </c>
      <c r="B1809" s="5" t="s">
        <v>4713</v>
      </c>
      <c r="C1809" s="5" t="s">
        <v>18</v>
      </c>
      <c r="D1809" s="5" t="s">
        <v>19</v>
      </c>
      <c r="E1809" s="5" t="s">
        <v>332</v>
      </c>
      <c r="F1809" s="9">
        <v>24</v>
      </c>
      <c r="G1809" s="9">
        <v>273</v>
      </c>
      <c r="H1809" s="5" t="s">
        <v>21</v>
      </c>
      <c r="I1809" s="5" t="s">
        <v>4716</v>
      </c>
      <c r="J1809" s="12" t="str">
        <f>HYPERLINK("https://www.boe.es/gazeta/dias/1802/03/23/pdfs/GMD-1802-24.pdf#page=9","Abrir facsímil")</f>
        <v>Abrir facsímil</v>
      </c>
      <c r="K1809" s="15" t="s">
        <v>23</v>
      </c>
    </row>
    <row r="1810" spans="1:11" ht="42" customHeight="1">
      <c r="A1810" s="4" t="s">
        <v>4712</v>
      </c>
      <c r="B1810" s="5" t="s">
        <v>4713</v>
      </c>
      <c r="C1810" s="5" t="s">
        <v>160</v>
      </c>
      <c r="D1810" s="5" t="s">
        <v>91</v>
      </c>
      <c r="E1810" s="5" t="s">
        <v>517</v>
      </c>
      <c r="F1810" s="9">
        <v>61</v>
      </c>
      <c r="G1810" s="9">
        <v>743</v>
      </c>
      <c r="H1810" s="5" t="s">
        <v>21</v>
      </c>
      <c r="I1810" s="5" t="s">
        <v>4717</v>
      </c>
      <c r="J1810" s="12" t="str">
        <f>HYPERLINK("https://www.boe.es/gazeta/dias/1802/07/27/pdfs/GMD-1802-61.pdf#page=11","Abrir facsímil")</f>
        <v>Abrir facsímil</v>
      </c>
      <c r="K1810" s="15" t="s">
        <v>23</v>
      </c>
    </row>
    <row r="1811" spans="1:11" ht="42" customHeight="1">
      <c r="A1811" s="4" t="s">
        <v>4712</v>
      </c>
      <c r="B1811" s="5" t="s">
        <v>4713</v>
      </c>
      <c r="C1811" s="5" t="s">
        <v>18</v>
      </c>
      <c r="D1811" s="5" t="s">
        <v>19</v>
      </c>
      <c r="E1811" s="5" t="s">
        <v>1185</v>
      </c>
      <c r="F1811" s="9">
        <v>93</v>
      </c>
      <c r="G1811" s="9">
        <v>1151</v>
      </c>
      <c r="H1811" s="5" t="s">
        <v>21</v>
      </c>
      <c r="I1811" s="5" t="s">
        <v>4718</v>
      </c>
      <c r="J1811" s="12" t="str">
        <f>HYPERLINK("https://www.boe.es/gazeta/dias/1802/11/16/pdfs/GMD-1802-93.pdf#page=11","Abrir facsímil")</f>
        <v>Abrir facsímil</v>
      </c>
      <c r="K1811" s="15" t="s">
        <v>23</v>
      </c>
    </row>
    <row r="1812" spans="1:11" ht="42" customHeight="1">
      <c r="A1812" s="4" t="s">
        <v>4712</v>
      </c>
      <c r="B1812" s="5" t="s">
        <v>4713</v>
      </c>
      <c r="C1812" s="5" t="s">
        <v>35</v>
      </c>
      <c r="D1812" s="5" t="s">
        <v>36</v>
      </c>
      <c r="E1812" s="5" t="s">
        <v>185</v>
      </c>
      <c r="F1812" s="9">
        <v>95</v>
      </c>
      <c r="G1812" s="9">
        <v>1175</v>
      </c>
      <c r="H1812" s="5" t="s">
        <v>21</v>
      </c>
      <c r="I1812" s="5" t="s">
        <v>4719</v>
      </c>
      <c r="J1812" s="12" t="str">
        <f>HYPERLINK("https://www.boe.es/gazeta/dias/1802/11/23/pdfs/GMD-1802-95.pdf#page=11","Abrir facsímil")</f>
        <v>Abrir facsímil</v>
      </c>
      <c r="K1812" s="15" t="s">
        <v>23</v>
      </c>
    </row>
    <row r="1813" spans="1:11" ht="42" customHeight="1">
      <c r="A1813" s="4" t="s">
        <v>4720</v>
      </c>
      <c r="B1813" s="5" t="s">
        <v>4721</v>
      </c>
      <c r="C1813" s="5" t="s">
        <v>18</v>
      </c>
      <c r="D1813" s="5" t="s">
        <v>19</v>
      </c>
      <c r="E1813" s="5" t="s">
        <v>49</v>
      </c>
      <c r="F1813" s="9">
        <v>83</v>
      </c>
      <c r="G1813" s="9">
        <v>1024</v>
      </c>
      <c r="H1813" s="5" t="s">
        <v>21</v>
      </c>
      <c r="I1813" s="5" t="s">
        <v>4722</v>
      </c>
      <c r="J1813" s="12" t="str">
        <f>HYPERLINK("https://www.boe.es/gazeta/dias/1802/10/12/pdfs/GMD-1802-83.pdf#page=12","Abrir facsímil")</f>
        <v>Abrir facsímil</v>
      </c>
      <c r="K1813" s="15" t="s">
        <v>23</v>
      </c>
    </row>
    <row r="1814" spans="1:11" ht="42" customHeight="1">
      <c r="A1814" s="4" t="s">
        <v>4723</v>
      </c>
      <c r="B1814" s="5" t="s">
        <v>4724</v>
      </c>
      <c r="C1814" s="5" t="s">
        <v>29</v>
      </c>
      <c r="D1814" s="5" t="s">
        <v>30</v>
      </c>
      <c r="E1814" s="5" t="s">
        <v>49</v>
      </c>
      <c r="F1814" s="9">
        <v>83</v>
      </c>
      <c r="G1814" s="9">
        <v>1020</v>
      </c>
      <c r="H1814" s="5" t="s">
        <v>21</v>
      </c>
      <c r="I1814" s="5" t="s">
        <v>4725</v>
      </c>
      <c r="J1814" s="12" t="str">
        <f>HYPERLINK("https://www.boe.es/gazeta/dias/1802/10/12/pdfs/GMD-1802-83.pdf#page=8","Abrir facsímil")</f>
        <v>Abrir facsímil</v>
      </c>
      <c r="K1814" s="15" t="s">
        <v>23</v>
      </c>
    </row>
    <row r="1815" spans="1:11" ht="42" customHeight="1">
      <c r="A1815" s="4" t="s">
        <v>4726</v>
      </c>
      <c r="B1815" s="5" t="s">
        <v>4727</v>
      </c>
      <c r="C1815" s="5" t="s">
        <v>42</v>
      </c>
      <c r="D1815" s="5" t="s">
        <v>43</v>
      </c>
      <c r="E1815" s="5" t="s">
        <v>44</v>
      </c>
      <c r="F1815" s="9">
        <v>99</v>
      </c>
      <c r="G1815" s="9" t="s">
        <v>544</v>
      </c>
      <c r="H1815" s="5" t="s">
        <v>21</v>
      </c>
      <c r="I1815" s="5" t="s">
        <v>4728</v>
      </c>
      <c r="J1815" s="12" t="str">
        <f>HYPERLINK("https://www.boe.es/gazeta/dias/1802/12/07/pdfs/GMD-D-1802-99.pdf#page=11","Abrir facsímil")</f>
        <v>Abrir facsímil</v>
      </c>
      <c r="K1815" s="15" t="s">
        <v>23</v>
      </c>
    </row>
    <row r="1816" spans="1:11" ht="42" customHeight="1">
      <c r="A1816" s="4" t="s">
        <v>4729</v>
      </c>
      <c r="B1816" s="5" t="s">
        <v>4730</v>
      </c>
      <c r="C1816" s="5" t="s">
        <v>29</v>
      </c>
      <c r="D1816" s="5" t="s">
        <v>30</v>
      </c>
      <c r="E1816" s="5" t="s">
        <v>232</v>
      </c>
      <c r="F1816" s="9">
        <v>30</v>
      </c>
      <c r="G1816" s="9">
        <v>351</v>
      </c>
      <c r="H1816" s="5" t="s">
        <v>21</v>
      </c>
      <c r="I1816" s="5" t="s">
        <v>4731</v>
      </c>
      <c r="J1816" s="12" t="str">
        <f>HYPERLINK("https://www.boe.es/gazeta/dias/1802/04/13/pdfs/GMD-1802-30.pdf#page=7","Abrir facsímil")</f>
        <v>Abrir facsímil</v>
      </c>
      <c r="K1816" s="15" t="s">
        <v>23</v>
      </c>
    </row>
    <row r="1817" spans="1:11" ht="42" customHeight="1">
      <c r="A1817" s="4" t="s">
        <v>4732</v>
      </c>
      <c r="B1817" s="5" t="s">
        <v>4733</v>
      </c>
      <c r="C1817" s="5" t="s">
        <v>160</v>
      </c>
      <c r="D1817" s="5" t="s">
        <v>91</v>
      </c>
      <c r="E1817" s="5" t="s">
        <v>1289</v>
      </c>
      <c r="F1817" s="9">
        <v>72</v>
      </c>
      <c r="G1817" s="9">
        <v>890</v>
      </c>
      <c r="H1817" s="5" t="s">
        <v>21</v>
      </c>
      <c r="I1817" s="5" t="s">
        <v>4734</v>
      </c>
      <c r="J1817" s="12" t="str">
        <f>HYPERLINK("https://www.boe.es/gazeta/dias/1802/09/03/pdfs/GMD-1802-72.pdf#page=10","Abrir facsímil")</f>
        <v>Abrir facsímil</v>
      </c>
      <c r="K1817" s="15" t="s">
        <v>23</v>
      </c>
    </row>
    <row r="1818" spans="1:11" ht="42" customHeight="1">
      <c r="A1818" s="4" t="s">
        <v>4735</v>
      </c>
      <c r="B1818" s="5" t="s">
        <v>4736</v>
      </c>
      <c r="C1818" s="5" t="s">
        <v>29</v>
      </c>
      <c r="D1818" s="5" t="s">
        <v>30</v>
      </c>
      <c r="E1818" s="5" t="s">
        <v>188</v>
      </c>
      <c r="F1818" s="9">
        <v>49</v>
      </c>
      <c r="G1818" s="9">
        <v>599</v>
      </c>
      <c r="H1818" s="5" t="s">
        <v>21</v>
      </c>
      <c r="I1818" s="5" t="s">
        <v>4737</v>
      </c>
      <c r="J1818" s="12" t="str">
        <f>HYPERLINK("https://www.boe.es/gazeta/dias/1802/06/18/pdfs/GMD-1802-49.pdf#page=11","Abrir facsímil")</f>
        <v>Abrir facsímil</v>
      </c>
      <c r="K1818" s="15" t="s">
        <v>23</v>
      </c>
    </row>
    <row r="1819" spans="1:11" ht="42" customHeight="1">
      <c r="A1819" s="4" t="s">
        <v>4738</v>
      </c>
      <c r="B1819" s="5" t="s">
        <v>4739</v>
      </c>
      <c r="C1819" s="5" t="s">
        <v>2417</v>
      </c>
      <c r="D1819" s="5" t="s">
        <v>2418</v>
      </c>
      <c r="E1819" s="5" t="s">
        <v>206</v>
      </c>
      <c r="F1819" s="9">
        <v>22</v>
      </c>
      <c r="G1819" s="9">
        <v>246</v>
      </c>
      <c r="H1819" s="5" t="s">
        <v>21</v>
      </c>
      <c r="I1819" s="5" t="s">
        <v>4740</v>
      </c>
      <c r="J1819" s="12" t="str">
        <f>HYPERLINK("https://www.boe.es/gazeta/dias/1802/03/16/pdfs/GMD-C-1802-22.pdf#page=2","Abrir facsímil")</f>
        <v>Abrir facsímil</v>
      </c>
      <c r="K1819" s="15" t="s">
        <v>23</v>
      </c>
    </row>
    <row r="1820" spans="1:11" ht="42" customHeight="1">
      <c r="A1820" s="4" t="s">
        <v>4738</v>
      </c>
      <c r="B1820" s="5" t="s">
        <v>4739</v>
      </c>
      <c r="C1820" s="5" t="s">
        <v>18</v>
      </c>
      <c r="D1820" s="5" t="s">
        <v>19</v>
      </c>
      <c r="E1820" s="5" t="s">
        <v>167</v>
      </c>
      <c r="F1820" s="9">
        <v>23</v>
      </c>
      <c r="G1820" s="9">
        <v>260</v>
      </c>
      <c r="H1820" s="5" t="s">
        <v>21</v>
      </c>
      <c r="I1820" s="5" t="s">
        <v>4741</v>
      </c>
      <c r="J1820" s="12" t="str">
        <f>HYPERLINK("https://www.boe.es/gazeta/dias/1802/03/19/pdfs/GMD-1802-23.pdf#page=8","Abrir facsímil")</f>
        <v>Abrir facsímil</v>
      </c>
      <c r="K1820" s="15" t="s">
        <v>23</v>
      </c>
    </row>
    <row r="1821" spans="1:11" ht="42" customHeight="1">
      <c r="A1821" s="4" t="s">
        <v>4738</v>
      </c>
      <c r="B1821" s="5" t="s">
        <v>4739</v>
      </c>
      <c r="C1821" s="5" t="s">
        <v>18</v>
      </c>
      <c r="D1821" s="5" t="s">
        <v>19</v>
      </c>
      <c r="E1821" s="5" t="s">
        <v>332</v>
      </c>
      <c r="F1821" s="9">
        <v>24</v>
      </c>
      <c r="G1821" s="9">
        <v>273</v>
      </c>
      <c r="H1821" s="5" t="s">
        <v>21</v>
      </c>
      <c r="I1821" s="5" t="s">
        <v>4742</v>
      </c>
      <c r="J1821" s="12" t="str">
        <f>HYPERLINK("https://www.boe.es/gazeta/dias/1802/03/23/pdfs/GMD-1802-24.pdf#page=9","Abrir facsímil")</f>
        <v>Abrir facsímil</v>
      </c>
      <c r="K1821" s="15" t="s">
        <v>23</v>
      </c>
    </row>
    <row r="1822" spans="1:11" ht="42" customHeight="1">
      <c r="A1822" s="4" t="s">
        <v>4743</v>
      </c>
      <c r="B1822" s="5" t="s">
        <v>4744</v>
      </c>
      <c r="C1822" s="5" t="s">
        <v>2417</v>
      </c>
      <c r="D1822" s="5" t="s">
        <v>2418</v>
      </c>
      <c r="E1822" s="5" t="s">
        <v>206</v>
      </c>
      <c r="F1822" s="9">
        <v>22</v>
      </c>
      <c r="G1822" s="9">
        <v>246</v>
      </c>
      <c r="H1822" s="5" t="s">
        <v>21</v>
      </c>
      <c r="I1822" s="5" t="s">
        <v>4745</v>
      </c>
      <c r="J1822" s="12" t="str">
        <f>HYPERLINK("https://www.boe.es/gazeta/dias/1802/03/16/pdfs/GMD-C-1802-22.pdf#page=2","Abrir facsímil")</f>
        <v>Abrir facsímil</v>
      </c>
      <c r="K1822" s="15" t="s">
        <v>23</v>
      </c>
    </row>
    <row r="1823" spans="1:11" ht="42" customHeight="1">
      <c r="A1823" s="4" t="s">
        <v>4743</v>
      </c>
      <c r="B1823" s="5" t="s">
        <v>4744</v>
      </c>
      <c r="C1823" s="5" t="s">
        <v>18</v>
      </c>
      <c r="D1823" s="5" t="s">
        <v>19</v>
      </c>
      <c r="E1823" s="5" t="s">
        <v>167</v>
      </c>
      <c r="F1823" s="9">
        <v>23</v>
      </c>
      <c r="G1823" s="9">
        <v>260</v>
      </c>
      <c r="H1823" s="5" t="s">
        <v>21</v>
      </c>
      <c r="I1823" s="5" t="s">
        <v>4746</v>
      </c>
      <c r="J1823" s="12" t="str">
        <f>HYPERLINK("https://www.boe.es/gazeta/dias/1802/03/19/pdfs/GMD-1802-23.pdf#page=8","Abrir facsímil")</f>
        <v>Abrir facsímil</v>
      </c>
      <c r="K1823" s="15" t="s">
        <v>23</v>
      </c>
    </row>
    <row r="1824" spans="1:11" ht="42" customHeight="1">
      <c r="A1824" s="4" t="s">
        <v>4743</v>
      </c>
      <c r="B1824" s="5" t="s">
        <v>4744</v>
      </c>
      <c r="C1824" s="5" t="s">
        <v>18</v>
      </c>
      <c r="D1824" s="5" t="s">
        <v>19</v>
      </c>
      <c r="E1824" s="5" t="s">
        <v>332</v>
      </c>
      <c r="F1824" s="9">
        <v>24</v>
      </c>
      <c r="G1824" s="9">
        <v>273</v>
      </c>
      <c r="H1824" s="5" t="s">
        <v>21</v>
      </c>
      <c r="I1824" s="5" t="s">
        <v>4747</v>
      </c>
      <c r="J1824" s="12" t="str">
        <f>HYPERLINK("https://www.boe.es/gazeta/dias/1802/03/23/pdfs/GMD-1802-24.pdf#page=9","Abrir facsímil")</f>
        <v>Abrir facsímil</v>
      </c>
      <c r="K1824" s="15" t="s">
        <v>23</v>
      </c>
    </row>
    <row r="1825" spans="1:11" ht="42" customHeight="1">
      <c r="A1825" s="4" t="s">
        <v>4743</v>
      </c>
      <c r="B1825" s="5" t="s">
        <v>4744</v>
      </c>
      <c r="C1825" s="5" t="s">
        <v>18</v>
      </c>
      <c r="D1825" s="5" t="s">
        <v>19</v>
      </c>
      <c r="E1825" s="5" t="s">
        <v>517</v>
      </c>
      <c r="F1825" s="9">
        <v>61</v>
      </c>
      <c r="G1825" s="9">
        <v>742</v>
      </c>
      <c r="H1825" s="5" t="s">
        <v>21</v>
      </c>
      <c r="I1825" s="5" t="s">
        <v>4748</v>
      </c>
      <c r="J1825" s="12" t="str">
        <f>HYPERLINK("https://www.boe.es/gazeta/dias/1802/07/27/pdfs/GMD-1802-61.pdf#page=10","Abrir facsímil")</f>
        <v>Abrir facsímil</v>
      </c>
      <c r="K1825" s="15" t="s">
        <v>23</v>
      </c>
    </row>
    <row r="1826" spans="1:11" ht="42" customHeight="1">
      <c r="A1826" s="4" t="s">
        <v>4743</v>
      </c>
      <c r="B1826" s="5" t="s">
        <v>4744</v>
      </c>
      <c r="C1826" s="5" t="s">
        <v>18</v>
      </c>
      <c r="D1826" s="5" t="s">
        <v>19</v>
      </c>
      <c r="E1826" s="5" t="s">
        <v>292</v>
      </c>
      <c r="F1826" s="9">
        <v>62</v>
      </c>
      <c r="G1826" s="9">
        <v>754</v>
      </c>
      <c r="H1826" s="5" t="s">
        <v>21</v>
      </c>
      <c r="I1826" s="5" t="s">
        <v>4749</v>
      </c>
      <c r="J1826" s="12" t="str">
        <f>HYPERLINK("https://www.boe.es/gazeta/dias/1802/07/30/pdfs/GMD-1802-62.pdf#page=10","Abrir facsímil")</f>
        <v>Abrir facsímil</v>
      </c>
      <c r="K1826" s="15" t="s">
        <v>23</v>
      </c>
    </row>
    <row r="1827" spans="1:11" ht="42" customHeight="1">
      <c r="A1827" s="4" t="s">
        <v>4743</v>
      </c>
      <c r="B1827" s="5" t="s">
        <v>4744</v>
      </c>
      <c r="C1827" s="5" t="s">
        <v>18</v>
      </c>
      <c r="D1827" s="5" t="s">
        <v>19</v>
      </c>
      <c r="E1827" s="5" t="s">
        <v>1185</v>
      </c>
      <c r="F1827" s="9">
        <v>93</v>
      </c>
      <c r="G1827" s="9">
        <v>1150</v>
      </c>
      <c r="H1827" s="5" t="s">
        <v>21</v>
      </c>
      <c r="I1827" s="5" t="s">
        <v>4750</v>
      </c>
      <c r="J1827" s="12" t="str">
        <f>HYPERLINK("https://www.boe.es/gazeta/dias/1802/11/16/pdfs/GMD-1802-93.pdf#page=10","Abrir facsímil")</f>
        <v>Abrir facsímil</v>
      </c>
      <c r="K1827" s="15" t="s">
        <v>23</v>
      </c>
    </row>
    <row r="1828" spans="1:11" ht="42" customHeight="1">
      <c r="A1828" s="4" t="s">
        <v>4743</v>
      </c>
      <c r="B1828" s="5" t="s">
        <v>4744</v>
      </c>
      <c r="C1828" s="5" t="s">
        <v>35</v>
      </c>
      <c r="D1828" s="5" t="s">
        <v>36</v>
      </c>
      <c r="E1828" s="5" t="s">
        <v>185</v>
      </c>
      <c r="F1828" s="9">
        <v>95</v>
      </c>
      <c r="G1828" s="9">
        <v>1174</v>
      </c>
      <c r="H1828" s="5" t="s">
        <v>21</v>
      </c>
      <c r="I1828" s="5" t="s">
        <v>4751</v>
      </c>
      <c r="J1828" s="12" t="str">
        <f>HYPERLINK("https://www.boe.es/gazeta/dias/1802/11/23/pdfs/GMD-1802-95.pdf#page=10","Abrir facsímil")</f>
        <v>Abrir facsímil</v>
      </c>
      <c r="K1828" s="15" t="s">
        <v>23</v>
      </c>
    </row>
    <row r="1829" spans="1:11" ht="42" customHeight="1">
      <c r="A1829" s="4" t="s">
        <v>4752</v>
      </c>
      <c r="B1829" s="5" t="s">
        <v>4753</v>
      </c>
      <c r="C1829" s="5" t="s">
        <v>18</v>
      </c>
      <c r="D1829" s="5" t="s">
        <v>19</v>
      </c>
      <c r="E1829" s="5" t="s">
        <v>49</v>
      </c>
      <c r="F1829" s="9">
        <v>83</v>
      </c>
      <c r="G1829" s="9">
        <v>1024</v>
      </c>
      <c r="H1829" s="5" t="s">
        <v>21</v>
      </c>
      <c r="I1829" s="5" t="s">
        <v>4754</v>
      </c>
      <c r="J1829" s="12" t="str">
        <f>HYPERLINK("https://www.boe.es/gazeta/dias/1802/10/12/pdfs/GMD-1802-83.pdf#page=12","Abrir facsímil")</f>
        <v>Abrir facsímil</v>
      </c>
      <c r="K1829" s="15" t="s">
        <v>23</v>
      </c>
    </row>
    <row r="1830" spans="1:11" ht="42" customHeight="1">
      <c r="A1830" s="4" t="s">
        <v>4755</v>
      </c>
      <c r="B1830" s="5" t="s">
        <v>4756</v>
      </c>
      <c r="C1830" s="5" t="s">
        <v>29</v>
      </c>
      <c r="D1830" s="5" t="s">
        <v>30</v>
      </c>
      <c r="E1830" s="5" t="s">
        <v>299</v>
      </c>
      <c r="F1830" s="9">
        <v>19</v>
      </c>
      <c r="G1830" s="9">
        <v>210</v>
      </c>
      <c r="H1830" s="5" t="s">
        <v>21</v>
      </c>
      <c r="I1830" s="5" t="s">
        <v>4757</v>
      </c>
      <c r="J1830" s="12" t="str">
        <f>HYPERLINK("https://www.boe.es/gazeta/dias/1802/03/05/pdfs/GMD-1802-19.pdf#page=10","Abrir facsímil")</f>
        <v>Abrir facsímil</v>
      </c>
      <c r="K1830" s="15" t="s">
        <v>23</v>
      </c>
    </row>
    <row r="1831" spans="1:11" ht="42" customHeight="1">
      <c r="A1831" s="4" t="s">
        <v>4758</v>
      </c>
      <c r="B1831" s="5" t="s">
        <v>4759</v>
      </c>
      <c r="C1831" s="5" t="s">
        <v>18</v>
      </c>
      <c r="D1831" s="5" t="s">
        <v>19</v>
      </c>
      <c r="E1831" s="5" t="s">
        <v>20</v>
      </c>
      <c r="F1831" s="9">
        <v>84</v>
      </c>
      <c r="G1831" s="9">
        <v>1041</v>
      </c>
      <c r="H1831" s="5" t="s">
        <v>21</v>
      </c>
      <c r="I1831" s="5" t="s">
        <v>4760</v>
      </c>
      <c r="J1831" s="12" t="str">
        <f>HYPERLINK("https://www.boe.es/gazeta/dias/1802/10/15/pdfs/GMD-1802-84.pdf#page=9","Abrir facsímil")</f>
        <v>Abrir facsímil</v>
      </c>
      <c r="K1831" s="15" t="s">
        <v>23</v>
      </c>
    </row>
    <row r="1832" spans="1:11" ht="42" customHeight="1">
      <c r="A1832" s="4" t="s">
        <v>4761</v>
      </c>
      <c r="B1832" s="5" t="s">
        <v>4762</v>
      </c>
      <c r="C1832" s="5" t="s">
        <v>18</v>
      </c>
      <c r="D1832" s="5" t="s">
        <v>19</v>
      </c>
      <c r="E1832" s="5" t="s">
        <v>49</v>
      </c>
      <c r="F1832" s="9">
        <v>83</v>
      </c>
      <c r="G1832" s="9">
        <v>1023</v>
      </c>
      <c r="H1832" s="5" t="s">
        <v>21</v>
      </c>
      <c r="I1832" s="5" t="s">
        <v>4763</v>
      </c>
      <c r="J1832" s="12" t="str">
        <f>HYPERLINK("https://www.boe.es/gazeta/dias/1802/10/12/pdfs/GMD-1802-83.pdf#page=11","Abrir facsímil")</f>
        <v>Abrir facsímil</v>
      </c>
      <c r="K1832" s="15" t="s">
        <v>23</v>
      </c>
    </row>
    <row r="1833" spans="1:11" ht="42" customHeight="1">
      <c r="A1833" s="4" t="s">
        <v>4764</v>
      </c>
      <c r="B1833" s="5" t="s">
        <v>4765</v>
      </c>
      <c r="C1833" s="5" t="s">
        <v>29</v>
      </c>
      <c r="D1833" s="5" t="s">
        <v>30</v>
      </c>
      <c r="E1833" s="5" t="s">
        <v>185</v>
      </c>
      <c r="F1833" s="9">
        <v>95</v>
      </c>
      <c r="G1833" s="9">
        <v>1173</v>
      </c>
      <c r="H1833" s="5" t="s">
        <v>21</v>
      </c>
      <c r="I1833" s="5" t="s">
        <v>4766</v>
      </c>
      <c r="J1833" s="12" t="str">
        <f>HYPERLINK("https://www.boe.es/gazeta/dias/1802/11/23/pdfs/GMD-1802-95.pdf#page=9","Abrir facsímil")</f>
        <v>Abrir facsímil</v>
      </c>
      <c r="K1833" s="15" t="s">
        <v>23</v>
      </c>
    </row>
    <row r="1834" spans="1:11" ht="42" customHeight="1">
      <c r="A1834" s="4" t="s">
        <v>4767</v>
      </c>
      <c r="B1834" s="5" t="s">
        <v>4768</v>
      </c>
      <c r="C1834" s="5" t="s">
        <v>18</v>
      </c>
      <c r="D1834" s="5" t="s">
        <v>19</v>
      </c>
      <c r="E1834" s="5" t="s">
        <v>152</v>
      </c>
      <c r="F1834" s="9">
        <v>25</v>
      </c>
      <c r="G1834" s="9">
        <v>284</v>
      </c>
      <c r="H1834" s="5" t="s">
        <v>21</v>
      </c>
      <c r="I1834" s="5" t="s">
        <v>4769</v>
      </c>
      <c r="J1834" s="12" t="str">
        <f>HYPERLINK("https://www.boe.es/gazeta/dias/1802/03/26/pdfs/GMD-1802-25.pdf#page=8","Abrir facsímil")</f>
        <v>Abrir facsímil</v>
      </c>
      <c r="K1834" s="15" t="s">
        <v>23</v>
      </c>
    </row>
    <row r="1835" spans="1:11" ht="42" customHeight="1">
      <c r="A1835" s="4" t="s">
        <v>4767</v>
      </c>
      <c r="B1835" s="5" t="s">
        <v>4768</v>
      </c>
      <c r="C1835" s="5" t="s">
        <v>18</v>
      </c>
      <c r="D1835" s="5" t="s">
        <v>19</v>
      </c>
      <c r="E1835" s="5" t="s">
        <v>152</v>
      </c>
      <c r="F1835" s="9">
        <v>25</v>
      </c>
      <c r="G1835" s="9">
        <v>285</v>
      </c>
      <c r="H1835" s="5" t="s">
        <v>21</v>
      </c>
      <c r="I1835" s="5" t="s">
        <v>4770</v>
      </c>
      <c r="J1835" s="12" t="str">
        <f>HYPERLINK("https://www.boe.es/gazeta/dias/1802/03/26/pdfs/GMD-1802-25.pdf#page=9","Abrir facsímil")</f>
        <v>Abrir facsímil</v>
      </c>
      <c r="K1835" s="15" t="s">
        <v>23</v>
      </c>
    </row>
    <row r="1836" spans="1:11" ht="42" customHeight="1">
      <c r="A1836" s="4" t="s">
        <v>4771</v>
      </c>
      <c r="B1836" s="5" t="s">
        <v>4772</v>
      </c>
      <c r="C1836" s="5" t="s">
        <v>55</v>
      </c>
      <c r="D1836" s="5" t="s">
        <v>56</v>
      </c>
      <c r="E1836" s="5" t="s">
        <v>133</v>
      </c>
      <c r="F1836" s="9">
        <v>33</v>
      </c>
      <c r="G1836" s="9">
        <v>388</v>
      </c>
      <c r="H1836" s="5" t="s">
        <v>21</v>
      </c>
      <c r="I1836" s="5" t="s">
        <v>4773</v>
      </c>
      <c r="J1836" s="12" t="str">
        <f>HYPERLINK("https://www.boe.es/gazeta/dias/1802/04/23/pdfs/GMD-1802-33.pdf#page=8","Abrir facsímil")</f>
        <v>Abrir facsímil</v>
      </c>
      <c r="K1836" s="15" t="s">
        <v>23</v>
      </c>
    </row>
    <row r="1837" spans="1:11" ht="42" customHeight="1">
      <c r="A1837" s="4" t="s">
        <v>4774</v>
      </c>
      <c r="B1837" s="5" t="s">
        <v>4775</v>
      </c>
      <c r="C1837" s="5" t="s">
        <v>18</v>
      </c>
      <c r="D1837" s="5" t="s">
        <v>19</v>
      </c>
      <c r="E1837" s="5" t="s">
        <v>148</v>
      </c>
      <c r="F1837" s="9">
        <v>66</v>
      </c>
      <c r="G1837" s="9">
        <v>809</v>
      </c>
      <c r="H1837" s="5" t="s">
        <v>21</v>
      </c>
      <c r="I1837" s="5" t="s">
        <v>4776</v>
      </c>
      <c r="J1837" s="12" t="str">
        <f>HYPERLINK("https://www.boe.es/gazeta/dias/1802/08/13/pdfs/GMD-1802-66.pdf#page=13","Abrir facsímil")</f>
        <v>Abrir facsímil</v>
      </c>
      <c r="K1837" s="15" t="s">
        <v>23</v>
      </c>
    </row>
    <row r="1838" spans="1:11" ht="42" customHeight="1">
      <c r="A1838" s="4" t="s">
        <v>4777</v>
      </c>
      <c r="B1838" s="5" t="s">
        <v>4778</v>
      </c>
      <c r="C1838" s="5" t="s">
        <v>18</v>
      </c>
      <c r="D1838" s="5" t="s">
        <v>19</v>
      </c>
      <c r="E1838" s="5" t="s">
        <v>49</v>
      </c>
      <c r="F1838" s="9">
        <v>83</v>
      </c>
      <c r="G1838" s="9">
        <v>1025</v>
      </c>
      <c r="H1838" s="5" t="s">
        <v>21</v>
      </c>
      <c r="I1838" s="5" t="s">
        <v>4779</v>
      </c>
      <c r="J1838" s="12" t="str">
        <f>HYPERLINK("https://www.boe.es/gazeta/dias/1802/10/12/pdfs/GMD-1802-83.pdf#page=13","Abrir facsímil")</f>
        <v>Abrir facsímil</v>
      </c>
      <c r="K1838" s="15" t="s">
        <v>23</v>
      </c>
    </row>
    <row r="1839" spans="1:11" ht="42" customHeight="1">
      <c r="A1839" s="4" t="s">
        <v>4780</v>
      </c>
      <c r="B1839" s="5" t="s">
        <v>4781</v>
      </c>
      <c r="C1839" s="5" t="s">
        <v>55</v>
      </c>
      <c r="D1839" s="5" t="s">
        <v>56</v>
      </c>
      <c r="E1839" s="5" t="s">
        <v>206</v>
      </c>
      <c r="F1839" s="9">
        <v>22</v>
      </c>
      <c r="G1839" s="9">
        <v>242</v>
      </c>
      <c r="H1839" s="5" t="s">
        <v>21</v>
      </c>
      <c r="I1839" s="5" t="s">
        <v>4782</v>
      </c>
      <c r="J1839" s="12" t="str">
        <f>HYPERLINK("https://www.boe.es/gazeta/dias/1802/03/16/pdfs/GMD-1802-22.pdf#page=10","Abrir facsímil")</f>
        <v>Abrir facsímil</v>
      </c>
      <c r="K1839" s="15" t="s">
        <v>23</v>
      </c>
    </row>
    <row r="1840" spans="1:11" ht="42" customHeight="1">
      <c r="A1840" s="4" t="s">
        <v>4783</v>
      </c>
      <c r="B1840" s="5" t="s">
        <v>4784</v>
      </c>
      <c r="C1840" s="5" t="s">
        <v>29</v>
      </c>
      <c r="D1840" s="5" t="s">
        <v>30</v>
      </c>
      <c r="E1840" s="5" t="s">
        <v>128</v>
      </c>
      <c r="F1840" s="9">
        <v>9</v>
      </c>
      <c r="G1840" s="9">
        <v>90</v>
      </c>
      <c r="H1840" s="5" t="s">
        <v>21</v>
      </c>
      <c r="I1840" s="5" t="s">
        <v>4785</v>
      </c>
      <c r="J1840" s="12" t="str">
        <f>HYPERLINK("https://www.boe.es/gazeta/dias/1802/01/29/pdfs/GMD-1802-9.pdf#page=10","Abrir facsímil")</f>
        <v>Abrir facsímil</v>
      </c>
      <c r="K1840" s="15" t="s">
        <v>23</v>
      </c>
    </row>
    <row r="1841" spans="1:11" ht="42" customHeight="1">
      <c r="A1841" s="4" t="s">
        <v>4786</v>
      </c>
      <c r="B1841" s="5" t="s">
        <v>4787</v>
      </c>
      <c r="C1841" s="5" t="s">
        <v>29</v>
      </c>
      <c r="D1841" s="5" t="s">
        <v>30</v>
      </c>
      <c r="E1841" s="5" t="s">
        <v>1381</v>
      </c>
      <c r="F1841" s="9">
        <v>17</v>
      </c>
      <c r="G1841" s="9">
        <v>185</v>
      </c>
      <c r="H1841" s="5" t="s">
        <v>21</v>
      </c>
      <c r="I1841" s="5" t="s">
        <v>4788</v>
      </c>
      <c r="J1841" s="12" t="str">
        <f>HYPERLINK("https://www.boe.es/gazeta/dias/1802/02/26/pdfs/GMD-1802-17.pdf#page=9","Abrir facsímil")</f>
        <v>Abrir facsímil</v>
      </c>
      <c r="K1841" s="15" t="s">
        <v>23</v>
      </c>
    </row>
    <row r="1842" spans="1:11" ht="42" customHeight="1">
      <c r="A1842" s="4" t="s">
        <v>4789</v>
      </c>
      <c r="B1842" s="5" t="s">
        <v>4790</v>
      </c>
      <c r="C1842" s="5" t="s">
        <v>18</v>
      </c>
      <c r="D1842" s="5" t="s">
        <v>19</v>
      </c>
      <c r="E1842" s="5" t="s">
        <v>826</v>
      </c>
      <c r="F1842" s="9">
        <v>67</v>
      </c>
      <c r="G1842" s="9">
        <v>822</v>
      </c>
      <c r="H1842" s="5" t="s">
        <v>21</v>
      </c>
      <c r="I1842" s="5" t="s">
        <v>4791</v>
      </c>
      <c r="J1842" s="12" t="str">
        <f>HYPERLINK("https://www.boe.es/gazeta/dias/1802/08/17/pdfs/GMD-1802-67.pdf#page=10","Abrir facsímil")</f>
        <v>Abrir facsímil</v>
      </c>
      <c r="K1842" s="15" t="s">
        <v>23</v>
      </c>
    </row>
    <row r="1843" spans="1:11" ht="42" customHeight="1">
      <c r="A1843" s="4" t="s">
        <v>4792</v>
      </c>
      <c r="B1843" s="5" t="s">
        <v>4793</v>
      </c>
      <c r="C1843" s="5" t="s">
        <v>55</v>
      </c>
      <c r="D1843" s="5" t="s">
        <v>56</v>
      </c>
      <c r="E1843" s="5" t="s">
        <v>247</v>
      </c>
      <c r="F1843" s="9">
        <v>14</v>
      </c>
      <c r="G1843" s="9">
        <v>147</v>
      </c>
      <c r="H1843" s="5" t="s">
        <v>21</v>
      </c>
      <c r="I1843" s="5" t="s">
        <v>4794</v>
      </c>
      <c r="J1843" s="12" t="str">
        <f>HYPERLINK("https://www.boe.es/gazeta/dias/1802/02/16/pdfs/GMD-1802-14.pdf#page=11","Abrir facsímil")</f>
        <v>Abrir facsímil</v>
      </c>
      <c r="K1843" s="15" t="s">
        <v>23</v>
      </c>
    </row>
    <row r="1844" spans="1:11" ht="42" customHeight="1">
      <c r="A1844" s="4" t="s">
        <v>4795</v>
      </c>
      <c r="B1844" s="5" t="s">
        <v>4796</v>
      </c>
      <c r="C1844" s="5" t="s">
        <v>18</v>
      </c>
      <c r="D1844" s="5" t="s">
        <v>19</v>
      </c>
      <c r="E1844" s="5" t="s">
        <v>20</v>
      </c>
      <c r="F1844" s="9">
        <v>84</v>
      </c>
      <c r="G1844" s="9">
        <v>1044</v>
      </c>
      <c r="H1844" s="5" t="s">
        <v>21</v>
      </c>
      <c r="I1844" s="5" t="s">
        <v>4797</v>
      </c>
      <c r="J1844" s="12" t="str">
        <f>HYPERLINK("https://www.boe.es/gazeta/dias/1802/10/15/pdfs/GMD-1802-84.pdf#page=12","Abrir facsímil")</f>
        <v>Abrir facsímil</v>
      </c>
      <c r="K1844" s="15" t="s">
        <v>23</v>
      </c>
    </row>
    <row r="1845" spans="1:11" ht="42" customHeight="1">
      <c r="A1845" s="4" t="s">
        <v>4798</v>
      </c>
      <c r="B1845" s="5" t="s">
        <v>4799</v>
      </c>
      <c r="C1845" s="5" t="s">
        <v>18</v>
      </c>
      <c r="D1845" s="5" t="s">
        <v>19</v>
      </c>
      <c r="E1845" s="5" t="s">
        <v>31</v>
      </c>
      <c r="F1845" s="9">
        <v>27</v>
      </c>
      <c r="G1845" s="9">
        <v>318</v>
      </c>
      <c r="H1845" s="5" t="s">
        <v>21</v>
      </c>
      <c r="I1845" s="5" t="s">
        <v>4800</v>
      </c>
      <c r="J1845" s="12" t="str">
        <f>HYPERLINK("https://www.boe.es/gazeta/dias/1802/04/02/pdfs/GMD-1802-27.pdf#page=14","Abrir facsímil")</f>
        <v>Abrir facsímil</v>
      </c>
      <c r="K1845" s="15" t="s">
        <v>23</v>
      </c>
    </row>
    <row r="1846" spans="1:11" ht="42" customHeight="1">
      <c r="A1846" s="4" t="s">
        <v>4801</v>
      </c>
      <c r="B1846" s="5" t="s">
        <v>4802</v>
      </c>
      <c r="C1846" s="5" t="s">
        <v>18</v>
      </c>
      <c r="D1846" s="5" t="s">
        <v>19</v>
      </c>
      <c r="E1846" s="5" t="s">
        <v>20</v>
      </c>
      <c r="F1846" s="9">
        <v>84</v>
      </c>
      <c r="G1846" s="9">
        <v>1040</v>
      </c>
      <c r="H1846" s="5" t="s">
        <v>21</v>
      </c>
      <c r="I1846" s="5" t="s">
        <v>4803</v>
      </c>
      <c r="J1846" s="12" t="str">
        <f>HYPERLINK("https://www.boe.es/gazeta/dias/1802/10/15/pdfs/GMD-1802-84.pdf#page=8","Abrir facsímil")</f>
        <v>Abrir facsímil</v>
      </c>
      <c r="K1846" s="15" t="s">
        <v>23</v>
      </c>
    </row>
    <row r="1847" spans="1:11" ht="42" customHeight="1">
      <c r="A1847" s="4" t="s">
        <v>4804</v>
      </c>
      <c r="B1847" s="5" t="s">
        <v>4805</v>
      </c>
      <c r="C1847" s="5" t="s">
        <v>18</v>
      </c>
      <c r="D1847" s="5" t="s">
        <v>19</v>
      </c>
      <c r="E1847" s="5" t="s">
        <v>20</v>
      </c>
      <c r="F1847" s="9">
        <v>84</v>
      </c>
      <c r="G1847" s="9">
        <v>1041</v>
      </c>
      <c r="H1847" s="5" t="s">
        <v>21</v>
      </c>
      <c r="I1847" s="5" t="s">
        <v>4806</v>
      </c>
      <c r="J1847" s="12" t="str">
        <f>HYPERLINK("https://www.boe.es/gazeta/dias/1802/10/15/pdfs/GMD-1802-84.pdf#page=9","Abrir facsímil")</f>
        <v>Abrir facsímil</v>
      </c>
      <c r="K1847" s="15" t="s">
        <v>23</v>
      </c>
    </row>
    <row r="1848" spans="1:11" ht="42" customHeight="1">
      <c r="A1848" s="4" t="s">
        <v>4807</v>
      </c>
      <c r="B1848" s="5" t="s">
        <v>4808</v>
      </c>
      <c r="C1848" s="5" t="s">
        <v>29</v>
      </c>
      <c r="D1848" s="5" t="s">
        <v>30</v>
      </c>
      <c r="E1848" s="5" t="s">
        <v>453</v>
      </c>
      <c r="F1848" s="9">
        <v>52</v>
      </c>
      <c r="G1848" s="9">
        <v>631</v>
      </c>
      <c r="H1848" s="5" t="s">
        <v>21</v>
      </c>
      <c r="I1848" s="5" t="s">
        <v>4809</v>
      </c>
      <c r="J1848" s="12" t="str">
        <f>HYPERLINK("https://www.boe.es/gazeta/dias/1802/06/29/pdfs/GMD-1802-52.pdf#page=7","Abrir facsímil")</f>
        <v>Abrir facsímil</v>
      </c>
      <c r="K1848" s="15" t="s">
        <v>23</v>
      </c>
    </row>
    <row r="1849" spans="1:11" ht="42" customHeight="1">
      <c r="A1849" s="4" t="s">
        <v>4807</v>
      </c>
      <c r="B1849" s="5" t="s">
        <v>4808</v>
      </c>
      <c r="C1849" s="5" t="s">
        <v>29</v>
      </c>
      <c r="D1849" s="5" t="s">
        <v>30</v>
      </c>
      <c r="E1849" s="5" t="s">
        <v>181</v>
      </c>
      <c r="F1849" s="9">
        <v>55</v>
      </c>
      <c r="G1849" s="9">
        <v>667</v>
      </c>
      <c r="H1849" s="5" t="s">
        <v>21</v>
      </c>
      <c r="I1849" s="5" t="s">
        <v>4810</v>
      </c>
      <c r="J1849" s="12" t="str">
        <f>HYPERLINK("https://www.boe.es/gazeta/dias/1802/07/09/pdfs/GMD-1802-55.pdf#page=11","Abrir facsímil")</f>
        <v>Abrir facsímil</v>
      </c>
      <c r="K1849" s="15" t="s">
        <v>23</v>
      </c>
    </row>
    <row r="1850" spans="1:11" ht="42" customHeight="1">
      <c r="A1850" s="4" t="s">
        <v>4811</v>
      </c>
      <c r="B1850" s="5" t="s">
        <v>4812</v>
      </c>
      <c r="C1850" s="5" t="s">
        <v>18</v>
      </c>
      <c r="D1850" s="5" t="s">
        <v>19</v>
      </c>
      <c r="E1850" s="5" t="s">
        <v>219</v>
      </c>
      <c r="F1850" s="9">
        <v>81</v>
      </c>
      <c r="G1850" s="9">
        <v>1000</v>
      </c>
      <c r="H1850" s="5" t="s">
        <v>21</v>
      </c>
      <c r="I1850" s="5" t="s">
        <v>4813</v>
      </c>
      <c r="J1850" s="12" t="str">
        <f>HYPERLINK("https://www.boe.es/gazeta/dias/1802/10/05/pdfs/GMD-1802-81.pdf#page=12","Abrir facsímil")</f>
        <v>Abrir facsímil</v>
      </c>
      <c r="K1850" s="15" t="s">
        <v>23</v>
      </c>
    </row>
    <row r="1851" spans="1:11" ht="42" customHeight="1">
      <c r="A1851" s="4" t="s">
        <v>4814</v>
      </c>
      <c r="B1851" s="5" t="s">
        <v>4815</v>
      </c>
      <c r="C1851" s="5" t="s">
        <v>29</v>
      </c>
      <c r="D1851" s="5" t="s">
        <v>30</v>
      </c>
      <c r="E1851" s="5" t="s">
        <v>299</v>
      </c>
      <c r="F1851" s="9">
        <v>19</v>
      </c>
      <c r="G1851" s="9">
        <v>210</v>
      </c>
      <c r="H1851" s="5" t="s">
        <v>21</v>
      </c>
      <c r="I1851" s="5" t="s">
        <v>4816</v>
      </c>
      <c r="J1851" s="12" t="str">
        <f>HYPERLINK("https://www.boe.es/gazeta/dias/1802/03/05/pdfs/GMD-1802-19.pdf#page=10","Abrir facsímil")</f>
        <v>Abrir facsímil</v>
      </c>
      <c r="K1851" s="15" t="s">
        <v>23</v>
      </c>
    </row>
    <row r="1852" spans="1:11" ht="42" customHeight="1">
      <c r="A1852" s="4" t="s">
        <v>4817</v>
      </c>
      <c r="B1852" s="5" t="s">
        <v>4818</v>
      </c>
      <c r="C1852" s="5" t="s">
        <v>42</v>
      </c>
      <c r="D1852" s="5" t="s">
        <v>43</v>
      </c>
      <c r="E1852" s="5" t="s">
        <v>44</v>
      </c>
      <c r="F1852" s="9">
        <v>99</v>
      </c>
      <c r="G1852" s="9" t="s">
        <v>322</v>
      </c>
      <c r="H1852" s="5" t="s">
        <v>21</v>
      </c>
      <c r="I1852" s="5" t="s">
        <v>4819</v>
      </c>
      <c r="J1852" s="12" t="str">
        <f>HYPERLINK("https://www.boe.es/gazeta/dias/1802/12/07/pdfs/GMD-D-1802-99.pdf#page=10","Abrir facsímil")</f>
        <v>Abrir facsímil</v>
      </c>
      <c r="K1852" s="15" t="s">
        <v>23</v>
      </c>
    </row>
    <row r="1853" spans="1:11" ht="42" customHeight="1">
      <c r="A1853" s="4" t="s">
        <v>4820</v>
      </c>
      <c r="B1853" s="5" t="s">
        <v>4821</v>
      </c>
      <c r="C1853" s="5" t="s">
        <v>42</v>
      </c>
      <c r="D1853" s="5" t="s">
        <v>43</v>
      </c>
      <c r="E1853" s="5" t="s">
        <v>44</v>
      </c>
      <c r="F1853" s="9">
        <v>99</v>
      </c>
      <c r="G1853" s="9" t="s">
        <v>272</v>
      </c>
      <c r="H1853" s="5" t="s">
        <v>21</v>
      </c>
      <c r="I1853" s="5" t="s">
        <v>4822</v>
      </c>
      <c r="J1853" s="12" t="str">
        <f>HYPERLINK("https://www.boe.es/gazeta/dias/1802/12/07/pdfs/GMD-D-1802-99.pdf#page=3","Abrir facsímil")</f>
        <v>Abrir facsímil</v>
      </c>
      <c r="K1853" s="15" t="s">
        <v>23</v>
      </c>
    </row>
    <row r="1854" spans="1:11" ht="42" customHeight="1">
      <c r="A1854" s="4" t="s">
        <v>4823</v>
      </c>
      <c r="B1854" s="5" t="s">
        <v>4824</v>
      </c>
      <c r="C1854" s="5" t="s">
        <v>18</v>
      </c>
      <c r="D1854" s="5" t="s">
        <v>19</v>
      </c>
      <c r="E1854" s="5" t="s">
        <v>1185</v>
      </c>
      <c r="F1854" s="9">
        <v>93</v>
      </c>
      <c r="G1854" s="9">
        <v>1148</v>
      </c>
      <c r="H1854" s="5" t="s">
        <v>21</v>
      </c>
      <c r="I1854" s="5" t="s">
        <v>4825</v>
      </c>
      <c r="J1854" s="12" t="str">
        <f>HYPERLINK("https://www.boe.es/gazeta/dias/1802/11/16/pdfs/GMD-1802-93.pdf#page=8","Abrir facsímil")</f>
        <v>Abrir facsímil</v>
      </c>
      <c r="K1854" s="15" t="s">
        <v>23</v>
      </c>
    </row>
    <row r="1855" spans="1:11" ht="42" customHeight="1">
      <c r="A1855" s="4" t="s">
        <v>4826</v>
      </c>
      <c r="B1855" s="5" t="s">
        <v>4827</v>
      </c>
      <c r="C1855" s="5" t="s">
        <v>42</v>
      </c>
      <c r="D1855" s="5" t="s">
        <v>43</v>
      </c>
      <c r="E1855" s="5" t="s">
        <v>44</v>
      </c>
      <c r="F1855" s="9">
        <v>99</v>
      </c>
      <c r="G1855" s="9" t="s">
        <v>322</v>
      </c>
      <c r="H1855" s="5" t="s">
        <v>21</v>
      </c>
      <c r="I1855" s="5" t="s">
        <v>4828</v>
      </c>
      <c r="J1855" s="12" t="str">
        <f>HYPERLINK("https://www.boe.es/gazeta/dias/1802/12/07/pdfs/GMD-D-1802-99.pdf#page=10","Abrir facsímil")</f>
        <v>Abrir facsímil</v>
      </c>
      <c r="K1855" s="15" t="s">
        <v>23</v>
      </c>
    </row>
    <row r="1856" spans="1:11" ht="42" customHeight="1">
      <c r="A1856" s="4" t="s">
        <v>4829</v>
      </c>
      <c r="B1856" s="5" t="s">
        <v>4830</v>
      </c>
      <c r="C1856" s="5" t="s">
        <v>18</v>
      </c>
      <c r="D1856" s="5" t="s">
        <v>19</v>
      </c>
      <c r="E1856" s="5" t="s">
        <v>20</v>
      </c>
      <c r="F1856" s="9">
        <v>84</v>
      </c>
      <c r="G1856" s="9">
        <v>1044</v>
      </c>
      <c r="H1856" s="5" t="s">
        <v>21</v>
      </c>
      <c r="I1856" s="5" t="s">
        <v>4831</v>
      </c>
      <c r="J1856" s="12" t="str">
        <f>HYPERLINK("https://www.boe.es/gazeta/dias/1802/10/15/pdfs/GMD-1802-84.pdf#page=12","Abrir facsímil")</f>
        <v>Abrir facsímil</v>
      </c>
      <c r="K1856" s="15" t="s">
        <v>23</v>
      </c>
    </row>
    <row r="1857" spans="1:11" ht="42" customHeight="1">
      <c r="A1857" s="4" t="s">
        <v>4832</v>
      </c>
      <c r="B1857" s="5" t="s">
        <v>4833</v>
      </c>
      <c r="C1857" s="5" t="s">
        <v>29</v>
      </c>
      <c r="D1857" s="5" t="s">
        <v>30</v>
      </c>
      <c r="E1857" s="5" t="s">
        <v>37</v>
      </c>
      <c r="F1857" s="9">
        <v>106</v>
      </c>
      <c r="G1857" s="9">
        <v>1295</v>
      </c>
      <c r="H1857" s="5" t="s">
        <v>21</v>
      </c>
      <c r="I1857" s="5" t="s">
        <v>4834</v>
      </c>
      <c r="J1857" s="12" t="str">
        <f>HYPERLINK("https://www.boe.es/gazeta/dias/1802/12/31/pdfs/GMD-1802-106.pdf#page=7","Abrir facsímil")</f>
        <v>Abrir facsímil</v>
      </c>
      <c r="K1857" s="15" t="s">
        <v>23</v>
      </c>
    </row>
    <row r="1858" spans="1:11" ht="42" customHeight="1">
      <c r="A1858" s="4" t="s">
        <v>4835</v>
      </c>
      <c r="B1858" s="5" t="s">
        <v>4836</v>
      </c>
      <c r="C1858" s="5" t="s">
        <v>29</v>
      </c>
      <c r="D1858" s="5" t="s">
        <v>30</v>
      </c>
      <c r="E1858" s="5" t="s">
        <v>678</v>
      </c>
      <c r="F1858" s="9">
        <v>15</v>
      </c>
      <c r="G1858" s="9">
        <v>158</v>
      </c>
      <c r="H1858" s="5" t="s">
        <v>21</v>
      </c>
      <c r="I1858" s="5" t="s">
        <v>4837</v>
      </c>
      <c r="J1858" s="12" t="str">
        <f>HYPERLINK("https://www.boe.es/gazeta/dias/1802/02/19/pdfs/GMD-1802-15.pdf#page=10","Abrir facsímil")</f>
        <v>Abrir facsímil</v>
      </c>
      <c r="K1858" s="15" t="s">
        <v>23</v>
      </c>
    </row>
    <row r="1859" spans="1:11" ht="42" customHeight="1">
      <c r="A1859" s="4" t="s">
        <v>4838</v>
      </c>
      <c r="B1859" s="5" t="s">
        <v>4839</v>
      </c>
      <c r="C1859" s="5" t="s">
        <v>18</v>
      </c>
      <c r="D1859" s="5" t="s">
        <v>19</v>
      </c>
      <c r="E1859" s="5" t="s">
        <v>517</v>
      </c>
      <c r="F1859" s="9">
        <v>61</v>
      </c>
      <c r="G1859" s="9">
        <v>741</v>
      </c>
      <c r="H1859" s="5" t="s">
        <v>21</v>
      </c>
      <c r="I1859" s="5" t="s">
        <v>4840</v>
      </c>
      <c r="J1859" s="12" t="str">
        <f>HYPERLINK("https://www.boe.es/gazeta/dias/1802/07/27/pdfs/GMD-1802-61.pdf#page=9","Abrir facsímil")</f>
        <v>Abrir facsímil</v>
      </c>
      <c r="K1859" s="15" t="s">
        <v>23</v>
      </c>
    </row>
    <row r="1860" spans="1:11" ht="42" customHeight="1">
      <c r="A1860" s="4" t="s">
        <v>4841</v>
      </c>
      <c r="B1860" s="5" t="s">
        <v>4842</v>
      </c>
      <c r="C1860" s="5" t="s">
        <v>29</v>
      </c>
      <c r="D1860" s="5" t="s">
        <v>30</v>
      </c>
      <c r="E1860" s="5" t="s">
        <v>133</v>
      </c>
      <c r="F1860" s="9">
        <v>33</v>
      </c>
      <c r="G1860" s="9">
        <v>387</v>
      </c>
      <c r="H1860" s="5" t="s">
        <v>21</v>
      </c>
      <c r="I1860" s="5" t="s">
        <v>4843</v>
      </c>
      <c r="J1860" s="12" t="str">
        <f>HYPERLINK("https://www.boe.es/gazeta/dias/1802/04/23/pdfs/GMD-1802-33.pdf#page=7","Abrir facsímil")</f>
        <v>Abrir facsímil</v>
      </c>
      <c r="K1860" s="15" t="s">
        <v>23</v>
      </c>
    </row>
    <row r="1861" spans="1:11" ht="42" customHeight="1">
      <c r="A1861" s="4" t="s">
        <v>4844</v>
      </c>
      <c r="B1861" s="5" t="s">
        <v>4845</v>
      </c>
      <c r="C1861" s="5" t="s">
        <v>29</v>
      </c>
      <c r="D1861" s="5" t="s">
        <v>30</v>
      </c>
      <c r="E1861" s="5" t="s">
        <v>706</v>
      </c>
      <c r="F1861" s="9">
        <v>80</v>
      </c>
      <c r="G1861" s="9">
        <v>988</v>
      </c>
      <c r="H1861" s="5" t="s">
        <v>21</v>
      </c>
      <c r="I1861" s="5" t="s">
        <v>4846</v>
      </c>
      <c r="J1861" s="12" t="str">
        <f>HYPERLINK("https://www.boe.es/gazeta/dias/1802/10/01/pdfs/GMD-1802-80.pdf#page=12","Abrir facsímil")</f>
        <v>Abrir facsímil</v>
      </c>
      <c r="K1861" s="15" t="s">
        <v>23</v>
      </c>
    </row>
    <row r="1862" spans="1:11" ht="42" customHeight="1">
      <c r="A1862" s="4" t="s">
        <v>4847</v>
      </c>
      <c r="B1862" s="5" t="s">
        <v>4848</v>
      </c>
      <c r="C1862" s="5" t="s">
        <v>29</v>
      </c>
      <c r="D1862" s="5" t="s">
        <v>30</v>
      </c>
      <c r="E1862" s="5" t="s">
        <v>678</v>
      </c>
      <c r="F1862" s="9">
        <v>15</v>
      </c>
      <c r="G1862" s="9">
        <v>158</v>
      </c>
      <c r="H1862" s="5" t="s">
        <v>21</v>
      </c>
      <c r="I1862" s="5" t="s">
        <v>4849</v>
      </c>
      <c r="J1862" s="12" t="str">
        <f>HYPERLINK("https://www.boe.es/gazeta/dias/1802/02/19/pdfs/GMD-1802-15.pdf#page=10","Abrir facsímil")</f>
        <v>Abrir facsímil</v>
      </c>
      <c r="K1862" s="15" t="s">
        <v>23</v>
      </c>
    </row>
    <row r="1863" spans="1:11" ht="42" customHeight="1">
      <c r="A1863" s="4" t="s">
        <v>4850</v>
      </c>
      <c r="B1863" s="5" t="s">
        <v>4851</v>
      </c>
      <c r="C1863" s="5" t="s">
        <v>160</v>
      </c>
      <c r="D1863" s="5" t="s">
        <v>91</v>
      </c>
      <c r="E1863" s="5" t="s">
        <v>814</v>
      </c>
      <c r="F1863" s="9">
        <v>41</v>
      </c>
      <c r="G1863" s="9">
        <v>495</v>
      </c>
      <c r="H1863" s="5" t="s">
        <v>21</v>
      </c>
      <c r="I1863" s="5" t="s">
        <v>4852</v>
      </c>
      <c r="J1863" s="12" t="str">
        <f>HYPERLINK("https://www.boe.es/gazeta/dias/1802/05/21/pdfs/GMD-1802-41.pdf#page=11","Abrir facsímil")</f>
        <v>Abrir facsímil</v>
      </c>
      <c r="K1863" s="15" t="s">
        <v>23</v>
      </c>
    </row>
    <row r="1864" spans="1:11" ht="42" customHeight="1">
      <c r="A1864" s="4" t="s">
        <v>4853</v>
      </c>
      <c r="B1864" s="5" t="s">
        <v>4854</v>
      </c>
      <c r="C1864" s="5" t="s">
        <v>18</v>
      </c>
      <c r="D1864" s="5" t="s">
        <v>19</v>
      </c>
      <c r="E1864" s="5" t="s">
        <v>20</v>
      </c>
      <c r="F1864" s="9">
        <v>84</v>
      </c>
      <c r="G1864" s="9">
        <v>1044</v>
      </c>
      <c r="H1864" s="5" t="s">
        <v>21</v>
      </c>
      <c r="I1864" s="5" t="s">
        <v>4855</v>
      </c>
      <c r="J1864" s="12" t="str">
        <f>HYPERLINK("https://www.boe.es/gazeta/dias/1802/10/15/pdfs/GMD-1802-84.pdf#page=12","Abrir facsímil")</f>
        <v>Abrir facsímil</v>
      </c>
      <c r="K1864" s="15" t="s">
        <v>23</v>
      </c>
    </row>
    <row r="1865" spans="1:11" ht="42" customHeight="1">
      <c r="A1865" s="4" t="s">
        <v>4856</v>
      </c>
      <c r="B1865" s="5" t="s">
        <v>4857</v>
      </c>
      <c r="C1865" s="5" t="s">
        <v>18</v>
      </c>
      <c r="D1865" s="5" t="s">
        <v>19</v>
      </c>
      <c r="E1865" s="5" t="s">
        <v>49</v>
      </c>
      <c r="F1865" s="9">
        <v>83</v>
      </c>
      <c r="G1865" s="9">
        <v>1025</v>
      </c>
      <c r="H1865" s="5" t="s">
        <v>21</v>
      </c>
      <c r="I1865" s="5" t="s">
        <v>4858</v>
      </c>
      <c r="J1865" s="12" t="str">
        <f>HYPERLINK("https://www.boe.es/gazeta/dias/1802/10/12/pdfs/GMD-1802-83.pdf#page=13","Abrir facsímil")</f>
        <v>Abrir facsímil</v>
      </c>
      <c r="K1865" s="15" t="s">
        <v>23</v>
      </c>
    </row>
    <row r="1866" spans="1:11" ht="42" customHeight="1">
      <c r="A1866" s="4" t="s">
        <v>4859</v>
      </c>
      <c r="B1866" s="5" t="s">
        <v>4860</v>
      </c>
      <c r="C1866" s="5" t="s">
        <v>18</v>
      </c>
      <c r="D1866" s="5" t="s">
        <v>19</v>
      </c>
      <c r="E1866" s="5" t="s">
        <v>20</v>
      </c>
      <c r="F1866" s="9">
        <v>84</v>
      </c>
      <c r="G1866" s="9">
        <v>1044</v>
      </c>
      <c r="H1866" s="5" t="s">
        <v>21</v>
      </c>
      <c r="I1866" s="5" t="s">
        <v>4861</v>
      </c>
      <c r="J1866" s="12" t="str">
        <f>HYPERLINK("https://www.boe.es/gazeta/dias/1802/10/15/pdfs/GMD-1802-84.pdf#page=12","Abrir facsímil")</f>
        <v>Abrir facsímil</v>
      </c>
      <c r="K1866" s="15" t="s">
        <v>23</v>
      </c>
    </row>
    <row r="1867" spans="1:11" ht="42" customHeight="1">
      <c r="A1867" s="4" t="s">
        <v>4862</v>
      </c>
      <c r="B1867" s="5" t="s">
        <v>4863</v>
      </c>
      <c r="C1867" s="5" t="s">
        <v>18</v>
      </c>
      <c r="D1867" s="5" t="s">
        <v>19</v>
      </c>
      <c r="E1867" s="5" t="s">
        <v>49</v>
      </c>
      <c r="F1867" s="9">
        <v>83</v>
      </c>
      <c r="G1867" s="9">
        <v>1024</v>
      </c>
      <c r="H1867" s="5" t="s">
        <v>21</v>
      </c>
      <c r="I1867" s="5" t="s">
        <v>4864</v>
      </c>
      <c r="J1867" s="12" t="str">
        <f>HYPERLINK("https://www.boe.es/gazeta/dias/1802/10/12/pdfs/GMD-1802-83.pdf#page=12","Abrir facsímil")</f>
        <v>Abrir facsímil</v>
      </c>
      <c r="K1867" s="15" t="s">
        <v>23</v>
      </c>
    </row>
    <row r="1868" spans="1:11" ht="42" customHeight="1">
      <c r="A1868" s="4" t="s">
        <v>4865</v>
      </c>
      <c r="B1868" s="5" t="s">
        <v>4866</v>
      </c>
      <c r="C1868" s="5" t="s">
        <v>29</v>
      </c>
      <c r="D1868" s="5" t="s">
        <v>30</v>
      </c>
      <c r="E1868" s="5" t="s">
        <v>1185</v>
      </c>
      <c r="F1868" s="9">
        <v>93</v>
      </c>
      <c r="G1868" s="9">
        <v>1149</v>
      </c>
      <c r="H1868" s="5" t="s">
        <v>21</v>
      </c>
      <c r="I1868" s="5" t="s">
        <v>4867</v>
      </c>
      <c r="J1868" s="12" t="str">
        <f>HYPERLINK("https://www.boe.es/gazeta/dias/1802/11/16/pdfs/GMD-1802-93.pdf#page=9","Abrir facsímil")</f>
        <v>Abrir facsímil</v>
      </c>
      <c r="K1868" s="15" t="s">
        <v>23</v>
      </c>
    </row>
    <row r="1869" spans="1:11" ht="42" customHeight="1">
      <c r="A1869" s="4" t="s">
        <v>4868</v>
      </c>
      <c r="B1869" s="5" t="s">
        <v>4869</v>
      </c>
      <c r="C1869" s="5" t="s">
        <v>572</v>
      </c>
      <c r="D1869" s="5" t="s">
        <v>573</v>
      </c>
      <c r="E1869" s="5" t="s">
        <v>574</v>
      </c>
      <c r="F1869" s="9" t="s">
        <v>575</v>
      </c>
      <c r="G1869" s="9">
        <v>710</v>
      </c>
      <c r="H1869" s="5" t="s">
        <v>21</v>
      </c>
      <c r="I1869" s="5" t="s">
        <v>4870</v>
      </c>
      <c r="J1869" s="12" t="str">
        <f>HYPERLINK("https://www.boe.es/gazeta/dias/1802/07/21/pdfs/GMD-1802-59E.pdf#page=6","Abrir facsímil")</f>
        <v>Abrir facsímil</v>
      </c>
      <c r="K1869" s="15" t="s">
        <v>23</v>
      </c>
    </row>
    <row r="1870" spans="1:11" ht="42" customHeight="1">
      <c r="A1870" s="4" t="s">
        <v>4871</v>
      </c>
      <c r="B1870" s="5" t="s">
        <v>4872</v>
      </c>
      <c r="C1870" s="5" t="s">
        <v>18</v>
      </c>
      <c r="D1870" s="5" t="s">
        <v>19</v>
      </c>
      <c r="E1870" s="5" t="s">
        <v>152</v>
      </c>
      <c r="F1870" s="9">
        <v>25</v>
      </c>
      <c r="G1870" s="9">
        <v>285</v>
      </c>
      <c r="H1870" s="5" t="s">
        <v>21</v>
      </c>
      <c r="I1870" s="5" t="s">
        <v>4873</v>
      </c>
      <c r="J1870" s="12" t="str">
        <f>HYPERLINK("https://www.boe.es/gazeta/dias/1802/03/26/pdfs/GMD-1802-25.pdf#page=9","Abrir facsímil")</f>
        <v>Abrir facsímil</v>
      </c>
      <c r="K1870" s="15" t="s">
        <v>23</v>
      </c>
    </row>
    <row r="1871" spans="1:11" ht="42" customHeight="1">
      <c r="A1871" s="4" t="s">
        <v>4874</v>
      </c>
      <c r="B1871" s="5" t="s">
        <v>4875</v>
      </c>
      <c r="C1871" s="5" t="s">
        <v>18</v>
      </c>
      <c r="D1871" s="5" t="s">
        <v>19</v>
      </c>
      <c r="E1871" s="5" t="s">
        <v>152</v>
      </c>
      <c r="F1871" s="9">
        <v>25</v>
      </c>
      <c r="G1871" s="9">
        <v>284</v>
      </c>
      <c r="H1871" s="5" t="s">
        <v>21</v>
      </c>
      <c r="I1871" s="5" t="s">
        <v>4876</v>
      </c>
      <c r="J1871" s="12" t="str">
        <f>HYPERLINK("https://www.boe.es/gazeta/dias/1802/03/26/pdfs/GMD-1802-25.pdf#page=8","Abrir facsímil")</f>
        <v>Abrir facsímil</v>
      </c>
      <c r="K1871" s="15" t="s">
        <v>23</v>
      </c>
    </row>
    <row r="1872" spans="1:11" ht="42" customHeight="1">
      <c r="A1872" s="4" t="s">
        <v>4877</v>
      </c>
      <c r="B1872" s="5" t="s">
        <v>4878</v>
      </c>
      <c r="C1872" s="5" t="s">
        <v>18</v>
      </c>
      <c r="D1872" s="5" t="s">
        <v>19</v>
      </c>
      <c r="E1872" s="5" t="s">
        <v>152</v>
      </c>
      <c r="F1872" s="9">
        <v>25</v>
      </c>
      <c r="G1872" s="9">
        <v>284</v>
      </c>
      <c r="H1872" s="5" t="s">
        <v>21</v>
      </c>
      <c r="I1872" s="5" t="s">
        <v>4879</v>
      </c>
      <c r="J1872" s="12" t="str">
        <f>HYPERLINK("https://www.boe.es/gazeta/dias/1802/03/26/pdfs/GMD-1802-25.pdf#page=8","Abrir facsímil")</f>
        <v>Abrir facsímil</v>
      </c>
      <c r="K1872" s="15" t="s">
        <v>23</v>
      </c>
    </row>
    <row r="1873" spans="1:11" ht="42" customHeight="1">
      <c r="A1873" s="4" t="s">
        <v>4877</v>
      </c>
      <c r="B1873" s="5" t="s">
        <v>4878</v>
      </c>
      <c r="C1873" s="5" t="s">
        <v>18</v>
      </c>
      <c r="D1873" s="5" t="s">
        <v>19</v>
      </c>
      <c r="E1873" s="5" t="s">
        <v>152</v>
      </c>
      <c r="F1873" s="9">
        <v>25</v>
      </c>
      <c r="G1873" s="9">
        <v>285</v>
      </c>
      <c r="H1873" s="5" t="s">
        <v>21</v>
      </c>
      <c r="I1873" s="5" t="s">
        <v>4880</v>
      </c>
      <c r="J1873" s="12" t="str">
        <f>HYPERLINK("https://www.boe.es/gazeta/dias/1802/03/26/pdfs/GMD-1802-25.pdf#page=9","Abrir facsímil")</f>
        <v>Abrir facsímil</v>
      </c>
      <c r="K1873" s="15" t="s">
        <v>23</v>
      </c>
    </row>
    <row r="1874" spans="1:11" ht="42" customHeight="1">
      <c r="A1874" s="4" t="s">
        <v>4881</v>
      </c>
      <c r="B1874" s="5" t="s">
        <v>4882</v>
      </c>
      <c r="C1874" s="5" t="s">
        <v>29</v>
      </c>
      <c r="D1874" s="5" t="s">
        <v>30</v>
      </c>
      <c r="E1874" s="5" t="s">
        <v>148</v>
      </c>
      <c r="F1874" s="9">
        <v>66</v>
      </c>
      <c r="G1874" s="9">
        <v>808</v>
      </c>
      <c r="H1874" s="5" t="s">
        <v>21</v>
      </c>
      <c r="I1874" s="5" t="s">
        <v>4883</v>
      </c>
      <c r="J1874" s="12" t="str">
        <f>HYPERLINK("https://www.boe.es/gazeta/dias/1802/08/13/pdfs/GMD-1802-66.pdf#page=12","Abrir facsímil")</f>
        <v>Abrir facsímil</v>
      </c>
      <c r="K1874" s="15" t="s">
        <v>23</v>
      </c>
    </row>
    <row r="1875" spans="1:11" ht="42" customHeight="1">
      <c r="A1875" s="4" t="s">
        <v>4881</v>
      </c>
      <c r="B1875" s="5" t="s">
        <v>4882</v>
      </c>
      <c r="C1875" s="5" t="s">
        <v>18</v>
      </c>
      <c r="D1875" s="5" t="s">
        <v>19</v>
      </c>
      <c r="E1875" s="5" t="s">
        <v>826</v>
      </c>
      <c r="F1875" s="9">
        <v>67</v>
      </c>
      <c r="G1875" s="9">
        <v>818</v>
      </c>
      <c r="H1875" s="5" t="s">
        <v>21</v>
      </c>
      <c r="I1875" s="5" t="s">
        <v>4884</v>
      </c>
      <c r="J1875" s="12" t="str">
        <f>HYPERLINK("https://www.boe.es/gazeta/dias/1802/08/17/pdfs/GMD-1802-67.pdf#page=6","Abrir facsímil")</f>
        <v>Abrir facsímil</v>
      </c>
      <c r="K1875" s="15" t="s">
        <v>23</v>
      </c>
    </row>
    <row r="1876" spans="1:11" ht="42" customHeight="1">
      <c r="A1876" s="4" t="s">
        <v>4885</v>
      </c>
      <c r="B1876" s="5" t="s">
        <v>4886</v>
      </c>
      <c r="C1876" s="5" t="s">
        <v>18</v>
      </c>
      <c r="D1876" s="5" t="s">
        <v>19</v>
      </c>
      <c r="E1876" s="5" t="s">
        <v>886</v>
      </c>
      <c r="F1876" s="9">
        <v>7</v>
      </c>
      <c r="G1876" s="9">
        <v>67</v>
      </c>
      <c r="H1876" s="5" t="s">
        <v>21</v>
      </c>
      <c r="I1876" s="5" t="s">
        <v>4887</v>
      </c>
      <c r="J1876" s="12" t="str">
        <f>HYPERLINK("https://www.boe.es/gazeta/dias/1802/01/22/pdfs/GMD-1802-7.pdf#page=7","Abrir facsímil")</f>
        <v>Abrir facsímil</v>
      </c>
      <c r="K1876" s="15" t="s">
        <v>23</v>
      </c>
    </row>
    <row r="1877" spans="1:11" ht="42" customHeight="1">
      <c r="A1877" s="4" t="s">
        <v>4888</v>
      </c>
      <c r="B1877" s="5" t="s">
        <v>4889</v>
      </c>
      <c r="C1877" s="5" t="s">
        <v>29</v>
      </c>
      <c r="D1877" s="5" t="s">
        <v>30</v>
      </c>
      <c r="E1877" s="5" t="s">
        <v>49</v>
      </c>
      <c r="F1877" s="9">
        <v>83</v>
      </c>
      <c r="G1877" s="9">
        <v>1027</v>
      </c>
      <c r="H1877" s="5" t="s">
        <v>21</v>
      </c>
      <c r="I1877" s="5" t="s">
        <v>4890</v>
      </c>
      <c r="J1877" s="12" t="str">
        <f>HYPERLINK("https://www.boe.es/gazeta/dias/1802/10/12/pdfs/GMD-1802-83.pdf#page=15","Abrir facsímil")</f>
        <v>Abrir facsímil</v>
      </c>
      <c r="K1877" s="15" t="s">
        <v>23</v>
      </c>
    </row>
    <row r="1878" spans="1:11" ht="42" customHeight="1">
      <c r="A1878" s="4" t="s">
        <v>4891</v>
      </c>
      <c r="B1878" s="5" t="s">
        <v>4892</v>
      </c>
      <c r="C1878" s="5" t="s">
        <v>29</v>
      </c>
      <c r="D1878" s="5" t="s">
        <v>30</v>
      </c>
      <c r="E1878" s="5" t="s">
        <v>128</v>
      </c>
      <c r="F1878" s="9">
        <v>9</v>
      </c>
      <c r="G1878" s="9">
        <v>89</v>
      </c>
      <c r="H1878" s="5" t="s">
        <v>21</v>
      </c>
      <c r="I1878" s="5" t="s">
        <v>4893</v>
      </c>
      <c r="J1878" s="12" t="str">
        <f>HYPERLINK("https://www.boe.es/gazeta/dias/1802/01/29/pdfs/GMD-1802-9.pdf#page=9","Abrir facsímil")</f>
        <v>Abrir facsímil</v>
      </c>
      <c r="K1878" s="15" t="s">
        <v>23</v>
      </c>
    </row>
    <row r="1879" spans="1:11" ht="42" customHeight="1">
      <c r="A1879" s="4" t="s">
        <v>4894</v>
      </c>
      <c r="B1879" s="5" t="s">
        <v>4895</v>
      </c>
      <c r="C1879" s="5" t="s">
        <v>29</v>
      </c>
      <c r="D1879" s="5" t="s">
        <v>30</v>
      </c>
      <c r="E1879" s="5" t="s">
        <v>71</v>
      </c>
      <c r="F1879" s="9">
        <v>21</v>
      </c>
      <c r="G1879" s="9">
        <v>233</v>
      </c>
      <c r="H1879" s="5" t="s">
        <v>21</v>
      </c>
      <c r="I1879" s="5" t="s">
        <v>4896</v>
      </c>
      <c r="J1879" s="12" t="str">
        <f>HYPERLINK("https://www.boe.es/gazeta/dias/1802/03/12/pdfs/GMD-1802-21.pdf#page=9","Abrir facsímil")</f>
        <v>Abrir facsímil</v>
      </c>
      <c r="K1879" s="15" t="s">
        <v>23</v>
      </c>
    </row>
    <row r="1880" spans="1:11" ht="42" customHeight="1">
      <c r="A1880" s="4" t="s">
        <v>4897</v>
      </c>
      <c r="B1880" s="5" t="s">
        <v>4898</v>
      </c>
      <c r="C1880" s="5" t="s">
        <v>18</v>
      </c>
      <c r="D1880" s="5" t="s">
        <v>19</v>
      </c>
      <c r="E1880" s="5" t="s">
        <v>152</v>
      </c>
      <c r="F1880" s="9">
        <v>25</v>
      </c>
      <c r="G1880" s="9">
        <v>284</v>
      </c>
      <c r="H1880" s="5" t="s">
        <v>21</v>
      </c>
      <c r="I1880" s="5" t="s">
        <v>4899</v>
      </c>
      <c r="J1880" s="12" t="str">
        <f>HYPERLINK("https://www.boe.es/gazeta/dias/1802/03/26/pdfs/GMD-1802-25.pdf#page=8","Abrir facsímil")</f>
        <v>Abrir facsímil</v>
      </c>
      <c r="K1880" s="15" t="s">
        <v>23</v>
      </c>
    </row>
    <row r="1881" spans="1:11" ht="42" customHeight="1">
      <c r="A1881" s="4" t="s">
        <v>4900</v>
      </c>
      <c r="B1881" s="5" t="s">
        <v>4901</v>
      </c>
      <c r="C1881" s="5" t="s">
        <v>18</v>
      </c>
      <c r="D1881" s="5" t="s">
        <v>19</v>
      </c>
      <c r="E1881" s="5" t="s">
        <v>20</v>
      </c>
      <c r="F1881" s="9">
        <v>84</v>
      </c>
      <c r="G1881" s="9">
        <v>1042</v>
      </c>
      <c r="H1881" s="5" t="s">
        <v>21</v>
      </c>
      <c r="I1881" s="5" t="s">
        <v>4902</v>
      </c>
      <c r="J1881" s="12" t="str">
        <f>HYPERLINK("https://www.boe.es/gazeta/dias/1802/10/15/pdfs/GMD-1802-84.pdf#page=10","Abrir facsímil")</f>
        <v>Abrir facsímil</v>
      </c>
      <c r="K1881" s="15" t="s">
        <v>23</v>
      </c>
    </row>
    <row r="1882" spans="1:11" ht="42" customHeight="1">
      <c r="A1882" s="4" t="s">
        <v>4903</v>
      </c>
      <c r="B1882" s="5" t="s">
        <v>4904</v>
      </c>
      <c r="C1882" s="5" t="s">
        <v>29</v>
      </c>
      <c r="D1882" s="5" t="s">
        <v>30</v>
      </c>
      <c r="E1882" s="5" t="s">
        <v>128</v>
      </c>
      <c r="F1882" s="9">
        <v>9</v>
      </c>
      <c r="G1882" s="9">
        <v>89</v>
      </c>
      <c r="H1882" s="5" t="s">
        <v>21</v>
      </c>
      <c r="I1882" s="5" t="s">
        <v>4905</v>
      </c>
      <c r="J1882" s="12" t="str">
        <f>HYPERLINK("https://www.boe.es/gazeta/dias/1802/01/29/pdfs/GMD-1802-9.pdf#page=9","Abrir facsímil")</f>
        <v>Abrir facsímil</v>
      </c>
      <c r="K1882" s="15" t="s">
        <v>23</v>
      </c>
    </row>
    <row r="1883" spans="1:11" ht="42" customHeight="1">
      <c r="A1883" s="4" t="s">
        <v>4906</v>
      </c>
      <c r="B1883" s="5" t="s">
        <v>4907</v>
      </c>
      <c r="C1883" s="5" t="s">
        <v>29</v>
      </c>
      <c r="D1883" s="5" t="s">
        <v>30</v>
      </c>
      <c r="E1883" s="5" t="s">
        <v>749</v>
      </c>
      <c r="F1883" s="9">
        <v>97</v>
      </c>
      <c r="G1883" s="9">
        <v>1203</v>
      </c>
      <c r="H1883" s="5" t="s">
        <v>21</v>
      </c>
      <c r="I1883" s="5" t="s">
        <v>4908</v>
      </c>
      <c r="J1883" s="12" t="str">
        <f>HYPERLINK("https://www.boe.es/gazeta/dias/1802/11/30/pdfs/GMD-1802-97.pdf#page=11","Abrir facsímil")</f>
        <v>Abrir facsímil</v>
      </c>
      <c r="K1883" s="15" t="s">
        <v>23</v>
      </c>
    </row>
    <row r="1884" spans="1:11" ht="42" customHeight="1">
      <c r="A1884" s="4" t="s">
        <v>4909</v>
      </c>
      <c r="B1884" s="5" t="s">
        <v>4910</v>
      </c>
      <c r="C1884" s="5" t="s">
        <v>29</v>
      </c>
      <c r="D1884" s="5" t="s">
        <v>30</v>
      </c>
      <c r="E1884" s="5" t="s">
        <v>146</v>
      </c>
      <c r="F1884" s="9">
        <v>42</v>
      </c>
      <c r="G1884" s="9">
        <v>504</v>
      </c>
      <c r="H1884" s="5" t="s">
        <v>21</v>
      </c>
      <c r="I1884" s="5" t="s">
        <v>4911</v>
      </c>
      <c r="J1884" s="12" t="str">
        <f>HYPERLINK("https://www.boe.es/gazeta/dias/1802/05/25/pdfs/GMD-1802-42.pdf#page=8","Abrir facsímil")</f>
        <v>Abrir facsímil</v>
      </c>
      <c r="K1884" s="15" t="s">
        <v>23</v>
      </c>
    </row>
    <row r="1885" spans="1:11" ht="42" customHeight="1">
      <c r="A1885" s="4" t="s">
        <v>4912</v>
      </c>
      <c r="B1885" s="5" t="s">
        <v>4913</v>
      </c>
      <c r="C1885" s="5" t="s">
        <v>29</v>
      </c>
      <c r="D1885" s="5" t="s">
        <v>30</v>
      </c>
      <c r="E1885" s="5" t="s">
        <v>163</v>
      </c>
      <c r="F1885" s="9">
        <v>1</v>
      </c>
      <c r="G1885" s="9">
        <v>7</v>
      </c>
      <c r="H1885" s="5" t="s">
        <v>21</v>
      </c>
      <c r="I1885" s="5" t="s">
        <v>4914</v>
      </c>
      <c r="J1885" s="12" t="str">
        <f>HYPERLINK("https://www.boe.es/gazeta/dias/1802/01/01/pdfs/GMD-1802-1.pdf#page=7","Abrir facsímil")</f>
        <v>Abrir facsímil</v>
      </c>
      <c r="K1885" s="15" t="s">
        <v>23</v>
      </c>
    </row>
    <row r="1886" spans="1:11" ht="42" customHeight="1">
      <c r="A1886" s="4" t="s">
        <v>4915</v>
      </c>
      <c r="B1886" s="5" t="s">
        <v>4916</v>
      </c>
      <c r="C1886" s="5" t="s">
        <v>18</v>
      </c>
      <c r="D1886" s="5" t="s">
        <v>19</v>
      </c>
      <c r="E1886" s="5" t="s">
        <v>206</v>
      </c>
      <c r="F1886" s="9">
        <v>22</v>
      </c>
      <c r="G1886" s="9">
        <v>239</v>
      </c>
      <c r="H1886" s="5" t="s">
        <v>21</v>
      </c>
      <c r="I1886" s="5" t="s">
        <v>4917</v>
      </c>
      <c r="J1886" s="12" t="str">
        <f>HYPERLINK("https://www.boe.es/gazeta/dias/1802/03/16/pdfs/GMD-1802-22.pdf#page=7","Abrir facsímil")</f>
        <v>Abrir facsímil</v>
      </c>
      <c r="K1886" s="15" t="s">
        <v>23</v>
      </c>
    </row>
    <row r="1887" spans="1:11" ht="42" customHeight="1">
      <c r="A1887" s="4" t="s">
        <v>4918</v>
      </c>
      <c r="B1887" s="5" t="s">
        <v>4919</v>
      </c>
      <c r="C1887" s="5" t="s">
        <v>18</v>
      </c>
      <c r="D1887" s="5" t="s">
        <v>19</v>
      </c>
      <c r="E1887" s="5" t="s">
        <v>900</v>
      </c>
      <c r="F1887" s="9">
        <v>16</v>
      </c>
      <c r="G1887" s="9">
        <v>169</v>
      </c>
      <c r="H1887" s="5" t="s">
        <v>21</v>
      </c>
      <c r="I1887" s="5" t="s">
        <v>4920</v>
      </c>
      <c r="J1887" s="12" t="str">
        <f>HYPERLINK("https://www.boe.es/gazeta/dias/1802/02/23/pdfs/GMD-1802-16.pdf#page=9","Abrir facsímil")</f>
        <v>Abrir facsímil</v>
      </c>
      <c r="K1887" s="15" t="s">
        <v>23</v>
      </c>
    </row>
    <row r="1888" spans="1:11" ht="42" customHeight="1">
      <c r="A1888" s="4" t="s">
        <v>4921</v>
      </c>
      <c r="B1888" s="5" t="s">
        <v>4922</v>
      </c>
      <c r="C1888" s="5" t="s">
        <v>90</v>
      </c>
      <c r="D1888" s="5" t="s">
        <v>91</v>
      </c>
      <c r="E1888" s="5" t="s">
        <v>71</v>
      </c>
      <c r="F1888" s="9">
        <v>21</v>
      </c>
      <c r="G1888" s="9">
        <v>235</v>
      </c>
      <c r="H1888" s="5" t="s">
        <v>21</v>
      </c>
      <c r="I1888" s="5" t="s">
        <v>4923</v>
      </c>
      <c r="J1888" s="12" t="str">
        <f>HYPERLINK("https://www.boe.es/gazeta/dias/1802/03/12/pdfs/GMD-1802-21.pdf#page=11","Abrir facsímil")</f>
        <v>Abrir facsímil</v>
      </c>
      <c r="K1888" s="15" t="s">
        <v>23</v>
      </c>
    </row>
    <row r="1889" spans="1:11" ht="42" customHeight="1">
      <c r="A1889" s="4" t="s">
        <v>4924</v>
      </c>
      <c r="B1889" s="5" t="s">
        <v>4925</v>
      </c>
      <c r="C1889" s="5" t="s">
        <v>29</v>
      </c>
      <c r="D1889" s="5" t="s">
        <v>30</v>
      </c>
      <c r="E1889" s="5" t="s">
        <v>192</v>
      </c>
      <c r="F1889" s="9">
        <v>53</v>
      </c>
      <c r="G1889" s="9">
        <v>642</v>
      </c>
      <c r="H1889" s="5" t="s">
        <v>21</v>
      </c>
      <c r="I1889" s="5" t="s">
        <v>4926</v>
      </c>
      <c r="J1889" s="12" t="str">
        <f>HYPERLINK("https://www.boe.es/gazeta/dias/1802/07/02/pdfs/GMD-1802-53.pdf#page=10","Abrir facsímil")</f>
        <v>Abrir facsímil</v>
      </c>
      <c r="K1889" s="15" t="s">
        <v>23</v>
      </c>
    </row>
    <row r="1890" spans="1:11" ht="42" customHeight="1">
      <c r="A1890" s="4" t="s">
        <v>4927</v>
      </c>
      <c r="B1890" s="5" t="s">
        <v>4928</v>
      </c>
      <c r="C1890" s="5" t="s">
        <v>29</v>
      </c>
      <c r="D1890" s="5" t="s">
        <v>30</v>
      </c>
      <c r="E1890" s="5" t="s">
        <v>86</v>
      </c>
      <c r="F1890" s="9">
        <v>26</v>
      </c>
      <c r="G1890" s="9">
        <v>298</v>
      </c>
      <c r="H1890" s="5" t="s">
        <v>21</v>
      </c>
      <c r="I1890" s="5" t="s">
        <v>4929</v>
      </c>
      <c r="J1890" s="12" t="str">
        <f>HYPERLINK("https://www.boe.es/gazeta/dias/1802/03/30/pdfs/GMD-1802-26.pdf#page=10","Abrir facsímil")</f>
        <v>Abrir facsímil</v>
      </c>
      <c r="K1890" s="15" t="s">
        <v>23</v>
      </c>
    </row>
    <row r="1891" spans="1:11" ht="42" customHeight="1">
      <c r="A1891" s="4" t="s">
        <v>4927</v>
      </c>
      <c r="B1891" s="5" t="s">
        <v>4928</v>
      </c>
      <c r="C1891" s="5" t="s">
        <v>18</v>
      </c>
      <c r="D1891" s="5" t="s">
        <v>19</v>
      </c>
      <c r="E1891" s="5" t="s">
        <v>49</v>
      </c>
      <c r="F1891" s="9">
        <v>83</v>
      </c>
      <c r="G1891" s="9">
        <v>1024</v>
      </c>
      <c r="H1891" s="5" t="s">
        <v>21</v>
      </c>
      <c r="I1891" s="5" t="s">
        <v>4930</v>
      </c>
      <c r="J1891" s="12" t="str">
        <f>HYPERLINK("https://www.boe.es/gazeta/dias/1802/10/12/pdfs/GMD-1802-83.pdf#page=12","Abrir facsímil")</f>
        <v>Abrir facsímil</v>
      </c>
      <c r="K1891" s="15" t="s">
        <v>23</v>
      </c>
    </row>
    <row r="1892" spans="1:11" ht="42" customHeight="1">
      <c r="A1892" s="4" t="s">
        <v>4931</v>
      </c>
      <c r="B1892" s="5" t="s">
        <v>4932</v>
      </c>
      <c r="C1892" s="5" t="s">
        <v>29</v>
      </c>
      <c r="D1892" s="5" t="s">
        <v>30</v>
      </c>
      <c r="E1892" s="5" t="s">
        <v>128</v>
      </c>
      <c r="F1892" s="9">
        <v>9</v>
      </c>
      <c r="G1892" s="9">
        <v>89</v>
      </c>
      <c r="H1892" s="5" t="s">
        <v>21</v>
      </c>
      <c r="I1892" s="5" t="s">
        <v>4933</v>
      </c>
      <c r="J1892" s="12" t="str">
        <f>HYPERLINK("https://www.boe.es/gazeta/dias/1802/01/29/pdfs/GMD-1802-9.pdf#page=9","Abrir facsímil")</f>
        <v>Abrir facsímil</v>
      </c>
      <c r="K1892" s="15" t="s">
        <v>23</v>
      </c>
    </row>
    <row r="1893" spans="1:11" ht="42" customHeight="1">
      <c r="A1893" s="4" t="s">
        <v>4934</v>
      </c>
      <c r="B1893" s="5" t="s">
        <v>4935</v>
      </c>
      <c r="C1893" s="5" t="s">
        <v>29</v>
      </c>
      <c r="D1893" s="5" t="s">
        <v>30</v>
      </c>
      <c r="E1893" s="5" t="s">
        <v>49</v>
      </c>
      <c r="F1893" s="9">
        <v>83</v>
      </c>
      <c r="G1893" s="9">
        <v>1021</v>
      </c>
      <c r="H1893" s="5" t="s">
        <v>21</v>
      </c>
      <c r="I1893" s="5" t="s">
        <v>4936</v>
      </c>
      <c r="J1893" s="12" t="str">
        <f>HYPERLINK("https://www.boe.es/gazeta/dias/1802/10/12/pdfs/GMD-1802-83.pdf#page=9","Abrir facsímil")</f>
        <v>Abrir facsímil</v>
      </c>
      <c r="K1893" s="15" t="s">
        <v>23</v>
      </c>
    </row>
    <row r="1894" spans="1:11" ht="42" customHeight="1">
      <c r="A1894" s="4" t="s">
        <v>4937</v>
      </c>
      <c r="B1894" s="5" t="s">
        <v>4938</v>
      </c>
      <c r="C1894" s="5" t="s">
        <v>35</v>
      </c>
      <c r="D1894" s="5" t="s">
        <v>36</v>
      </c>
      <c r="E1894" s="5" t="s">
        <v>311</v>
      </c>
      <c r="F1894" s="9">
        <v>88</v>
      </c>
      <c r="G1894" s="9">
        <v>1092</v>
      </c>
      <c r="H1894" s="5" t="s">
        <v>21</v>
      </c>
      <c r="I1894" s="5" t="s">
        <v>4939</v>
      </c>
      <c r="J1894" s="12" t="str">
        <f>HYPERLINK("https://www.boe.es/gazeta/dias/1802/10/29/pdfs/GMD-1802-88.pdf#page=8","Abrir facsímil")</f>
        <v>Abrir facsímil</v>
      </c>
      <c r="K1894" s="15" t="s">
        <v>23</v>
      </c>
    </row>
    <row r="1895" spans="1:11" ht="42" customHeight="1">
      <c r="A1895" s="4" t="s">
        <v>4940</v>
      </c>
      <c r="B1895" s="5" t="s">
        <v>4941</v>
      </c>
      <c r="C1895" s="5" t="s">
        <v>35</v>
      </c>
      <c r="D1895" s="5" t="s">
        <v>36</v>
      </c>
      <c r="E1895" s="5" t="s">
        <v>175</v>
      </c>
      <c r="F1895" s="9">
        <v>37</v>
      </c>
      <c r="G1895" s="9">
        <v>437</v>
      </c>
      <c r="H1895" s="5" t="s">
        <v>21</v>
      </c>
      <c r="I1895" s="5" t="s">
        <v>4942</v>
      </c>
      <c r="J1895" s="12" t="str">
        <f>HYPERLINK("https://www.boe.es/gazeta/dias/1802/05/07/pdfs/GMD-1802-37.pdf#page=5","Abrir facsímil")</f>
        <v>Abrir facsímil</v>
      </c>
      <c r="K1895" s="15" t="s">
        <v>23</v>
      </c>
    </row>
    <row r="1896" spans="1:11" ht="42" customHeight="1">
      <c r="A1896" s="4" t="s">
        <v>4943</v>
      </c>
      <c r="B1896" s="5" t="s">
        <v>4944</v>
      </c>
      <c r="C1896" s="5" t="s">
        <v>35</v>
      </c>
      <c r="D1896" s="5" t="s">
        <v>36</v>
      </c>
      <c r="E1896" s="5" t="s">
        <v>181</v>
      </c>
      <c r="F1896" s="9">
        <v>55</v>
      </c>
      <c r="G1896" s="9">
        <v>658</v>
      </c>
      <c r="H1896" s="5" t="s">
        <v>21</v>
      </c>
      <c r="I1896" s="5" t="s">
        <v>4945</v>
      </c>
      <c r="J1896" s="12" t="str">
        <f>HYPERLINK("https://www.boe.es/gazeta/dias/1802/07/09/pdfs/GMD-1802-55.pdf#page=2","Abrir facsímil")</f>
        <v>Abrir facsímil</v>
      </c>
      <c r="K1896" s="15" t="s">
        <v>23</v>
      </c>
    </row>
    <row r="1897" spans="1:11" ht="42" customHeight="1">
      <c r="A1897" s="4" t="s">
        <v>4946</v>
      </c>
      <c r="B1897" s="5" t="s">
        <v>4947</v>
      </c>
      <c r="C1897" s="5" t="s">
        <v>18</v>
      </c>
      <c r="D1897" s="5" t="s">
        <v>19</v>
      </c>
      <c r="E1897" s="5" t="s">
        <v>20</v>
      </c>
      <c r="F1897" s="9">
        <v>84</v>
      </c>
      <c r="G1897" s="9">
        <v>1042</v>
      </c>
      <c r="H1897" s="5" t="s">
        <v>21</v>
      </c>
      <c r="I1897" s="5" t="s">
        <v>4948</v>
      </c>
      <c r="J1897" s="12" t="str">
        <f>HYPERLINK("https://www.boe.es/gazeta/dias/1802/10/15/pdfs/GMD-1802-84.pdf#page=10","Abrir facsímil")</f>
        <v>Abrir facsímil</v>
      </c>
      <c r="K1897" s="15" t="s">
        <v>23</v>
      </c>
    </row>
    <row r="1898" spans="1:11" ht="42" customHeight="1">
      <c r="A1898" s="4" t="s">
        <v>4949</v>
      </c>
      <c r="B1898" s="5" t="s">
        <v>4950</v>
      </c>
      <c r="C1898" s="5" t="s">
        <v>18</v>
      </c>
      <c r="D1898" s="5" t="s">
        <v>19</v>
      </c>
      <c r="E1898" s="5" t="s">
        <v>152</v>
      </c>
      <c r="F1898" s="9">
        <v>25</v>
      </c>
      <c r="G1898" s="9">
        <v>284</v>
      </c>
      <c r="H1898" s="5" t="s">
        <v>21</v>
      </c>
      <c r="I1898" s="5" t="s">
        <v>4951</v>
      </c>
      <c r="J1898" s="12" t="str">
        <f>HYPERLINK("https://www.boe.es/gazeta/dias/1802/03/26/pdfs/GMD-1802-25.pdf#page=8","Abrir facsímil")</f>
        <v>Abrir facsímil</v>
      </c>
      <c r="K1898" s="15" t="s">
        <v>23</v>
      </c>
    </row>
    <row r="1899" spans="1:11" ht="42" customHeight="1">
      <c r="A1899" s="4" t="s">
        <v>4949</v>
      </c>
      <c r="B1899" s="5" t="s">
        <v>4950</v>
      </c>
      <c r="C1899" s="5" t="s">
        <v>18</v>
      </c>
      <c r="D1899" s="5" t="s">
        <v>19</v>
      </c>
      <c r="E1899" s="5" t="s">
        <v>152</v>
      </c>
      <c r="F1899" s="9">
        <v>25</v>
      </c>
      <c r="G1899" s="9">
        <v>285</v>
      </c>
      <c r="H1899" s="5" t="s">
        <v>21</v>
      </c>
      <c r="I1899" s="5" t="s">
        <v>4952</v>
      </c>
      <c r="J1899" s="12" t="str">
        <f>HYPERLINK("https://www.boe.es/gazeta/dias/1802/03/26/pdfs/GMD-1802-25.pdf#page=9","Abrir facsímil")</f>
        <v>Abrir facsímil</v>
      </c>
      <c r="K1899" s="15" t="s">
        <v>23</v>
      </c>
    </row>
    <row r="1900" spans="1:11" ht="42" customHeight="1">
      <c r="A1900" s="4" t="s">
        <v>4949</v>
      </c>
      <c r="B1900" s="5" t="s">
        <v>4950</v>
      </c>
      <c r="C1900" s="5" t="s">
        <v>160</v>
      </c>
      <c r="D1900" s="5" t="s">
        <v>91</v>
      </c>
      <c r="E1900" s="5" t="s">
        <v>148</v>
      </c>
      <c r="F1900" s="9">
        <v>66</v>
      </c>
      <c r="G1900" s="9">
        <v>808</v>
      </c>
      <c r="H1900" s="5" t="s">
        <v>21</v>
      </c>
      <c r="I1900" s="5" t="s">
        <v>4953</v>
      </c>
      <c r="J1900" s="12" t="str">
        <f>HYPERLINK("https://www.boe.es/gazeta/dias/1802/08/13/pdfs/GMD-1802-66.pdf#page=12","Abrir facsímil")</f>
        <v>Abrir facsímil</v>
      </c>
      <c r="K1900" s="15" t="s">
        <v>23</v>
      </c>
    </row>
    <row r="1901" spans="1:11" ht="42" customHeight="1">
      <c r="A1901" s="4" t="s">
        <v>4954</v>
      </c>
      <c r="B1901" s="5" t="s">
        <v>4955</v>
      </c>
      <c r="C1901" s="5" t="s">
        <v>160</v>
      </c>
      <c r="D1901" s="5" t="s">
        <v>91</v>
      </c>
      <c r="E1901" s="5" t="s">
        <v>339</v>
      </c>
      <c r="F1901" s="9">
        <v>39</v>
      </c>
      <c r="G1901" s="9">
        <v>467</v>
      </c>
      <c r="H1901" s="5" t="s">
        <v>21</v>
      </c>
      <c r="I1901" s="5" t="s">
        <v>4956</v>
      </c>
      <c r="J1901" s="12" t="str">
        <f>HYPERLINK("https://www.boe.es/gazeta/dias/1802/05/14/pdfs/GMD-1802-39.pdf#page=11","Abrir facsímil")</f>
        <v>Abrir facsímil</v>
      </c>
      <c r="K1901" s="15" t="s">
        <v>23</v>
      </c>
    </row>
    <row r="1902" spans="1:11" ht="42" customHeight="1">
      <c r="A1902" s="4" t="s">
        <v>4957</v>
      </c>
      <c r="B1902" s="5" t="s">
        <v>4958</v>
      </c>
      <c r="C1902" s="5" t="s">
        <v>29</v>
      </c>
      <c r="D1902" s="5" t="s">
        <v>30</v>
      </c>
      <c r="E1902" s="5" t="s">
        <v>57</v>
      </c>
      <c r="F1902" s="9">
        <v>54</v>
      </c>
      <c r="G1902" s="9">
        <v>656</v>
      </c>
      <c r="H1902" s="5" t="s">
        <v>21</v>
      </c>
      <c r="I1902" s="5" t="s">
        <v>4959</v>
      </c>
      <c r="J1902" s="12" t="str">
        <f>HYPERLINK("https://www.boe.es/gazeta/dias/1802/07/06/pdfs/GMD-1802-54.pdf#page=12","Abrir facsímil")</f>
        <v>Abrir facsímil</v>
      </c>
      <c r="K1902" s="15" t="s">
        <v>23</v>
      </c>
    </row>
    <row r="1903" spans="1:11" ht="42" customHeight="1">
      <c r="A1903" s="4" t="s">
        <v>4960</v>
      </c>
      <c r="B1903" s="5" t="s">
        <v>4961</v>
      </c>
      <c r="C1903" s="5" t="s">
        <v>35</v>
      </c>
      <c r="D1903" s="5" t="s">
        <v>36</v>
      </c>
      <c r="E1903" s="5" t="s">
        <v>148</v>
      </c>
      <c r="F1903" s="9">
        <v>66</v>
      </c>
      <c r="G1903" s="9">
        <v>799</v>
      </c>
      <c r="H1903" s="5" t="s">
        <v>21</v>
      </c>
      <c r="I1903" s="5" t="s">
        <v>4962</v>
      </c>
      <c r="J1903" s="12" t="str">
        <f>HYPERLINK("https://www.boe.es/gazeta/dias/1802/08/13/pdfs/GMD-1802-66.pdf#page=3","Abrir facsímil")</f>
        <v>Abrir facsímil</v>
      </c>
      <c r="K1903" s="15" t="s">
        <v>23</v>
      </c>
    </row>
    <row r="1904" spans="1:11" ht="42" customHeight="1">
      <c r="A1904" s="4" t="s">
        <v>4963</v>
      </c>
      <c r="B1904" s="5" t="s">
        <v>4964</v>
      </c>
      <c r="C1904" s="5" t="s">
        <v>18</v>
      </c>
      <c r="D1904" s="5" t="s">
        <v>19</v>
      </c>
      <c r="E1904" s="5" t="s">
        <v>332</v>
      </c>
      <c r="F1904" s="9">
        <v>24</v>
      </c>
      <c r="G1904" s="9">
        <v>273</v>
      </c>
      <c r="H1904" s="5" t="s">
        <v>21</v>
      </c>
      <c r="I1904" s="5" t="s">
        <v>4965</v>
      </c>
      <c r="J1904" s="12" t="str">
        <f>HYPERLINK("https://www.boe.es/gazeta/dias/1802/03/23/pdfs/GMD-1802-24.pdf#page=9","Abrir facsímil")</f>
        <v>Abrir facsímil</v>
      </c>
      <c r="K1904" s="15" t="s">
        <v>23</v>
      </c>
    </row>
    <row r="1905" spans="1:11" ht="42" customHeight="1">
      <c r="A1905" s="4" t="s">
        <v>4966</v>
      </c>
      <c r="B1905" s="5" t="s">
        <v>4967</v>
      </c>
      <c r="C1905" s="5" t="s">
        <v>29</v>
      </c>
      <c r="D1905" s="5" t="s">
        <v>30</v>
      </c>
      <c r="E1905" s="5" t="s">
        <v>206</v>
      </c>
      <c r="F1905" s="9">
        <v>22</v>
      </c>
      <c r="G1905" s="9">
        <v>242</v>
      </c>
      <c r="H1905" s="5" t="s">
        <v>21</v>
      </c>
      <c r="I1905" s="5" t="s">
        <v>4968</v>
      </c>
      <c r="J1905" s="12" t="str">
        <f>HYPERLINK("https://www.boe.es/gazeta/dias/1802/03/16/pdfs/GMD-1802-22.pdf#page=10","Abrir facsímil")</f>
        <v>Abrir facsímil</v>
      </c>
      <c r="K1905" s="15" t="s">
        <v>23</v>
      </c>
    </row>
    <row r="1906" spans="1:11" ht="42" customHeight="1">
      <c r="A1906" s="4" t="s">
        <v>4969</v>
      </c>
      <c r="B1906" s="5" t="s">
        <v>4970</v>
      </c>
      <c r="C1906" s="5" t="s">
        <v>18</v>
      </c>
      <c r="D1906" s="5" t="s">
        <v>19</v>
      </c>
      <c r="E1906" s="5" t="s">
        <v>20</v>
      </c>
      <c r="F1906" s="9">
        <v>84</v>
      </c>
      <c r="G1906" s="9">
        <v>1040</v>
      </c>
      <c r="H1906" s="5" t="s">
        <v>21</v>
      </c>
      <c r="I1906" s="5" t="s">
        <v>4971</v>
      </c>
      <c r="J1906" s="12" t="str">
        <f>HYPERLINK("https://www.boe.es/gazeta/dias/1802/10/15/pdfs/GMD-1802-84.pdf#page=8","Abrir facsímil")</f>
        <v>Abrir facsímil</v>
      </c>
      <c r="K1906" s="15" t="s">
        <v>23</v>
      </c>
    </row>
    <row r="1907" spans="1:11" ht="42" customHeight="1">
      <c r="A1907" s="4" t="s">
        <v>4972</v>
      </c>
      <c r="B1907" s="5" t="s">
        <v>4973</v>
      </c>
      <c r="C1907" s="5" t="s">
        <v>2417</v>
      </c>
      <c r="D1907" s="5" t="s">
        <v>2418</v>
      </c>
      <c r="E1907" s="5" t="s">
        <v>206</v>
      </c>
      <c r="F1907" s="9">
        <v>22</v>
      </c>
      <c r="G1907" s="9">
        <v>246</v>
      </c>
      <c r="H1907" s="5" t="s">
        <v>21</v>
      </c>
      <c r="I1907" s="5" t="s">
        <v>4974</v>
      </c>
      <c r="J1907" s="12" t="str">
        <f>HYPERLINK("https://www.boe.es/gazeta/dias/1802/03/16/pdfs/GMD-C-1802-22.pdf#page=2","Abrir facsímil")</f>
        <v>Abrir facsímil</v>
      </c>
      <c r="K1907" s="15" t="s">
        <v>23</v>
      </c>
    </row>
    <row r="1908" spans="1:11" ht="42" customHeight="1">
      <c r="A1908" s="4" t="s">
        <v>4972</v>
      </c>
      <c r="B1908" s="5" t="s">
        <v>4973</v>
      </c>
      <c r="C1908" s="5" t="s">
        <v>18</v>
      </c>
      <c r="D1908" s="5" t="s">
        <v>19</v>
      </c>
      <c r="E1908" s="5" t="s">
        <v>167</v>
      </c>
      <c r="F1908" s="9">
        <v>23</v>
      </c>
      <c r="G1908" s="9">
        <v>260</v>
      </c>
      <c r="H1908" s="5" t="s">
        <v>21</v>
      </c>
      <c r="I1908" s="5" t="s">
        <v>4975</v>
      </c>
      <c r="J1908" s="12" t="str">
        <f>HYPERLINK("https://www.boe.es/gazeta/dias/1802/03/19/pdfs/GMD-1802-23.pdf#page=8","Abrir facsímil")</f>
        <v>Abrir facsímil</v>
      </c>
      <c r="K1908" s="15" t="s">
        <v>23</v>
      </c>
    </row>
    <row r="1909" spans="1:11" ht="42" customHeight="1">
      <c r="A1909" s="4" t="s">
        <v>4972</v>
      </c>
      <c r="B1909" s="5" t="s">
        <v>4973</v>
      </c>
      <c r="C1909" s="5" t="s">
        <v>18</v>
      </c>
      <c r="D1909" s="5" t="s">
        <v>19</v>
      </c>
      <c r="E1909" s="5" t="s">
        <v>1749</v>
      </c>
      <c r="F1909" s="9">
        <v>60</v>
      </c>
      <c r="G1909" s="9">
        <v>730</v>
      </c>
      <c r="H1909" s="5" t="s">
        <v>21</v>
      </c>
      <c r="I1909" s="5" t="s">
        <v>4976</v>
      </c>
      <c r="J1909" s="12" t="str">
        <f>HYPERLINK("https://www.boe.es/gazeta/dias/1802/07/23/pdfs/GMD-1802-60.pdf#page=14","Abrir facsímil")</f>
        <v>Abrir facsímil</v>
      </c>
      <c r="K1909" s="15" t="s">
        <v>23</v>
      </c>
    </row>
    <row r="1910" spans="1:11" ht="42" customHeight="1">
      <c r="A1910" s="4" t="s">
        <v>4972</v>
      </c>
      <c r="B1910" s="5" t="s">
        <v>4973</v>
      </c>
      <c r="C1910" s="5" t="s">
        <v>18</v>
      </c>
      <c r="D1910" s="5" t="s">
        <v>19</v>
      </c>
      <c r="E1910" s="5" t="s">
        <v>517</v>
      </c>
      <c r="F1910" s="9">
        <v>61</v>
      </c>
      <c r="G1910" s="9">
        <v>742</v>
      </c>
      <c r="H1910" s="5" t="s">
        <v>21</v>
      </c>
      <c r="I1910" s="5" t="s">
        <v>4977</v>
      </c>
      <c r="J1910" s="12" t="str">
        <f>HYPERLINK("https://www.boe.es/gazeta/dias/1802/07/27/pdfs/GMD-1802-61.pdf#page=10","Abrir facsímil")</f>
        <v>Abrir facsímil</v>
      </c>
      <c r="K1910" s="15" t="s">
        <v>23</v>
      </c>
    </row>
    <row r="1911" spans="1:11" ht="42" customHeight="1">
      <c r="A1911" s="4" t="s">
        <v>4972</v>
      </c>
      <c r="B1911" s="5" t="s">
        <v>4973</v>
      </c>
      <c r="C1911" s="5" t="s">
        <v>18</v>
      </c>
      <c r="D1911" s="5" t="s">
        <v>19</v>
      </c>
      <c r="E1911" s="5" t="s">
        <v>292</v>
      </c>
      <c r="F1911" s="9">
        <v>62</v>
      </c>
      <c r="G1911" s="9">
        <v>754</v>
      </c>
      <c r="H1911" s="5" t="s">
        <v>21</v>
      </c>
      <c r="I1911" s="5" t="s">
        <v>4978</v>
      </c>
      <c r="J1911" s="12" t="str">
        <f>HYPERLINK("https://www.boe.es/gazeta/dias/1802/07/30/pdfs/GMD-1802-62.pdf#page=10","Abrir facsímil")</f>
        <v>Abrir facsímil</v>
      </c>
      <c r="K1911" s="15" t="s">
        <v>23</v>
      </c>
    </row>
    <row r="1912" spans="1:11" ht="42" customHeight="1">
      <c r="A1912" s="4" t="s">
        <v>4979</v>
      </c>
      <c r="B1912" s="5" t="s">
        <v>4980</v>
      </c>
      <c r="C1912" s="5" t="s">
        <v>18</v>
      </c>
      <c r="D1912" s="5" t="s">
        <v>19</v>
      </c>
      <c r="E1912" s="5" t="s">
        <v>1185</v>
      </c>
      <c r="F1912" s="9">
        <v>93</v>
      </c>
      <c r="G1912" s="9">
        <v>1150</v>
      </c>
      <c r="H1912" s="5" t="s">
        <v>21</v>
      </c>
      <c r="I1912" s="5" t="s">
        <v>4981</v>
      </c>
      <c r="J1912" s="12" t="str">
        <f>HYPERLINK("https://www.boe.es/gazeta/dias/1802/11/16/pdfs/GMD-1802-93.pdf#page=10","Abrir facsímil")</f>
        <v>Abrir facsímil</v>
      </c>
      <c r="K1912" s="15" t="s">
        <v>23</v>
      </c>
    </row>
    <row r="1913" spans="1:11" ht="42" customHeight="1">
      <c r="A1913" s="4" t="s">
        <v>4972</v>
      </c>
      <c r="B1913" s="5" t="s">
        <v>4973</v>
      </c>
      <c r="C1913" s="5" t="s">
        <v>35</v>
      </c>
      <c r="D1913" s="5" t="s">
        <v>36</v>
      </c>
      <c r="E1913" s="5" t="s">
        <v>185</v>
      </c>
      <c r="F1913" s="9">
        <v>95</v>
      </c>
      <c r="G1913" s="9">
        <v>1174</v>
      </c>
      <c r="H1913" s="5" t="s">
        <v>21</v>
      </c>
      <c r="I1913" s="5" t="s">
        <v>4982</v>
      </c>
      <c r="J1913" s="12" t="str">
        <f>HYPERLINK("https://www.boe.es/gazeta/dias/1802/11/23/pdfs/GMD-1802-95.pdf#page=10","Abrir facsímil")</f>
        <v>Abrir facsímil</v>
      </c>
      <c r="K1913" s="15" t="s">
        <v>23</v>
      </c>
    </row>
    <row r="1914" spans="1:11" ht="42" customHeight="1">
      <c r="A1914" s="4" t="s">
        <v>4983</v>
      </c>
      <c r="B1914" s="5" t="s">
        <v>4984</v>
      </c>
      <c r="C1914" s="5" t="s">
        <v>18</v>
      </c>
      <c r="D1914" s="5" t="s">
        <v>19</v>
      </c>
      <c r="E1914" s="5" t="s">
        <v>20</v>
      </c>
      <c r="F1914" s="9">
        <v>84</v>
      </c>
      <c r="G1914" s="9">
        <v>1041</v>
      </c>
      <c r="H1914" s="5" t="s">
        <v>21</v>
      </c>
      <c r="I1914" s="5" t="s">
        <v>4985</v>
      </c>
      <c r="J1914" s="12" t="str">
        <f>HYPERLINK("https://www.boe.es/gazeta/dias/1802/10/15/pdfs/GMD-1802-84.pdf#page=9","Abrir facsímil")</f>
        <v>Abrir facsímil</v>
      </c>
      <c r="K1914" s="15" t="s">
        <v>23</v>
      </c>
    </row>
    <row r="1915" spans="1:11" ht="42" customHeight="1">
      <c r="A1915" s="4" t="s">
        <v>4986</v>
      </c>
      <c r="B1915" s="5" t="s">
        <v>4987</v>
      </c>
      <c r="C1915" s="5" t="s">
        <v>18</v>
      </c>
      <c r="D1915" s="5" t="s">
        <v>19</v>
      </c>
      <c r="E1915" s="5" t="s">
        <v>20</v>
      </c>
      <c r="F1915" s="9">
        <v>84</v>
      </c>
      <c r="G1915" s="9">
        <v>1044</v>
      </c>
      <c r="H1915" s="5" t="s">
        <v>21</v>
      </c>
      <c r="I1915" s="5" t="s">
        <v>4988</v>
      </c>
      <c r="J1915" s="12" t="str">
        <f>HYPERLINK("https://www.boe.es/gazeta/dias/1802/10/15/pdfs/GMD-1802-84.pdf#page=12","Abrir facsímil")</f>
        <v>Abrir facsímil</v>
      </c>
      <c r="K1915" s="15" t="s">
        <v>23</v>
      </c>
    </row>
    <row r="1916" spans="1:11" ht="42" customHeight="1">
      <c r="A1916" s="4" t="s">
        <v>4989</v>
      </c>
      <c r="B1916" s="5" t="s">
        <v>4990</v>
      </c>
      <c r="C1916" s="5" t="s">
        <v>18</v>
      </c>
      <c r="D1916" s="5" t="s">
        <v>19</v>
      </c>
      <c r="E1916" s="5" t="s">
        <v>20</v>
      </c>
      <c r="F1916" s="9">
        <v>84</v>
      </c>
      <c r="G1916" s="9">
        <v>1046</v>
      </c>
      <c r="H1916" s="5" t="s">
        <v>21</v>
      </c>
      <c r="I1916" s="5" t="s">
        <v>4991</v>
      </c>
      <c r="J1916" s="12" t="str">
        <f>HYPERLINK("https://www.boe.es/gazeta/dias/1802/10/15/pdfs/GMD-1802-84.pdf#page=14","Abrir facsímil")</f>
        <v>Abrir facsímil</v>
      </c>
      <c r="K1916" s="15" t="s">
        <v>23</v>
      </c>
    </row>
    <row r="1917" spans="1:11" ht="42" customHeight="1">
      <c r="A1917" s="4" t="s">
        <v>4992</v>
      </c>
      <c r="B1917" s="5" t="s">
        <v>4993</v>
      </c>
      <c r="C1917" s="5" t="s">
        <v>29</v>
      </c>
      <c r="D1917" s="5" t="s">
        <v>30</v>
      </c>
      <c r="E1917" s="5" t="s">
        <v>73</v>
      </c>
      <c r="F1917" s="9">
        <v>102</v>
      </c>
      <c r="G1917" s="9">
        <v>1254</v>
      </c>
      <c r="H1917" s="5" t="s">
        <v>21</v>
      </c>
      <c r="I1917" s="5" t="s">
        <v>4994</v>
      </c>
      <c r="J1917" s="12" t="str">
        <f>HYPERLINK("https://www.boe.es/gazeta/dias/1802/12/17/pdfs/GMD-1802-102.pdf#page=10","Abrir facsímil")</f>
        <v>Abrir facsímil</v>
      </c>
      <c r="K1917" s="15" t="s">
        <v>23</v>
      </c>
    </row>
    <row r="1918" spans="1:11" ht="42" customHeight="1">
      <c r="A1918" s="4" t="s">
        <v>4995</v>
      </c>
      <c r="B1918" s="5" t="s">
        <v>4996</v>
      </c>
      <c r="C1918" s="5" t="s">
        <v>90</v>
      </c>
      <c r="D1918" s="5" t="s">
        <v>91</v>
      </c>
      <c r="E1918" s="5" t="s">
        <v>148</v>
      </c>
      <c r="F1918" s="9">
        <v>66</v>
      </c>
      <c r="G1918" s="9">
        <v>807</v>
      </c>
      <c r="H1918" s="5" t="s">
        <v>21</v>
      </c>
      <c r="I1918" s="5" t="s">
        <v>4997</v>
      </c>
      <c r="J1918" s="12" t="str">
        <f>HYPERLINK("https://www.boe.es/gazeta/dias/1802/08/13/pdfs/GMD-1802-66.pdf#page=11","Abrir facsímil")</f>
        <v>Abrir facsímil</v>
      </c>
      <c r="K1918" s="15" t="s">
        <v>23</v>
      </c>
    </row>
    <row r="1919" spans="1:11" ht="42" customHeight="1">
      <c r="A1919" s="4" t="s">
        <v>4998</v>
      </c>
      <c r="B1919" s="5" t="s">
        <v>4999</v>
      </c>
      <c r="C1919" s="5" t="s">
        <v>90</v>
      </c>
      <c r="D1919" s="5" t="s">
        <v>91</v>
      </c>
      <c r="E1919" s="5" t="s">
        <v>900</v>
      </c>
      <c r="F1919" s="9">
        <v>16</v>
      </c>
      <c r="G1919" s="9">
        <v>169</v>
      </c>
      <c r="H1919" s="5" t="s">
        <v>21</v>
      </c>
      <c r="I1919" s="5" t="s">
        <v>5000</v>
      </c>
      <c r="J1919" s="12" t="str">
        <f>HYPERLINK("https://www.boe.es/gazeta/dias/1802/02/23/pdfs/GMD-1802-16.pdf#page=9","Abrir facsímil")</f>
        <v>Abrir facsímil</v>
      </c>
      <c r="K1919" s="15" t="s">
        <v>23</v>
      </c>
    </row>
    <row r="1920" spans="1:11" ht="42" customHeight="1">
      <c r="A1920" s="4" t="s">
        <v>5001</v>
      </c>
      <c r="B1920" s="5" t="s">
        <v>5002</v>
      </c>
      <c r="C1920" s="5" t="s">
        <v>29</v>
      </c>
      <c r="D1920" s="5" t="s">
        <v>30</v>
      </c>
      <c r="E1920" s="5" t="s">
        <v>611</v>
      </c>
      <c r="F1920" s="9">
        <v>68</v>
      </c>
      <c r="G1920" s="9">
        <v>834</v>
      </c>
      <c r="H1920" s="5" t="s">
        <v>21</v>
      </c>
      <c r="I1920" s="5" t="s">
        <v>5003</v>
      </c>
      <c r="J1920" s="12" t="str">
        <f>HYPERLINK("https://www.boe.es/gazeta/dias/1802/08/20/pdfs/GMD-1802-68.pdf#page=10","Abrir facsímil")</f>
        <v>Abrir facsímil</v>
      </c>
      <c r="K1920" s="15" t="s">
        <v>23</v>
      </c>
    </row>
    <row r="1921" spans="1:11" ht="42" customHeight="1">
      <c r="A1921" s="4" t="s">
        <v>5004</v>
      </c>
      <c r="B1921" s="5" t="s">
        <v>5005</v>
      </c>
      <c r="C1921" s="5" t="s">
        <v>29</v>
      </c>
      <c r="D1921" s="5" t="s">
        <v>30</v>
      </c>
      <c r="E1921" s="5" t="s">
        <v>670</v>
      </c>
      <c r="F1921" s="9">
        <v>40</v>
      </c>
      <c r="G1921" s="9">
        <v>481</v>
      </c>
      <c r="H1921" s="5" t="s">
        <v>21</v>
      </c>
      <c r="I1921" s="5" t="s">
        <v>5006</v>
      </c>
      <c r="J1921" s="12" t="str">
        <f>HYPERLINK("https://www.boe.es/gazeta/dias/1802/05/18/pdfs/GMD-1802-40.pdf#page=9","Abrir facsímil")</f>
        <v>Abrir facsímil</v>
      </c>
      <c r="K1921" s="15" t="s">
        <v>23</v>
      </c>
    </row>
    <row r="1922" spans="1:11" ht="42" customHeight="1">
      <c r="A1922" s="4" t="s">
        <v>5007</v>
      </c>
      <c r="B1922" s="5" t="s">
        <v>5008</v>
      </c>
      <c r="C1922" s="5" t="s">
        <v>18</v>
      </c>
      <c r="D1922" s="5" t="s">
        <v>19</v>
      </c>
      <c r="E1922" s="5" t="s">
        <v>49</v>
      </c>
      <c r="F1922" s="9">
        <v>83</v>
      </c>
      <c r="G1922" s="9">
        <v>1026</v>
      </c>
      <c r="H1922" s="5" t="s">
        <v>21</v>
      </c>
      <c r="I1922" s="5" t="s">
        <v>5009</v>
      </c>
      <c r="J1922" s="12" t="str">
        <f>HYPERLINK("https://www.boe.es/gazeta/dias/1802/10/12/pdfs/GMD-1802-83.pdf#page=14","Abrir facsímil")</f>
        <v>Abrir facsímil</v>
      </c>
      <c r="K1922" s="15" t="s">
        <v>23</v>
      </c>
    </row>
    <row r="1923" spans="1:11" ht="42" customHeight="1">
      <c r="A1923" s="4" t="s">
        <v>5010</v>
      </c>
      <c r="B1923" s="5" t="s">
        <v>5011</v>
      </c>
      <c r="C1923" s="5" t="s">
        <v>55</v>
      </c>
      <c r="D1923" s="5" t="s">
        <v>56</v>
      </c>
      <c r="E1923" s="5" t="s">
        <v>49</v>
      </c>
      <c r="F1923" s="9">
        <v>83</v>
      </c>
      <c r="G1923" s="9">
        <v>1028</v>
      </c>
      <c r="H1923" s="5" t="s">
        <v>21</v>
      </c>
      <c r="I1923" s="5" t="s">
        <v>5012</v>
      </c>
      <c r="J1923" s="12" t="str">
        <f>HYPERLINK("https://www.boe.es/gazeta/dias/1802/10/12/pdfs/GMD-1802-83.pdf#page=16","Abrir facsímil")</f>
        <v>Abrir facsímil</v>
      </c>
      <c r="K1923" s="15" t="s">
        <v>23</v>
      </c>
    </row>
    <row r="1924" spans="1:11" ht="42" customHeight="1">
      <c r="A1924" s="4" t="s">
        <v>5013</v>
      </c>
      <c r="B1924" s="5" t="s">
        <v>5014</v>
      </c>
      <c r="C1924" s="5" t="s">
        <v>42</v>
      </c>
      <c r="D1924" s="5" t="s">
        <v>43</v>
      </c>
      <c r="E1924" s="5" t="s">
        <v>44</v>
      </c>
      <c r="F1924" s="9">
        <v>99</v>
      </c>
      <c r="G1924" s="9" t="s">
        <v>222</v>
      </c>
      <c r="H1924" s="5" t="s">
        <v>21</v>
      </c>
      <c r="I1924" s="5" t="s">
        <v>5015</v>
      </c>
      <c r="J1924" s="12" t="str">
        <f>HYPERLINK("https://www.boe.es/gazeta/dias/1802/12/07/pdfs/GMD-D-1802-99.pdf#page=5","Abrir facsímil")</f>
        <v>Abrir facsímil</v>
      </c>
      <c r="K1924" s="15" t="s">
        <v>23</v>
      </c>
    </row>
    <row r="1925" spans="1:11" ht="42" customHeight="1">
      <c r="A1925" s="4" t="s">
        <v>5016</v>
      </c>
      <c r="B1925" s="5" t="s">
        <v>5017</v>
      </c>
      <c r="C1925" s="5" t="s">
        <v>29</v>
      </c>
      <c r="D1925" s="5" t="s">
        <v>30</v>
      </c>
      <c r="E1925" s="5" t="s">
        <v>86</v>
      </c>
      <c r="F1925" s="9">
        <v>26</v>
      </c>
      <c r="G1925" s="9">
        <v>298</v>
      </c>
      <c r="H1925" s="5" t="s">
        <v>21</v>
      </c>
      <c r="I1925" s="5" t="s">
        <v>5018</v>
      </c>
      <c r="J1925" s="12" t="str">
        <f>HYPERLINK("https://www.boe.es/gazeta/dias/1802/03/30/pdfs/GMD-1802-26.pdf#page=10","Abrir facsímil")</f>
        <v>Abrir facsímil</v>
      </c>
      <c r="K1925" s="15" t="s">
        <v>23</v>
      </c>
    </row>
    <row r="1926" spans="1:11" ht="42" customHeight="1">
      <c r="A1926" s="4" t="s">
        <v>5019</v>
      </c>
      <c r="B1926" s="5" t="s">
        <v>5020</v>
      </c>
      <c r="C1926" s="5" t="s">
        <v>90</v>
      </c>
      <c r="D1926" s="5" t="s">
        <v>91</v>
      </c>
      <c r="E1926" s="5" t="s">
        <v>1381</v>
      </c>
      <c r="F1926" s="9">
        <v>17</v>
      </c>
      <c r="G1926" s="9">
        <v>187</v>
      </c>
      <c r="H1926" s="5" t="s">
        <v>21</v>
      </c>
      <c r="I1926" s="5" t="s">
        <v>5021</v>
      </c>
      <c r="J1926" s="12" t="str">
        <f>HYPERLINK("https://www.boe.es/gazeta/dias/1802/02/26/pdfs/GMD-1802-17.pdf#page=11","Abrir facsímil")</f>
        <v>Abrir facsímil</v>
      </c>
      <c r="K1926" s="15" t="s">
        <v>23</v>
      </c>
    </row>
    <row r="1927" spans="1:11" ht="42" customHeight="1">
      <c r="A1927" s="4" t="s">
        <v>5022</v>
      </c>
      <c r="B1927" s="5" t="s">
        <v>5023</v>
      </c>
      <c r="C1927" s="5" t="s">
        <v>35</v>
      </c>
      <c r="D1927" s="5" t="s">
        <v>36</v>
      </c>
      <c r="E1927" s="5" t="s">
        <v>109</v>
      </c>
      <c r="F1927" s="9">
        <v>10</v>
      </c>
      <c r="G1927" s="9">
        <v>96</v>
      </c>
      <c r="H1927" s="5" t="s">
        <v>21</v>
      </c>
      <c r="I1927" s="5" t="s">
        <v>5024</v>
      </c>
      <c r="J1927" s="12" t="str">
        <f>HYPERLINK("https://www.boe.es/gazeta/dias/1802/02/02/pdfs/GMD-1802-10.pdf#page=4","Abrir facsímil")</f>
        <v>Abrir facsímil</v>
      </c>
      <c r="K1927" s="15" t="s">
        <v>23</v>
      </c>
    </row>
    <row r="1928" spans="1:11" ht="42" customHeight="1">
      <c r="A1928" s="4" t="s">
        <v>5025</v>
      </c>
      <c r="B1928" s="5" t="s">
        <v>5026</v>
      </c>
      <c r="C1928" s="5" t="s">
        <v>18</v>
      </c>
      <c r="D1928" s="5" t="s">
        <v>19</v>
      </c>
      <c r="E1928" s="5" t="s">
        <v>339</v>
      </c>
      <c r="F1928" s="9">
        <v>39</v>
      </c>
      <c r="G1928" s="9">
        <v>468</v>
      </c>
      <c r="H1928" s="5" t="s">
        <v>21</v>
      </c>
      <c r="I1928" s="5" t="s">
        <v>5027</v>
      </c>
      <c r="J1928" s="12" t="str">
        <f>HYPERLINK("https://www.boe.es/gazeta/dias/1802/05/14/pdfs/GMD-1802-39.pdf#page=12","Abrir facsímil")</f>
        <v>Abrir facsímil</v>
      </c>
      <c r="K1928" s="15" t="s">
        <v>23</v>
      </c>
    </row>
    <row r="1929" spans="1:11" ht="42" customHeight="1">
      <c r="A1929" s="4" t="s">
        <v>5028</v>
      </c>
      <c r="B1929" s="5" t="s">
        <v>5029</v>
      </c>
      <c r="C1929" s="5" t="s">
        <v>160</v>
      </c>
      <c r="D1929" s="5" t="s">
        <v>91</v>
      </c>
      <c r="E1929" s="5" t="s">
        <v>20</v>
      </c>
      <c r="F1929" s="9">
        <v>84</v>
      </c>
      <c r="G1929" s="9">
        <v>1044</v>
      </c>
      <c r="H1929" s="5" t="s">
        <v>21</v>
      </c>
      <c r="I1929" s="5" t="s">
        <v>5030</v>
      </c>
      <c r="J1929" s="12" t="str">
        <f>HYPERLINK("https://www.boe.es/gazeta/dias/1802/10/15/pdfs/GMD-1802-84.pdf#page=12","Abrir facsímil")</f>
        <v>Abrir facsímil</v>
      </c>
      <c r="K1929" s="15" t="s">
        <v>23</v>
      </c>
    </row>
    <row r="1930" spans="1:11" ht="42" customHeight="1">
      <c r="A1930" s="4" t="s">
        <v>5031</v>
      </c>
      <c r="B1930" s="5" t="s">
        <v>5032</v>
      </c>
      <c r="C1930" s="5" t="s">
        <v>29</v>
      </c>
      <c r="D1930" s="5" t="s">
        <v>30</v>
      </c>
      <c r="E1930" s="5" t="s">
        <v>299</v>
      </c>
      <c r="F1930" s="9">
        <v>19</v>
      </c>
      <c r="G1930" s="9">
        <v>211</v>
      </c>
      <c r="H1930" s="5" t="s">
        <v>21</v>
      </c>
      <c r="I1930" s="5" t="s">
        <v>5033</v>
      </c>
      <c r="J1930" s="12" t="str">
        <f>HYPERLINK("https://www.boe.es/gazeta/dias/1802/03/05/pdfs/GMD-1802-19.pdf#page=11","Abrir facsímil")</f>
        <v>Abrir facsímil</v>
      </c>
      <c r="K1930" s="15" t="s">
        <v>23</v>
      </c>
    </row>
    <row r="1931" spans="1:11" ht="42" customHeight="1">
      <c r="A1931" s="4" t="s">
        <v>5034</v>
      </c>
      <c r="B1931" s="5" t="s">
        <v>5035</v>
      </c>
      <c r="C1931" s="5" t="s">
        <v>18</v>
      </c>
      <c r="D1931" s="5" t="s">
        <v>19</v>
      </c>
      <c r="E1931" s="5" t="s">
        <v>389</v>
      </c>
      <c r="F1931" s="9">
        <v>96</v>
      </c>
      <c r="G1931" s="9">
        <v>1189</v>
      </c>
      <c r="H1931" s="5" t="s">
        <v>21</v>
      </c>
      <c r="I1931" s="5" t="s">
        <v>5036</v>
      </c>
      <c r="J1931" s="12" t="str">
        <f>HYPERLINK("https://www.boe.es/gazeta/dias/1802/11/26/pdfs/GMD-1802-96.pdf#page=9","Abrir facsímil")</f>
        <v>Abrir facsímil</v>
      </c>
      <c r="K1931" s="15" t="s">
        <v>23</v>
      </c>
    </row>
    <row r="1932" spans="1:11" ht="42" customHeight="1">
      <c r="A1932" s="4" t="s">
        <v>5037</v>
      </c>
      <c r="B1932" s="5" t="s">
        <v>5038</v>
      </c>
      <c r="C1932" s="5" t="s">
        <v>55</v>
      </c>
      <c r="D1932" s="5" t="s">
        <v>56</v>
      </c>
      <c r="E1932" s="5" t="s">
        <v>219</v>
      </c>
      <c r="F1932" s="9">
        <v>81</v>
      </c>
      <c r="G1932" s="9">
        <v>1000</v>
      </c>
      <c r="H1932" s="5" t="s">
        <v>21</v>
      </c>
      <c r="I1932" s="5" t="s">
        <v>5039</v>
      </c>
      <c r="J1932" s="12" t="str">
        <f>HYPERLINK("https://www.boe.es/gazeta/dias/1802/10/05/pdfs/GMD-1802-81.pdf#page=12","Abrir facsímil")</f>
        <v>Abrir facsímil</v>
      </c>
      <c r="K1932" s="15" t="s">
        <v>23</v>
      </c>
    </row>
    <row r="1933" spans="1:11" ht="42" customHeight="1">
      <c r="A1933" s="4" t="s">
        <v>5040</v>
      </c>
      <c r="B1933" s="5" t="s">
        <v>5041</v>
      </c>
      <c r="C1933" s="5" t="s">
        <v>29</v>
      </c>
      <c r="D1933" s="5" t="s">
        <v>30</v>
      </c>
      <c r="E1933" s="5" t="s">
        <v>517</v>
      </c>
      <c r="F1933" s="9">
        <v>61</v>
      </c>
      <c r="G1933" s="9">
        <v>740</v>
      </c>
      <c r="H1933" s="5" t="s">
        <v>21</v>
      </c>
      <c r="I1933" s="5" t="s">
        <v>5042</v>
      </c>
      <c r="J1933" s="12" t="str">
        <f>HYPERLINK("https://www.boe.es/gazeta/dias/1802/07/27/pdfs/GMD-1802-61.pdf#page=8","Abrir facsímil")</f>
        <v>Abrir facsímil</v>
      </c>
      <c r="K1933" s="15" t="s">
        <v>23</v>
      </c>
    </row>
    <row r="1934" spans="1:11" ht="42" customHeight="1">
      <c r="A1934" s="4" t="s">
        <v>5043</v>
      </c>
      <c r="B1934" s="5" t="s">
        <v>5044</v>
      </c>
      <c r="C1934" s="5" t="s">
        <v>160</v>
      </c>
      <c r="D1934" s="5" t="s">
        <v>91</v>
      </c>
      <c r="E1934" s="5" t="s">
        <v>1959</v>
      </c>
      <c r="F1934" s="9">
        <v>34</v>
      </c>
      <c r="G1934" s="9">
        <v>399</v>
      </c>
      <c r="H1934" s="5" t="s">
        <v>21</v>
      </c>
      <c r="I1934" s="5" t="s">
        <v>5045</v>
      </c>
      <c r="J1934" s="12" t="str">
        <f>HYPERLINK("https://www.boe.es/gazeta/dias/1802/04/27/pdfs/GMD-1802-34.pdf#page=11","Abrir facsímil")</f>
        <v>Abrir facsímil</v>
      </c>
      <c r="K1934" s="15" t="s">
        <v>23</v>
      </c>
    </row>
    <row r="1935" spans="1:11" ht="42" customHeight="1">
      <c r="A1935" s="4" t="s">
        <v>5046</v>
      </c>
      <c r="B1935" s="5" t="s">
        <v>5047</v>
      </c>
      <c r="C1935" s="5" t="s">
        <v>18</v>
      </c>
      <c r="D1935" s="5" t="s">
        <v>19</v>
      </c>
      <c r="E1935" s="5" t="s">
        <v>670</v>
      </c>
      <c r="F1935" s="9">
        <v>40</v>
      </c>
      <c r="G1935" s="9">
        <v>482</v>
      </c>
      <c r="H1935" s="5" t="s">
        <v>21</v>
      </c>
      <c r="I1935" s="5" t="s">
        <v>5048</v>
      </c>
      <c r="J1935" s="12" t="str">
        <f>HYPERLINK("https://www.boe.es/gazeta/dias/1802/05/18/pdfs/GMD-1802-40.pdf#page=10","Abrir facsímil")</f>
        <v>Abrir facsímil</v>
      </c>
      <c r="K1935" s="15" t="s">
        <v>23</v>
      </c>
    </row>
    <row r="1936" spans="1:11" ht="42" customHeight="1">
      <c r="A1936" s="4" t="s">
        <v>5049</v>
      </c>
      <c r="B1936" s="5" t="s">
        <v>5050</v>
      </c>
      <c r="C1936" s="5" t="s">
        <v>18</v>
      </c>
      <c r="D1936" s="5" t="s">
        <v>19</v>
      </c>
      <c r="E1936" s="5" t="s">
        <v>49</v>
      </c>
      <c r="F1936" s="9">
        <v>83</v>
      </c>
      <c r="G1936" s="9">
        <v>1026</v>
      </c>
      <c r="H1936" s="5" t="s">
        <v>21</v>
      </c>
      <c r="I1936" s="5" t="s">
        <v>5051</v>
      </c>
      <c r="J1936" s="12" t="str">
        <f>HYPERLINK("https://www.boe.es/gazeta/dias/1802/10/12/pdfs/GMD-1802-83.pdf#page=14","Abrir facsímil")</f>
        <v>Abrir facsímil</v>
      </c>
      <c r="K1936" s="15" t="s">
        <v>23</v>
      </c>
    </row>
    <row r="1937" spans="1:11" ht="42" customHeight="1">
      <c r="A1937" s="4" t="s">
        <v>5052</v>
      </c>
      <c r="B1937" s="5" t="s">
        <v>5053</v>
      </c>
      <c r="C1937" s="5" t="s">
        <v>29</v>
      </c>
      <c r="D1937" s="5" t="s">
        <v>30</v>
      </c>
      <c r="E1937" s="5" t="s">
        <v>764</v>
      </c>
      <c r="F1937" s="9">
        <v>69</v>
      </c>
      <c r="G1937" s="9">
        <v>850</v>
      </c>
      <c r="H1937" s="5" t="s">
        <v>21</v>
      </c>
      <c r="I1937" s="5" t="s">
        <v>5054</v>
      </c>
      <c r="J1937" s="12" t="str">
        <f>HYPERLINK("https://www.boe.es/gazeta/dias/1802/08/24/pdfs/GMD-1802-69.pdf#page=10","Abrir facsímil")</f>
        <v>Abrir facsímil</v>
      </c>
      <c r="K1937" s="15" t="s">
        <v>23</v>
      </c>
    </row>
    <row r="1938" spans="1:11" ht="42" customHeight="1">
      <c r="A1938" s="4" t="s">
        <v>5055</v>
      </c>
      <c r="B1938" s="5" t="s">
        <v>5056</v>
      </c>
      <c r="C1938" s="5" t="s">
        <v>18</v>
      </c>
      <c r="D1938" s="5" t="s">
        <v>19</v>
      </c>
      <c r="E1938" s="5" t="s">
        <v>590</v>
      </c>
      <c r="F1938" s="9">
        <v>38</v>
      </c>
      <c r="G1938" s="9">
        <v>454</v>
      </c>
      <c r="H1938" s="5" t="s">
        <v>21</v>
      </c>
      <c r="I1938" s="5" t="s">
        <v>5057</v>
      </c>
      <c r="J1938" s="12" t="str">
        <f>HYPERLINK("https://www.boe.es/gazeta/dias/1802/05/11/pdfs/GMD-1802-38.pdf#page=10","Abrir facsímil")</f>
        <v>Abrir facsímil</v>
      </c>
      <c r="K1938" s="15" t="s">
        <v>23</v>
      </c>
    </row>
    <row r="1939" spans="1:11" ht="42" customHeight="1">
      <c r="A1939" s="4" t="s">
        <v>5058</v>
      </c>
      <c r="B1939" s="5" t="s">
        <v>5059</v>
      </c>
      <c r="C1939" s="5" t="s">
        <v>90</v>
      </c>
      <c r="D1939" s="5" t="s">
        <v>91</v>
      </c>
      <c r="E1939" s="5" t="s">
        <v>1051</v>
      </c>
      <c r="F1939" s="9">
        <v>43</v>
      </c>
      <c r="G1939" s="9">
        <v>517</v>
      </c>
      <c r="H1939" s="5" t="s">
        <v>21</v>
      </c>
      <c r="I1939" s="5" t="s">
        <v>5060</v>
      </c>
      <c r="J1939" s="12" t="str">
        <f>HYPERLINK("https://www.boe.es/gazeta/dias/1802/05/28/pdfs/GMD-1802-43.pdf#page=9","Abrir facsímil")</f>
        <v>Abrir facsímil</v>
      </c>
      <c r="K1939" s="15" t="s">
        <v>23</v>
      </c>
    </row>
    <row r="1940" spans="1:11" ht="42" customHeight="1">
      <c r="A1940" s="4" t="s">
        <v>5061</v>
      </c>
      <c r="B1940" s="5" t="s">
        <v>5062</v>
      </c>
      <c r="C1940" s="5" t="s">
        <v>160</v>
      </c>
      <c r="D1940" s="5" t="s">
        <v>91</v>
      </c>
      <c r="E1940" s="5" t="s">
        <v>175</v>
      </c>
      <c r="F1940" s="9">
        <v>37</v>
      </c>
      <c r="G1940" s="9">
        <v>442</v>
      </c>
      <c r="H1940" s="5" t="s">
        <v>21</v>
      </c>
      <c r="I1940" s="5" t="s">
        <v>5063</v>
      </c>
      <c r="J1940" s="12" t="str">
        <f>HYPERLINK("https://www.boe.es/gazeta/dias/1802/05/07/pdfs/GMD-1802-37.pdf#page=10","Abrir facsímil")</f>
        <v>Abrir facsímil</v>
      </c>
      <c r="K1940" s="15" t="s">
        <v>23</v>
      </c>
    </row>
    <row r="1941" spans="1:11" ht="42" customHeight="1">
      <c r="A1941" s="4" t="s">
        <v>5064</v>
      </c>
      <c r="B1941" s="5" t="s">
        <v>5065</v>
      </c>
      <c r="C1941" s="5" t="s">
        <v>18</v>
      </c>
      <c r="D1941" s="5" t="s">
        <v>19</v>
      </c>
      <c r="E1941" s="5" t="s">
        <v>206</v>
      </c>
      <c r="F1941" s="9">
        <v>22</v>
      </c>
      <c r="G1941" s="9">
        <v>240</v>
      </c>
      <c r="H1941" s="5" t="s">
        <v>21</v>
      </c>
      <c r="I1941" s="5" t="s">
        <v>5066</v>
      </c>
      <c r="J1941" s="12" t="str">
        <f>HYPERLINK("https://www.boe.es/gazeta/dias/1802/03/16/pdfs/GMD-1802-22.pdf#page=8","Abrir facsímil")</f>
        <v>Abrir facsímil</v>
      </c>
      <c r="K1941" s="15" t="s">
        <v>23</v>
      </c>
    </row>
    <row r="1942" spans="1:11" ht="42" customHeight="1">
      <c r="A1942" s="4" t="s">
        <v>5067</v>
      </c>
      <c r="B1942" s="5" t="s">
        <v>5068</v>
      </c>
      <c r="C1942" s="5" t="s">
        <v>18</v>
      </c>
      <c r="D1942" s="5" t="s">
        <v>19</v>
      </c>
      <c r="E1942" s="5" t="s">
        <v>60</v>
      </c>
      <c r="F1942" s="9">
        <v>5</v>
      </c>
      <c r="G1942" s="9">
        <v>51</v>
      </c>
      <c r="H1942" s="5" t="s">
        <v>21</v>
      </c>
      <c r="I1942" s="5" t="s">
        <v>5069</v>
      </c>
      <c r="J1942" s="12" t="str">
        <f>HYPERLINK("https://www.boe.es/gazeta/dias/1802/01/15/pdfs/GMD-1802-5.pdf#page=7","Abrir facsímil")</f>
        <v>Abrir facsímil</v>
      </c>
      <c r="K1942" s="15" t="s">
        <v>23</v>
      </c>
    </row>
    <row r="1943" spans="1:11" ht="42" customHeight="1">
      <c r="A1943" s="4" t="s">
        <v>5070</v>
      </c>
      <c r="B1943" s="5" t="s">
        <v>5071</v>
      </c>
      <c r="C1943" s="5" t="s">
        <v>29</v>
      </c>
      <c r="D1943" s="5" t="s">
        <v>30</v>
      </c>
      <c r="E1943" s="5" t="s">
        <v>1374</v>
      </c>
      <c r="F1943" s="9">
        <v>71</v>
      </c>
      <c r="G1943" s="9">
        <v>875</v>
      </c>
      <c r="H1943" s="5" t="s">
        <v>21</v>
      </c>
      <c r="I1943" s="5" t="s">
        <v>5072</v>
      </c>
      <c r="J1943" s="12" t="str">
        <f>HYPERLINK("https://www.boe.es/gazeta/dias/1802/08/31/pdfs/GMD-1802-71.pdf#page=11","Abrir facsímil")</f>
        <v>Abrir facsímil</v>
      </c>
      <c r="K1943" s="15" t="s">
        <v>23</v>
      </c>
    </row>
    <row r="1944" spans="1:11" ht="42" customHeight="1">
      <c r="A1944" s="4" t="s">
        <v>5073</v>
      </c>
      <c r="B1944" s="5" t="s">
        <v>5074</v>
      </c>
      <c r="C1944" s="5" t="s">
        <v>18</v>
      </c>
      <c r="D1944" s="5" t="s">
        <v>19</v>
      </c>
      <c r="E1944" s="5" t="s">
        <v>20</v>
      </c>
      <c r="F1944" s="9">
        <v>84</v>
      </c>
      <c r="G1944" s="9">
        <v>1043</v>
      </c>
      <c r="H1944" s="5" t="s">
        <v>21</v>
      </c>
      <c r="I1944" s="5" t="s">
        <v>5075</v>
      </c>
      <c r="J1944" s="12" t="str">
        <f>HYPERLINK("https://www.boe.es/gazeta/dias/1802/10/15/pdfs/GMD-1802-84.pdf#page=11","Abrir facsímil")</f>
        <v>Abrir facsímil</v>
      </c>
      <c r="K1944" s="15" t="s">
        <v>23</v>
      </c>
    </row>
    <row r="1945" spans="1:11" ht="42" customHeight="1">
      <c r="A1945" s="4" t="s">
        <v>5076</v>
      </c>
      <c r="B1945" s="5" t="s">
        <v>5077</v>
      </c>
      <c r="C1945" s="5" t="s">
        <v>29</v>
      </c>
      <c r="D1945" s="5" t="s">
        <v>30</v>
      </c>
      <c r="E1945" s="5" t="s">
        <v>311</v>
      </c>
      <c r="F1945" s="9">
        <v>88</v>
      </c>
      <c r="G1945" s="9">
        <v>1093</v>
      </c>
      <c r="H1945" s="5" t="s">
        <v>21</v>
      </c>
      <c r="I1945" s="5" t="s">
        <v>5078</v>
      </c>
      <c r="J1945" s="12" t="str">
        <f>HYPERLINK("https://www.boe.es/gazeta/dias/1802/10/29/pdfs/GMD-1802-88.pdf#page=9","Abrir facsímil")</f>
        <v>Abrir facsímil</v>
      </c>
      <c r="K1945" s="15" t="s">
        <v>23</v>
      </c>
    </row>
    <row r="1946" spans="1:11" ht="42" customHeight="1">
      <c r="A1946" s="4" t="s">
        <v>5079</v>
      </c>
      <c r="B1946" s="5" t="s">
        <v>5080</v>
      </c>
      <c r="C1946" s="5" t="s">
        <v>29</v>
      </c>
      <c r="D1946" s="5" t="s">
        <v>30</v>
      </c>
      <c r="E1946" s="5" t="s">
        <v>37</v>
      </c>
      <c r="F1946" s="9">
        <v>106</v>
      </c>
      <c r="G1946" s="9">
        <v>1295</v>
      </c>
      <c r="H1946" s="5" t="s">
        <v>21</v>
      </c>
      <c r="I1946" s="5" t="s">
        <v>5081</v>
      </c>
      <c r="J1946" s="12" t="str">
        <f>HYPERLINK("https://www.boe.es/gazeta/dias/1802/12/31/pdfs/GMD-1802-106.pdf#page=7","Abrir facsímil")</f>
        <v>Abrir facsímil</v>
      </c>
      <c r="K1946" s="15" t="s">
        <v>23</v>
      </c>
    </row>
    <row r="1947" spans="1:11" ht="42" customHeight="1">
      <c r="A1947" s="4" t="s">
        <v>5082</v>
      </c>
      <c r="B1947" s="5" t="s">
        <v>5083</v>
      </c>
      <c r="C1947" s="5" t="s">
        <v>18</v>
      </c>
      <c r="D1947" s="5" t="s">
        <v>19</v>
      </c>
      <c r="E1947" s="5" t="s">
        <v>865</v>
      </c>
      <c r="F1947" s="9">
        <v>12</v>
      </c>
      <c r="G1947" s="9">
        <v>124</v>
      </c>
      <c r="H1947" s="5" t="s">
        <v>21</v>
      </c>
      <c r="I1947" s="5" t="s">
        <v>5084</v>
      </c>
      <c r="J1947" s="12" t="str">
        <f>HYPERLINK("https://www.boe.es/gazeta/dias/1802/02/09/pdfs/GMD-1802-12.pdf#page=8","Abrir facsímil")</f>
        <v>Abrir facsímil</v>
      </c>
      <c r="K1947" s="15" t="s">
        <v>23</v>
      </c>
    </row>
    <row r="1948" spans="1:11" ht="42" customHeight="1">
      <c r="A1948" s="4" t="s">
        <v>5085</v>
      </c>
      <c r="B1948" s="5" t="s">
        <v>5086</v>
      </c>
      <c r="C1948" s="5" t="s">
        <v>29</v>
      </c>
      <c r="D1948" s="5" t="s">
        <v>30</v>
      </c>
      <c r="E1948" s="5" t="s">
        <v>436</v>
      </c>
      <c r="F1948" s="9">
        <v>58</v>
      </c>
      <c r="G1948" s="9">
        <v>701</v>
      </c>
      <c r="H1948" s="5" t="s">
        <v>21</v>
      </c>
      <c r="I1948" s="5" t="s">
        <v>5087</v>
      </c>
      <c r="J1948" s="12" t="str">
        <f>HYPERLINK("https://www.boe.es/gazeta/dias/1802/07/20/pdfs/GMD-1802-58.pdf#page=9","Abrir facsímil")</f>
        <v>Abrir facsímil</v>
      </c>
      <c r="K1948" s="15" t="s">
        <v>23</v>
      </c>
    </row>
    <row r="1949" spans="1:11" ht="42" customHeight="1">
      <c r="A1949" s="4" t="s">
        <v>5088</v>
      </c>
      <c r="B1949" s="5" t="s">
        <v>5089</v>
      </c>
      <c r="C1949" s="5" t="s">
        <v>29</v>
      </c>
      <c r="D1949" s="5" t="s">
        <v>30</v>
      </c>
      <c r="E1949" s="5" t="s">
        <v>73</v>
      </c>
      <c r="F1949" s="9">
        <v>102</v>
      </c>
      <c r="G1949" s="9">
        <v>1253</v>
      </c>
      <c r="H1949" s="5" t="s">
        <v>21</v>
      </c>
      <c r="I1949" s="5" t="s">
        <v>5090</v>
      </c>
      <c r="J1949" s="12" t="str">
        <f>HYPERLINK("https://www.boe.es/gazeta/dias/1802/12/17/pdfs/GMD-1802-102.pdf#page=9","Abrir facsímil")</f>
        <v>Abrir facsímil</v>
      </c>
      <c r="K1949" s="15" t="s">
        <v>23</v>
      </c>
    </row>
    <row r="1950" spans="1:11" ht="42" customHeight="1">
      <c r="A1950" s="4" t="s">
        <v>5091</v>
      </c>
      <c r="B1950" s="5" t="s">
        <v>5092</v>
      </c>
      <c r="C1950" s="5" t="s">
        <v>29</v>
      </c>
      <c r="D1950" s="5" t="s">
        <v>30</v>
      </c>
      <c r="E1950" s="5" t="s">
        <v>152</v>
      </c>
      <c r="F1950" s="9">
        <v>25</v>
      </c>
      <c r="G1950" s="9">
        <v>286</v>
      </c>
      <c r="H1950" s="5" t="s">
        <v>21</v>
      </c>
      <c r="I1950" s="5" t="s">
        <v>5093</v>
      </c>
      <c r="J1950" s="12" t="str">
        <f>HYPERLINK("https://www.boe.es/gazeta/dias/1802/03/26/pdfs/GMD-1802-25.pdf#page=10","Abrir facsímil")</f>
        <v>Abrir facsímil</v>
      </c>
      <c r="K1950" s="15" t="s">
        <v>23</v>
      </c>
    </row>
    <row r="1951" spans="1:11" ht="42" customHeight="1">
      <c r="A1951" s="4" t="s">
        <v>5094</v>
      </c>
      <c r="B1951" s="5" t="s">
        <v>5095</v>
      </c>
      <c r="C1951" s="5" t="s">
        <v>18</v>
      </c>
      <c r="D1951" s="5" t="s">
        <v>19</v>
      </c>
      <c r="E1951" s="5" t="s">
        <v>49</v>
      </c>
      <c r="F1951" s="9">
        <v>83</v>
      </c>
      <c r="G1951" s="9">
        <v>1025</v>
      </c>
      <c r="H1951" s="5" t="s">
        <v>21</v>
      </c>
      <c r="I1951" s="5" t="s">
        <v>5096</v>
      </c>
      <c r="J1951" s="12" t="str">
        <f>HYPERLINK("https://www.boe.es/gazeta/dias/1802/10/12/pdfs/GMD-1802-83.pdf#page=13","Abrir facsímil")</f>
        <v>Abrir facsímil</v>
      </c>
      <c r="K1951" s="15" t="s">
        <v>23</v>
      </c>
    </row>
    <row r="1952" spans="1:11" ht="42" customHeight="1">
      <c r="A1952" s="4" t="s">
        <v>5097</v>
      </c>
      <c r="B1952" s="5" t="s">
        <v>5098</v>
      </c>
      <c r="C1952" s="5" t="s">
        <v>160</v>
      </c>
      <c r="D1952" s="5" t="s">
        <v>91</v>
      </c>
      <c r="E1952" s="5" t="s">
        <v>530</v>
      </c>
      <c r="F1952" s="9">
        <v>48</v>
      </c>
      <c r="G1952" s="9">
        <v>585</v>
      </c>
      <c r="H1952" s="5" t="s">
        <v>21</v>
      </c>
      <c r="I1952" s="5" t="s">
        <v>5099</v>
      </c>
      <c r="J1952" s="12" t="str">
        <f>HYPERLINK("https://www.boe.es/gazeta/dias/1802/06/15/pdfs/GMD-1802-48.pdf#page=9","Abrir facsímil")</f>
        <v>Abrir facsímil</v>
      </c>
      <c r="K1952" s="15" t="s">
        <v>23</v>
      </c>
    </row>
    <row r="1953" spans="1:11" ht="42" customHeight="1">
      <c r="A1953" s="4" t="s">
        <v>5097</v>
      </c>
      <c r="B1953" s="5" t="s">
        <v>5098</v>
      </c>
      <c r="C1953" s="5" t="s">
        <v>18</v>
      </c>
      <c r="D1953" s="5" t="s">
        <v>19</v>
      </c>
      <c r="E1953" s="5" t="s">
        <v>491</v>
      </c>
      <c r="F1953" s="9">
        <v>57</v>
      </c>
      <c r="G1953" s="9">
        <v>689</v>
      </c>
      <c r="H1953" s="5" t="s">
        <v>21</v>
      </c>
      <c r="I1953" s="5" t="s">
        <v>5100</v>
      </c>
      <c r="J1953" s="12" t="str">
        <f>HYPERLINK("https://www.boe.es/gazeta/dias/1802/07/16/pdfs/GMD-1802-57.pdf#page=9","Abrir facsímil")</f>
        <v>Abrir facsímil</v>
      </c>
      <c r="K1953" s="15" t="s">
        <v>23</v>
      </c>
    </row>
    <row r="1954" spans="1:11" ht="42" customHeight="1">
      <c r="A1954" s="4" t="s">
        <v>5097</v>
      </c>
      <c r="B1954" s="5" t="s">
        <v>5098</v>
      </c>
      <c r="C1954" s="5" t="s">
        <v>18</v>
      </c>
      <c r="D1954" s="5" t="s">
        <v>19</v>
      </c>
      <c r="E1954" s="5" t="s">
        <v>49</v>
      </c>
      <c r="F1954" s="9">
        <v>83</v>
      </c>
      <c r="G1954" s="9">
        <v>1022</v>
      </c>
      <c r="H1954" s="5" t="s">
        <v>21</v>
      </c>
      <c r="I1954" s="5" t="s">
        <v>5101</v>
      </c>
      <c r="J1954" s="12" t="str">
        <f>HYPERLINK("https://www.boe.es/gazeta/dias/1802/10/12/pdfs/GMD-1802-83.pdf#page=10","Abrir facsímil")</f>
        <v>Abrir facsímil</v>
      </c>
      <c r="K1954" s="15" t="s">
        <v>23</v>
      </c>
    </row>
    <row r="1955" spans="1:11" ht="42" customHeight="1">
      <c r="A1955" s="4" t="s">
        <v>5102</v>
      </c>
      <c r="B1955" s="5" t="s">
        <v>5103</v>
      </c>
      <c r="C1955" s="5" t="s">
        <v>29</v>
      </c>
      <c r="D1955" s="5" t="s">
        <v>30</v>
      </c>
      <c r="E1955" s="5" t="s">
        <v>82</v>
      </c>
      <c r="F1955" s="9">
        <v>74</v>
      </c>
      <c r="G1955" s="9">
        <v>915</v>
      </c>
      <c r="H1955" s="5" t="s">
        <v>21</v>
      </c>
      <c r="I1955" s="5" t="s">
        <v>5104</v>
      </c>
      <c r="J1955" s="12" t="str">
        <f>HYPERLINK("https://www.boe.es/gazeta/dias/1802/09/10/pdfs/GMD-1802-74.pdf#page=11","Abrir facsímil")</f>
        <v>Abrir facsímil</v>
      </c>
      <c r="K1955" s="15" t="s">
        <v>23</v>
      </c>
    </row>
    <row r="1956" spans="1:11" ht="42" customHeight="1">
      <c r="A1956" s="4" t="s">
        <v>5105</v>
      </c>
      <c r="B1956" s="5" t="s">
        <v>5106</v>
      </c>
      <c r="C1956" s="5" t="s">
        <v>29</v>
      </c>
      <c r="D1956" s="5" t="s">
        <v>30</v>
      </c>
      <c r="E1956" s="5" t="s">
        <v>86</v>
      </c>
      <c r="F1956" s="9">
        <v>26</v>
      </c>
      <c r="G1956" s="9">
        <v>298</v>
      </c>
      <c r="H1956" s="5" t="s">
        <v>21</v>
      </c>
      <c r="I1956" s="5" t="s">
        <v>5107</v>
      </c>
      <c r="J1956" s="12" t="str">
        <f>HYPERLINK("https://www.boe.es/gazeta/dias/1802/03/30/pdfs/GMD-1802-26.pdf#page=10","Abrir facsímil")</f>
        <v>Abrir facsímil</v>
      </c>
      <c r="K1956" s="15" t="s">
        <v>23</v>
      </c>
    </row>
    <row r="1957" spans="1:11" ht="42" customHeight="1">
      <c r="A1957" s="4" t="s">
        <v>5108</v>
      </c>
      <c r="B1957" s="5" t="s">
        <v>5109</v>
      </c>
      <c r="C1957" s="5" t="s">
        <v>55</v>
      </c>
      <c r="D1957" s="5" t="s">
        <v>56</v>
      </c>
      <c r="E1957" s="5" t="s">
        <v>185</v>
      </c>
      <c r="F1957" s="9">
        <v>95</v>
      </c>
      <c r="G1957" s="9">
        <v>1176</v>
      </c>
      <c r="H1957" s="5" t="s">
        <v>21</v>
      </c>
      <c r="I1957" s="5" t="s">
        <v>5110</v>
      </c>
      <c r="J1957" s="12" t="str">
        <f>HYPERLINK("https://www.boe.es/gazeta/dias/1802/11/23/pdfs/GMD-1802-95.pdf#page=12","Abrir facsímil")</f>
        <v>Abrir facsímil</v>
      </c>
      <c r="K1957" s="15" t="s">
        <v>23</v>
      </c>
    </row>
    <row r="1958" spans="1:11" ht="42" customHeight="1">
      <c r="A1958" s="4" t="s">
        <v>5111</v>
      </c>
      <c r="B1958" s="5" t="s">
        <v>5112</v>
      </c>
      <c r="C1958" s="5" t="s">
        <v>160</v>
      </c>
      <c r="D1958" s="5" t="s">
        <v>91</v>
      </c>
      <c r="E1958" s="5" t="s">
        <v>20</v>
      </c>
      <c r="F1958" s="9">
        <v>84</v>
      </c>
      <c r="G1958" s="9">
        <v>1040</v>
      </c>
      <c r="H1958" s="5" t="s">
        <v>21</v>
      </c>
      <c r="I1958" s="5" t="s">
        <v>5113</v>
      </c>
      <c r="J1958" s="12" t="str">
        <f>HYPERLINK("https://www.boe.es/gazeta/dias/1802/10/15/pdfs/GMD-1802-84.pdf#page=8","Abrir facsímil")</f>
        <v>Abrir facsímil</v>
      </c>
      <c r="K1958" s="15" t="s">
        <v>23</v>
      </c>
    </row>
    <row r="1959" spans="1:11" ht="42" customHeight="1">
      <c r="A1959" s="4" t="s">
        <v>5114</v>
      </c>
      <c r="B1959" s="5" t="s">
        <v>5115</v>
      </c>
      <c r="C1959" s="5" t="s">
        <v>29</v>
      </c>
      <c r="D1959" s="5" t="s">
        <v>30</v>
      </c>
      <c r="E1959" s="5" t="s">
        <v>453</v>
      </c>
      <c r="F1959" s="9">
        <v>52</v>
      </c>
      <c r="G1959" s="9">
        <v>631</v>
      </c>
      <c r="H1959" s="5" t="s">
        <v>21</v>
      </c>
      <c r="I1959" s="5" t="s">
        <v>5116</v>
      </c>
      <c r="J1959" s="12" t="str">
        <f>HYPERLINK("https://www.boe.es/gazeta/dias/1802/06/29/pdfs/GMD-1802-52.pdf#page=7","Abrir facsímil")</f>
        <v>Abrir facsímil</v>
      </c>
      <c r="K1959" s="15" t="s">
        <v>23</v>
      </c>
    </row>
    <row r="1960" spans="1:11" ht="42" customHeight="1">
      <c r="A1960" s="4" t="s">
        <v>5117</v>
      </c>
      <c r="B1960" s="5" t="s">
        <v>5118</v>
      </c>
      <c r="C1960" s="5" t="s">
        <v>18</v>
      </c>
      <c r="D1960" s="5" t="s">
        <v>19</v>
      </c>
      <c r="E1960" s="5" t="s">
        <v>20</v>
      </c>
      <c r="F1960" s="9">
        <v>84</v>
      </c>
      <c r="G1960" s="9">
        <v>1040</v>
      </c>
      <c r="H1960" s="5" t="s">
        <v>21</v>
      </c>
      <c r="I1960" s="5" t="s">
        <v>5119</v>
      </c>
      <c r="J1960" s="12" t="str">
        <f>HYPERLINK("https://www.boe.es/gazeta/dias/1802/10/15/pdfs/GMD-1802-84.pdf#page=8","Abrir facsímil")</f>
        <v>Abrir facsímil</v>
      </c>
      <c r="K1960" s="15" t="s">
        <v>23</v>
      </c>
    </row>
    <row r="1961" spans="1:11" ht="42" customHeight="1">
      <c r="A1961" s="4" t="s">
        <v>5120</v>
      </c>
      <c r="B1961" s="5" t="s">
        <v>5121</v>
      </c>
      <c r="C1961" s="5" t="s">
        <v>18</v>
      </c>
      <c r="D1961" s="5" t="s">
        <v>19</v>
      </c>
      <c r="E1961" s="5" t="s">
        <v>49</v>
      </c>
      <c r="F1961" s="9">
        <v>83</v>
      </c>
      <c r="G1961" s="9">
        <v>1024</v>
      </c>
      <c r="H1961" s="5" t="s">
        <v>21</v>
      </c>
      <c r="I1961" s="5" t="s">
        <v>5122</v>
      </c>
      <c r="J1961" s="12" t="str">
        <f>HYPERLINK("https://www.boe.es/gazeta/dias/1802/10/12/pdfs/GMD-1802-83.pdf#page=12","Abrir facsímil")</f>
        <v>Abrir facsímil</v>
      </c>
      <c r="K1961" s="15" t="s">
        <v>23</v>
      </c>
    </row>
    <row r="1962" spans="1:11" ht="42" customHeight="1">
      <c r="A1962" s="4" t="s">
        <v>5123</v>
      </c>
      <c r="B1962" s="5" t="s">
        <v>5124</v>
      </c>
      <c r="C1962" s="5" t="s">
        <v>29</v>
      </c>
      <c r="D1962" s="5" t="s">
        <v>30</v>
      </c>
      <c r="E1962" s="5" t="s">
        <v>1407</v>
      </c>
      <c r="F1962" s="9">
        <v>8</v>
      </c>
      <c r="G1962" s="9">
        <v>78</v>
      </c>
      <c r="H1962" s="5" t="s">
        <v>21</v>
      </c>
      <c r="I1962" s="5" t="s">
        <v>5125</v>
      </c>
      <c r="J1962" s="12" t="str">
        <f>HYPERLINK("https://www.boe.es/gazeta/dias/1802/01/26/pdfs/GMD-1802-8.pdf#page=6","Abrir facsímil")</f>
        <v>Abrir facsímil</v>
      </c>
      <c r="K1962" s="15" t="s">
        <v>23</v>
      </c>
    </row>
    <row r="1963" spans="1:11" ht="42" customHeight="1">
      <c r="A1963" s="4" t="s">
        <v>5126</v>
      </c>
      <c r="B1963" s="5" t="s">
        <v>5127</v>
      </c>
      <c r="C1963" s="5" t="s">
        <v>18</v>
      </c>
      <c r="D1963" s="5" t="s">
        <v>19</v>
      </c>
      <c r="E1963" s="5" t="s">
        <v>1185</v>
      </c>
      <c r="F1963" s="9">
        <v>93</v>
      </c>
      <c r="G1963" s="9">
        <v>1149</v>
      </c>
      <c r="H1963" s="5" t="s">
        <v>21</v>
      </c>
      <c r="I1963" s="5" t="s">
        <v>5128</v>
      </c>
      <c r="J1963" s="12" t="str">
        <f>HYPERLINK("https://www.boe.es/gazeta/dias/1802/11/16/pdfs/GMD-1802-93.pdf#page=9","Abrir facsímil")</f>
        <v>Abrir facsímil</v>
      </c>
      <c r="K1963" s="15" t="s">
        <v>23</v>
      </c>
    </row>
    <row r="1964" spans="1:11" ht="42" customHeight="1">
      <c r="A1964" s="4" t="s">
        <v>5129</v>
      </c>
      <c r="B1964" s="5" t="s">
        <v>5130</v>
      </c>
      <c r="C1964" s="5" t="s">
        <v>90</v>
      </c>
      <c r="D1964" s="5" t="s">
        <v>91</v>
      </c>
      <c r="E1964" s="5" t="s">
        <v>1407</v>
      </c>
      <c r="F1964" s="9">
        <v>8</v>
      </c>
      <c r="G1964" s="9">
        <v>78</v>
      </c>
      <c r="H1964" s="5" t="s">
        <v>21</v>
      </c>
      <c r="I1964" s="5" t="s">
        <v>5131</v>
      </c>
      <c r="J1964" s="12" t="str">
        <f>HYPERLINK("https://www.boe.es/gazeta/dias/1802/01/26/pdfs/GMD-1802-8.pdf#page=6","Abrir facsímil")</f>
        <v>Abrir facsímil</v>
      </c>
      <c r="K1964" s="15" t="s">
        <v>23</v>
      </c>
    </row>
    <row r="1965" spans="1:11" ht="42" customHeight="1">
      <c r="A1965" s="4" t="s">
        <v>5132</v>
      </c>
      <c r="B1965" s="5" t="s">
        <v>5133</v>
      </c>
      <c r="C1965" s="5" t="s">
        <v>160</v>
      </c>
      <c r="D1965" s="5" t="s">
        <v>91</v>
      </c>
      <c r="E1965" s="5" t="s">
        <v>1332</v>
      </c>
      <c r="F1965" s="9">
        <v>4</v>
      </c>
      <c r="G1965" s="9">
        <v>39</v>
      </c>
      <c r="H1965" s="5" t="s">
        <v>21</v>
      </c>
      <c r="I1965" s="5" t="s">
        <v>5134</v>
      </c>
      <c r="J1965" s="12" t="str">
        <f>HYPERLINK("https://www.boe.es/gazeta/dias/1802/01/12/pdfs/GMD-1802-4.pdf#page=11","Abrir facsímil")</f>
        <v>Abrir facsímil</v>
      </c>
      <c r="K1965" s="15" t="s">
        <v>23</v>
      </c>
    </row>
    <row r="1966" spans="1:11" ht="42" customHeight="1">
      <c r="A1966" s="4" t="s">
        <v>5132</v>
      </c>
      <c r="B1966" s="5" t="s">
        <v>5133</v>
      </c>
      <c r="C1966" s="5" t="s">
        <v>55</v>
      </c>
      <c r="D1966" s="5" t="s">
        <v>56</v>
      </c>
      <c r="E1966" s="5" t="s">
        <v>328</v>
      </c>
      <c r="F1966" s="9">
        <v>45</v>
      </c>
      <c r="G1966" s="9">
        <v>546</v>
      </c>
      <c r="H1966" s="5" t="s">
        <v>21</v>
      </c>
      <c r="I1966" s="5" t="s">
        <v>5135</v>
      </c>
      <c r="J1966" s="12" t="str">
        <f>HYPERLINK("https://www.boe.es/gazeta/dias/1802/06/04/pdfs/GMD-1802-45.pdf#page=10","Abrir facsímil")</f>
        <v>Abrir facsímil</v>
      </c>
      <c r="K1966" s="15" t="s">
        <v>23</v>
      </c>
    </row>
    <row r="1967" spans="1:11" ht="42" customHeight="1">
      <c r="A1967" s="4" t="s">
        <v>5136</v>
      </c>
      <c r="B1967" s="5" t="s">
        <v>5137</v>
      </c>
      <c r="C1967" s="5" t="s">
        <v>29</v>
      </c>
      <c r="D1967" s="5" t="s">
        <v>30</v>
      </c>
      <c r="E1967" s="5" t="s">
        <v>1588</v>
      </c>
      <c r="F1967" s="9">
        <v>18</v>
      </c>
      <c r="G1967" s="9">
        <v>197</v>
      </c>
      <c r="H1967" s="5" t="s">
        <v>21</v>
      </c>
      <c r="I1967" s="5" t="s">
        <v>5138</v>
      </c>
      <c r="J1967" s="12" t="str">
        <f>HYPERLINK("https://www.boe.es/gazeta/dias/1802/03/02/pdfs/GMD-1802-18.pdf#page=9","Abrir facsímil")</f>
        <v>Abrir facsímil</v>
      </c>
      <c r="K1967" s="15" t="s">
        <v>23</v>
      </c>
    </row>
    <row r="1968" spans="1:11" ht="42" customHeight="1">
      <c r="A1968" s="4" t="s">
        <v>5139</v>
      </c>
      <c r="B1968" s="5" t="s">
        <v>5140</v>
      </c>
      <c r="C1968" s="5" t="s">
        <v>55</v>
      </c>
      <c r="D1968" s="5" t="s">
        <v>56</v>
      </c>
      <c r="E1968" s="5" t="s">
        <v>1113</v>
      </c>
      <c r="F1968" s="9">
        <v>6</v>
      </c>
      <c r="G1968" s="9">
        <v>58</v>
      </c>
      <c r="H1968" s="5" t="s">
        <v>21</v>
      </c>
      <c r="I1968" s="5" t="s">
        <v>5141</v>
      </c>
      <c r="J1968" s="12" t="str">
        <f>HYPERLINK("https://www.boe.es/gazeta/dias/1802/01/19/pdfs/GMD-1802-6.pdf#page=6","Abrir facsímil")</f>
        <v>Abrir facsímil</v>
      </c>
      <c r="K1968" s="15" t="s">
        <v>23</v>
      </c>
    </row>
    <row r="1969" spans="1:11" ht="42" customHeight="1">
      <c r="A1969" s="4" t="s">
        <v>5142</v>
      </c>
      <c r="B1969" s="5" t="s">
        <v>5143</v>
      </c>
      <c r="C1969" s="5" t="s">
        <v>29</v>
      </c>
      <c r="D1969" s="5" t="s">
        <v>30</v>
      </c>
      <c r="E1969" s="5" t="s">
        <v>192</v>
      </c>
      <c r="F1969" s="9">
        <v>53</v>
      </c>
      <c r="G1969" s="9">
        <v>642</v>
      </c>
      <c r="H1969" s="5" t="s">
        <v>21</v>
      </c>
      <c r="I1969" s="5" t="s">
        <v>5144</v>
      </c>
      <c r="J1969" s="12" t="str">
        <f>HYPERLINK("https://www.boe.es/gazeta/dias/1802/07/02/pdfs/GMD-1802-53.pdf#page=10","Abrir facsímil")</f>
        <v>Abrir facsímil</v>
      </c>
      <c r="K1969" s="15" t="s">
        <v>23</v>
      </c>
    </row>
    <row r="1970" spans="1:11" ht="42" customHeight="1">
      <c r="A1970" s="4" t="s">
        <v>5145</v>
      </c>
      <c r="B1970" s="5" t="s">
        <v>5146</v>
      </c>
      <c r="C1970" s="5" t="s">
        <v>18</v>
      </c>
      <c r="D1970" s="5" t="s">
        <v>19</v>
      </c>
      <c r="E1970" s="5" t="s">
        <v>328</v>
      </c>
      <c r="F1970" s="9">
        <v>45</v>
      </c>
      <c r="G1970" s="9">
        <v>541</v>
      </c>
      <c r="H1970" s="5" t="s">
        <v>21</v>
      </c>
      <c r="I1970" s="5" t="s">
        <v>5147</v>
      </c>
      <c r="J1970" s="12" t="str">
        <f>HYPERLINK("https://www.boe.es/gazeta/dias/1802/06/04/pdfs/GMD-1802-45.pdf#page=5","Abrir facsímil")</f>
        <v>Abrir facsímil</v>
      </c>
      <c r="K1970" s="15" t="s">
        <v>23</v>
      </c>
    </row>
    <row r="1971" spans="1:11" ht="42" customHeight="1">
      <c r="A1971" s="4" t="s">
        <v>5148</v>
      </c>
      <c r="B1971" s="5" t="s">
        <v>5149</v>
      </c>
      <c r="C1971" s="5" t="s">
        <v>18</v>
      </c>
      <c r="D1971" s="5" t="s">
        <v>19</v>
      </c>
      <c r="E1971" s="5" t="s">
        <v>152</v>
      </c>
      <c r="F1971" s="9">
        <v>25</v>
      </c>
      <c r="G1971" s="9">
        <v>284</v>
      </c>
      <c r="H1971" s="5" t="s">
        <v>21</v>
      </c>
      <c r="I1971" s="5" t="s">
        <v>5150</v>
      </c>
      <c r="J1971" s="12" t="str">
        <f>HYPERLINK("https://www.boe.es/gazeta/dias/1802/03/26/pdfs/GMD-1802-25.pdf#page=8","Abrir facsímil")</f>
        <v>Abrir facsímil</v>
      </c>
      <c r="K1971" s="15" t="s">
        <v>23</v>
      </c>
    </row>
    <row r="1972" spans="1:11" ht="42" customHeight="1">
      <c r="A1972" s="4" t="s">
        <v>5151</v>
      </c>
      <c r="B1972" s="5" t="s">
        <v>5152</v>
      </c>
      <c r="C1972" s="5" t="s">
        <v>18</v>
      </c>
      <c r="D1972" s="5" t="s">
        <v>19</v>
      </c>
      <c r="E1972" s="5" t="s">
        <v>20</v>
      </c>
      <c r="F1972" s="9">
        <v>84</v>
      </c>
      <c r="G1972" s="9">
        <v>1046</v>
      </c>
      <c r="H1972" s="5" t="s">
        <v>21</v>
      </c>
      <c r="I1972" s="5" t="s">
        <v>5153</v>
      </c>
      <c r="J1972" s="12" t="str">
        <f>HYPERLINK("https://www.boe.es/gazeta/dias/1802/10/15/pdfs/GMD-1802-84.pdf#page=14","Abrir facsímil")</f>
        <v>Abrir facsímil</v>
      </c>
      <c r="K1972" s="15" t="s">
        <v>23</v>
      </c>
    </row>
    <row r="1973" spans="1:11" ht="42" customHeight="1">
      <c r="A1973" s="4" t="s">
        <v>5154</v>
      </c>
      <c r="B1973" s="5" t="s">
        <v>5155</v>
      </c>
      <c r="C1973" s="5" t="s">
        <v>18</v>
      </c>
      <c r="D1973" s="5" t="s">
        <v>19</v>
      </c>
      <c r="E1973" s="5" t="s">
        <v>49</v>
      </c>
      <c r="F1973" s="9">
        <v>83</v>
      </c>
      <c r="G1973" s="9">
        <v>1025</v>
      </c>
      <c r="H1973" s="5" t="s">
        <v>21</v>
      </c>
      <c r="I1973" s="5" t="s">
        <v>5156</v>
      </c>
      <c r="J1973" s="12" t="str">
        <f>HYPERLINK("https://www.boe.es/gazeta/dias/1802/10/12/pdfs/GMD-1802-83.pdf#page=13","Abrir facsímil")</f>
        <v>Abrir facsímil</v>
      </c>
      <c r="K1973" s="15" t="s">
        <v>23</v>
      </c>
    </row>
    <row r="1974" spans="1:11" ht="42" customHeight="1">
      <c r="A1974" s="4" t="s">
        <v>5157</v>
      </c>
      <c r="B1974" s="5" t="s">
        <v>5158</v>
      </c>
      <c r="C1974" s="5" t="s">
        <v>18</v>
      </c>
      <c r="D1974" s="5" t="s">
        <v>19</v>
      </c>
      <c r="E1974" s="5" t="s">
        <v>49</v>
      </c>
      <c r="F1974" s="9">
        <v>83</v>
      </c>
      <c r="G1974" s="9">
        <v>1024</v>
      </c>
      <c r="H1974" s="5" t="s">
        <v>21</v>
      </c>
      <c r="I1974" s="5" t="s">
        <v>5159</v>
      </c>
      <c r="J1974" s="12" t="str">
        <f>HYPERLINK("https://www.boe.es/gazeta/dias/1802/10/12/pdfs/GMD-1802-83.pdf#page=12","Abrir facsímil")</f>
        <v>Abrir facsímil</v>
      </c>
      <c r="K1974" s="15" t="s">
        <v>23</v>
      </c>
    </row>
    <row r="1975" spans="1:11" ht="42" customHeight="1">
      <c r="A1975" s="4" t="s">
        <v>5160</v>
      </c>
      <c r="B1975" s="5" t="s">
        <v>5161</v>
      </c>
      <c r="C1975" s="5" t="s">
        <v>572</v>
      </c>
      <c r="D1975" s="5" t="s">
        <v>573</v>
      </c>
      <c r="E1975" s="5" t="s">
        <v>574</v>
      </c>
      <c r="F1975" s="9" t="s">
        <v>575</v>
      </c>
      <c r="G1975" s="9">
        <v>712</v>
      </c>
      <c r="H1975" s="5" t="s">
        <v>21</v>
      </c>
      <c r="I1975" s="5" t="s">
        <v>5162</v>
      </c>
      <c r="J1975" s="12" t="str">
        <f>HYPERLINK("https://www.boe.es/gazeta/dias/1802/07/21/pdfs/GMD-1802-59E.pdf#page=8","Abrir facsímil")</f>
        <v>Abrir facsímil</v>
      </c>
      <c r="K1975" s="15" t="s">
        <v>23</v>
      </c>
    </row>
    <row r="1976" spans="1:11" ht="42" customHeight="1">
      <c r="A1976" s="4" t="s">
        <v>5163</v>
      </c>
      <c r="B1976" s="5" t="s">
        <v>5164</v>
      </c>
      <c r="C1976" s="5" t="s">
        <v>160</v>
      </c>
      <c r="D1976" s="5" t="s">
        <v>91</v>
      </c>
      <c r="E1976" s="5" t="s">
        <v>865</v>
      </c>
      <c r="F1976" s="9">
        <v>12</v>
      </c>
      <c r="G1976" s="9">
        <v>123</v>
      </c>
      <c r="H1976" s="5" t="s">
        <v>21</v>
      </c>
      <c r="I1976" s="5" t="s">
        <v>5165</v>
      </c>
      <c r="J1976" s="12" t="str">
        <f>HYPERLINK("https://www.boe.es/gazeta/dias/1802/02/09/pdfs/GMD-1802-12.pdf#page=7","Abrir facsímil")</f>
        <v>Abrir facsímil</v>
      </c>
      <c r="K1976" s="15" t="s">
        <v>23</v>
      </c>
    </row>
    <row r="1977" spans="1:11" ht="42" customHeight="1">
      <c r="A1977" s="4" t="s">
        <v>5163</v>
      </c>
      <c r="B1977" s="5" t="s">
        <v>5164</v>
      </c>
      <c r="C1977" s="5" t="s">
        <v>18</v>
      </c>
      <c r="D1977" s="5" t="s">
        <v>19</v>
      </c>
      <c r="E1977" s="5" t="s">
        <v>31</v>
      </c>
      <c r="F1977" s="9">
        <v>27</v>
      </c>
      <c r="G1977" s="9">
        <v>319</v>
      </c>
      <c r="H1977" s="5" t="s">
        <v>21</v>
      </c>
      <c r="I1977" s="5" t="s">
        <v>5166</v>
      </c>
      <c r="J1977" s="12" t="str">
        <f>HYPERLINK("https://www.boe.es/gazeta/dias/1802/04/02/pdfs/GMD-1802-27.pdf#page=15","Abrir facsímil")</f>
        <v>Abrir facsímil</v>
      </c>
      <c r="K1977" s="15" t="s">
        <v>23</v>
      </c>
    </row>
    <row r="1978" spans="1:11" ht="42" customHeight="1">
      <c r="A1978" s="4" t="s">
        <v>5167</v>
      </c>
      <c r="B1978" s="5" t="s">
        <v>5168</v>
      </c>
      <c r="C1978" s="5" t="s">
        <v>18</v>
      </c>
      <c r="D1978" s="5" t="s">
        <v>19</v>
      </c>
      <c r="E1978" s="5" t="s">
        <v>49</v>
      </c>
      <c r="F1978" s="9">
        <v>83</v>
      </c>
      <c r="G1978" s="9">
        <v>1019</v>
      </c>
      <c r="H1978" s="5" t="s">
        <v>21</v>
      </c>
      <c r="I1978" s="5" t="s">
        <v>5169</v>
      </c>
      <c r="J1978" s="12" t="str">
        <f>HYPERLINK("https://www.boe.es/gazeta/dias/1802/10/12/pdfs/GMD-1802-83.pdf#page=7","Abrir facsímil")</f>
        <v>Abrir facsímil</v>
      </c>
      <c r="K1978" s="15" t="s">
        <v>23</v>
      </c>
    </row>
    <row r="1979" spans="1:11" ht="42" customHeight="1">
      <c r="A1979" s="4" t="s">
        <v>5170</v>
      </c>
      <c r="B1979" s="5" t="s">
        <v>5171</v>
      </c>
      <c r="C1979" s="5" t="s">
        <v>18</v>
      </c>
      <c r="D1979" s="5" t="s">
        <v>19</v>
      </c>
      <c r="E1979" s="5" t="s">
        <v>49</v>
      </c>
      <c r="F1979" s="9">
        <v>83</v>
      </c>
      <c r="G1979" s="9">
        <v>1025</v>
      </c>
      <c r="H1979" s="5" t="s">
        <v>21</v>
      </c>
      <c r="I1979" s="5" t="s">
        <v>5172</v>
      </c>
      <c r="J1979" s="12" t="str">
        <f>HYPERLINK("https://www.boe.es/gazeta/dias/1802/10/12/pdfs/GMD-1802-83.pdf#page=13","Abrir facsímil")</f>
        <v>Abrir facsímil</v>
      </c>
      <c r="K1979" s="15" t="s">
        <v>23</v>
      </c>
    </row>
    <row r="1980" spans="1:11" ht="42" customHeight="1">
      <c r="A1980" s="4" t="s">
        <v>5173</v>
      </c>
      <c r="B1980" s="5" t="s">
        <v>5174</v>
      </c>
      <c r="C1980" s="5" t="s">
        <v>29</v>
      </c>
      <c r="D1980" s="5" t="s">
        <v>30</v>
      </c>
      <c r="E1980" s="5" t="s">
        <v>170</v>
      </c>
      <c r="F1980" s="9">
        <v>28</v>
      </c>
      <c r="G1980" s="9">
        <v>330</v>
      </c>
      <c r="H1980" s="5" t="s">
        <v>21</v>
      </c>
      <c r="I1980" s="5" t="s">
        <v>5175</v>
      </c>
      <c r="J1980" s="12" t="str">
        <f>HYPERLINK("https://www.boe.es/gazeta/dias/1802/04/06/pdfs/GMD-1802-28.pdf#page=10","Abrir facsímil")</f>
        <v>Abrir facsímil</v>
      </c>
      <c r="K1980" s="15" t="s">
        <v>23</v>
      </c>
    </row>
    <row r="1981" spans="1:11" ht="42" customHeight="1">
      <c r="A1981" s="4" t="s">
        <v>5176</v>
      </c>
      <c r="B1981" s="5" t="s">
        <v>5177</v>
      </c>
      <c r="C1981" s="5" t="s">
        <v>18</v>
      </c>
      <c r="D1981" s="5" t="s">
        <v>19</v>
      </c>
      <c r="E1981" s="5" t="s">
        <v>49</v>
      </c>
      <c r="F1981" s="9">
        <v>83</v>
      </c>
      <c r="G1981" s="9">
        <v>1020</v>
      </c>
      <c r="H1981" s="5" t="s">
        <v>21</v>
      </c>
      <c r="I1981" s="5" t="s">
        <v>5178</v>
      </c>
      <c r="J1981" s="12" t="str">
        <f>HYPERLINK("https://www.boe.es/gazeta/dias/1802/10/12/pdfs/GMD-1802-83.pdf#page=8","Abrir facsímil")</f>
        <v>Abrir facsímil</v>
      </c>
      <c r="K1981" s="15" t="s">
        <v>23</v>
      </c>
    </row>
    <row r="1982" spans="1:11" ht="42" customHeight="1">
      <c r="A1982" s="4" t="s">
        <v>5179</v>
      </c>
      <c r="B1982" s="5" t="s">
        <v>5180</v>
      </c>
      <c r="C1982" s="5" t="s">
        <v>42</v>
      </c>
      <c r="D1982" s="5" t="s">
        <v>43</v>
      </c>
      <c r="E1982" s="5" t="s">
        <v>44</v>
      </c>
      <c r="F1982" s="9">
        <v>99</v>
      </c>
      <c r="G1982" s="9" t="s">
        <v>295</v>
      </c>
      <c r="H1982" s="5" t="s">
        <v>21</v>
      </c>
      <c r="I1982" s="5" t="s">
        <v>5181</v>
      </c>
      <c r="J1982" s="12" t="str">
        <f>HYPERLINK("https://www.boe.es/gazeta/dias/1802/12/07/pdfs/GMD-D-1802-99.pdf#page=7","Abrir facsímil")</f>
        <v>Abrir facsímil</v>
      </c>
      <c r="K1982" s="15" t="s">
        <v>23</v>
      </c>
    </row>
    <row r="1983" spans="1:11" ht="42" customHeight="1">
      <c r="A1983" s="4" t="s">
        <v>5182</v>
      </c>
      <c r="B1983" s="5" t="s">
        <v>5183</v>
      </c>
      <c r="C1983" s="5" t="s">
        <v>18</v>
      </c>
      <c r="D1983" s="5" t="s">
        <v>19</v>
      </c>
      <c r="E1983" s="5" t="s">
        <v>20</v>
      </c>
      <c r="F1983" s="9">
        <v>84</v>
      </c>
      <c r="G1983" s="9">
        <v>1042</v>
      </c>
      <c r="H1983" s="5" t="s">
        <v>21</v>
      </c>
      <c r="I1983" s="5" t="s">
        <v>5184</v>
      </c>
      <c r="J1983" s="12" t="str">
        <f>HYPERLINK("https://www.boe.es/gazeta/dias/1802/10/15/pdfs/GMD-1802-84.pdf#page=10","Abrir facsímil")</f>
        <v>Abrir facsímil</v>
      </c>
      <c r="K1983" s="15" t="s">
        <v>23</v>
      </c>
    </row>
    <row r="1984" spans="1:11" ht="42" customHeight="1">
      <c r="A1984" s="4" t="s">
        <v>5185</v>
      </c>
      <c r="B1984" s="5" t="s">
        <v>5186</v>
      </c>
      <c r="C1984" s="5" t="s">
        <v>18</v>
      </c>
      <c r="D1984" s="5" t="s">
        <v>19</v>
      </c>
      <c r="E1984" s="5" t="s">
        <v>655</v>
      </c>
      <c r="F1984" s="9">
        <v>46</v>
      </c>
      <c r="G1984" s="9">
        <v>560</v>
      </c>
      <c r="H1984" s="5" t="s">
        <v>21</v>
      </c>
      <c r="I1984" s="5" t="s">
        <v>5187</v>
      </c>
      <c r="J1984" s="12" t="str">
        <f>HYPERLINK("https://www.boe.es/gazeta/dias/1802/06/08/pdfs/GMD-1802-46.pdf#page=12","Abrir facsímil")</f>
        <v>Abrir facsímil</v>
      </c>
      <c r="K1984" s="15" t="s">
        <v>23</v>
      </c>
    </row>
    <row r="1985" spans="1:11" ht="42" customHeight="1">
      <c r="A1985" s="4" t="s">
        <v>5188</v>
      </c>
      <c r="B1985" s="5" t="s">
        <v>5189</v>
      </c>
      <c r="C1985" s="5" t="s">
        <v>18</v>
      </c>
      <c r="D1985" s="5" t="s">
        <v>19</v>
      </c>
      <c r="E1985" s="5" t="s">
        <v>20</v>
      </c>
      <c r="F1985" s="9">
        <v>84</v>
      </c>
      <c r="G1985" s="9">
        <v>1041</v>
      </c>
      <c r="H1985" s="5" t="s">
        <v>21</v>
      </c>
      <c r="I1985" s="5" t="s">
        <v>5190</v>
      </c>
      <c r="J1985" s="12" t="str">
        <f>HYPERLINK("https://www.boe.es/gazeta/dias/1802/10/15/pdfs/GMD-1802-84.pdf#page=9","Abrir facsímil")</f>
        <v>Abrir facsímil</v>
      </c>
      <c r="K1985" s="15" t="s">
        <v>23</v>
      </c>
    </row>
    <row r="1986" spans="1:11" ht="42" customHeight="1">
      <c r="A1986" s="4" t="s">
        <v>5191</v>
      </c>
      <c r="B1986" s="5" t="s">
        <v>5192</v>
      </c>
      <c r="C1986" s="5" t="s">
        <v>18</v>
      </c>
      <c r="D1986" s="5" t="s">
        <v>19</v>
      </c>
      <c r="E1986" s="5" t="s">
        <v>152</v>
      </c>
      <c r="F1986" s="9">
        <v>25</v>
      </c>
      <c r="G1986" s="9">
        <v>284</v>
      </c>
      <c r="H1986" s="5" t="s">
        <v>21</v>
      </c>
      <c r="I1986" s="5" t="s">
        <v>5193</v>
      </c>
      <c r="J1986" s="12" t="str">
        <f>HYPERLINK("https://www.boe.es/gazeta/dias/1802/03/26/pdfs/GMD-1802-25.pdf#page=8","Abrir facsímil")</f>
        <v>Abrir facsímil</v>
      </c>
      <c r="K1986" s="15" t="s">
        <v>23</v>
      </c>
    </row>
    <row r="1987" spans="1:11" ht="42" customHeight="1">
      <c r="A1987" s="4" t="s">
        <v>5191</v>
      </c>
      <c r="B1987" s="5" t="s">
        <v>5192</v>
      </c>
      <c r="C1987" s="5" t="s">
        <v>18</v>
      </c>
      <c r="D1987" s="5" t="s">
        <v>19</v>
      </c>
      <c r="E1987" s="5" t="s">
        <v>152</v>
      </c>
      <c r="F1987" s="9">
        <v>25</v>
      </c>
      <c r="G1987" s="9">
        <v>285</v>
      </c>
      <c r="H1987" s="5" t="s">
        <v>21</v>
      </c>
      <c r="I1987" s="5" t="s">
        <v>5194</v>
      </c>
      <c r="J1987" s="12" t="str">
        <f>HYPERLINK("https://www.boe.es/gazeta/dias/1802/03/26/pdfs/GMD-1802-25.pdf#page=9","Abrir facsímil")</f>
        <v>Abrir facsímil</v>
      </c>
      <c r="K1987" s="15" t="s">
        <v>23</v>
      </c>
    </row>
    <row r="1988" spans="1:11" ht="42" customHeight="1">
      <c r="A1988" s="4" t="s">
        <v>5195</v>
      </c>
      <c r="B1988" s="5" t="s">
        <v>5196</v>
      </c>
      <c r="C1988" s="5" t="s">
        <v>29</v>
      </c>
      <c r="D1988" s="5" t="s">
        <v>30</v>
      </c>
      <c r="E1988" s="5" t="s">
        <v>75</v>
      </c>
      <c r="F1988" s="9">
        <v>103</v>
      </c>
      <c r="G1988" s="9">
        <v>1262</v>
      </c>
      <c r="H1988" s="5" t="s">
        <v>21</v>
      </c>
      <c r="I1988" s="5" t="s">
        <v>5197</v>
      </c>
      <c r="J1988" s="12" t="str">
        <f>HYPERLINK("https://www.boe.es/gazeta/dias/1802/12/21/pdfs/GMD-1802-103.pdf#page=6","Abrir facsímil")</f>
        <v>Abrir facsímil</v>
      </c>
      <c r="K1988" s="15" t="s">
        <v>23</v>
      </c>
    </row>
    <row r="1989" spans="1:11" ht="42" customHeight="1">
      <c r="A1989" s="4" t="s">
        <v>5198</v>
      </c>
      <c r="B1989" s="5" t="s">
        <v>5199</v>
      </c>
      <c r="C1989" s="5" t="s">
        <v>18</v>
      </c>
      <c r="D1989" s="5" t="s">
        <v>19</v>
      </c>
      <c r="E1989" s="5" t="s">
        <v>49</v>
      </c>
      <c r="F1989" s="9">
        <v>83</v>
      </c>
      <c r="G1989" s="9">
        <v>1023</v>
      </c>
      <c r="H1989" s="5" t="s">
        <v>21</v>
      </c>
      <c r="I1989" s="5" t="s">
        <v>5200</v>
      </c>
      <c r="J1989" s="12" t="str">
        <f>HYPERLINK("https://www.boe.es/gazeta/dias/1802/10/12/pdfs/GMD-1802-83.pdf#page=11","Abrir facsímil")</f>
        <v>Abrir facsímil</v>
      </c>
      <c r="K1989" s="15" t="s">
        <v>23</v>
      </c>
    </row>
    <row r="1990" spans="1:11" ht="42" customHeight="1">
      <c r="A1990" s="4" t="s">
        <v>5201</v>
      </c>
      <c r="B1990" s="5" t="s">
        <v>5202</v>
      </c>
      <c r="C1990" s="5" t="s">
        <v>90</v>
      </c>
      <c r="D1990" s="5" t="s">
        <v>91</v>
      </c>
      <c r="E1990" s="5" t="s">
        <v>574</v>
      </c>
      <c r="F1990" s="9" t="s">
        <v>575</v>
      </c>
      <c r="G1990" s="9">
        <v>705</v>
      </c>
      <c r="H1990" s="5" t="s">
        <v>21</v>
      </c>
      <c r="I1990" s="5" t="s">
        <v>5203</v>
      </c>
      <c r="J1990" s="12" t="str">
        <f>HYPERLINK("https://www.boe.es/gazeta/dias/1802/07/21/pdfs/GMD-1802-59E.pdf#page=1","Abrir facsímil")</f>
        <v>Abrir facsímil</v>
      </c>
      <c r="K1990" s="15" t="s">
        <v>23</v>
      </c>
    </row>
    <row r="1991" spans="1:11" ht="42" customHeight="1">
      <c r="A1991" s="4" t="s">
        <v>5204</v>
      </c>
      <c r="B1991" s="5" t="s">
        <v>5205</v>
      </c>
      <c r="C1991" s="5" t="s">
        <v>29</v>
      </c>
      <c r="D1991" s="5" t="s">
        <v>30</v>
      </c>
      <c r="E1991" s="5" t="s">
        <v>530</v>
      </c>
      <c r="F1991" s="9">
        <v>48</v>
      </c>
      <c r="G1991" s="9">
        <v>586</v>
      </c>
      <c r="H1991" s="5" t="s">
        <v>21</v>
      </c>
      <c r="I1991" s="5" t="s">
        <v>5206</v>
      </c>
      <c r="J1991" s="12" t="str">
        <f>HYPERLINK("https://www.boe.es/gazeta/dias/1802/06/15/pdfs/GMD-1802-48.pdf#page=10","Abrir facsímil")</f>
        <v>Abrir facsímil</v>
      </c>
      <c r="K1991" s="15" t="s">
        <v>23</v>
      </c>
    </row>
    <row r="1992" spans="1:11" ht="42" customHeight="1">
      <c r="A1992" s="4" t="s">
        <v>5207</v>
      </c>
      <c r="B1992" s="5" t="s">
        <v>5208</v>
      </c>
      <c r="C1992" s="5" t="s">
        <v>55</v>
      </c>
      <c r="D1992" s="5" t="s">
        <v>56</v>
      </c>
      <c r="E1992" s="5" t="s">
        <v>1588</v>
      </c>
      <c r="F1992" s="9">
        <v>18</v>
      </c>
      <c r="G1992" s="9">
        <v>200</v>
      </c>
      <c r="H1992" s="5" t="s">
        <v>21</v>
      </c>
      <c r="I1992" s="5" t="s">
        <v>5209</v>
      </c>
      <c r="J1992" s="12" t="str">
        <f>HYPERLINK("https://www.boe.es/gazeta/dias/1802/03/02/pdfs/GMD-1802-18.pdf#page=12","Abrir facsímil")</f>
        <v>Abrir facsímil</v>
      </c>
      <c r="K1992" s="15" t="s">
        <v>23</v>
      </c>
    </row>
    <row r="1993" spans="1:11" ht="42" customHeight="1">
      <c r="A1993" s="4" t="s">
        <v>5210</v>
      </c>
      <c r="B1993" s="5" t="s">
        <v>5211</v>
      </c>
      <c r="C1993" s="5" t="s">
        <v>18</v>
      </c>
      <c r="D1993" s="5" t="s">
        <v>19</v>
      </c>
      <c r="E1993" s="5" t="s">
        <v>49</v>
      </c>
      <c r="F1993" s="9">
        <v>83</v>
      </c>
      <c r="G1993" s="9">
        <v>1022</v>
      </c>
      <c r="H1993" s="5" t="s">
        <v>21</v>
      </c>
      <c r="I1993" s="5" t="s">
        <v>5212</v>
      </c>
      <c r="J1993" s="12" t="str">
        <f>HYPERLINK("https://www.boe.es/gazeta/dias/1802/10/12/pdfs/GMD-1802-83.pdf#page=10","Abrir facsímil")</f>
        <v>Abrir facsímil</v>
      </c>
      <c r="K1993" s="15" t="s">
        <v>23</v>
      </c>
    </row>
    <row r="1994" spans="1:11" ht="42" customHeight="1">
      <c r="A1994" s="4" t="s">
        <v>5213</v>
      </c>
      <c r="B1994" s="5" t="s">
        <v>5214</v>
      </c>
      <c r="C1994" s="5" t="s">
        <v>29</v>
      </c>
      <c r="D1994" s="5" t="s">
        <v>30</v>
      </c>
      <c r="E1994" s="5" t="s">
        <v>574</v>
      </c>
      <c r="F1994" s="9" t="s">
        <v>575</v>
      </c>
      <c r="G1994" s="9">
        <v>711</v>
      </c>
      <c r="H1994" s="5" t="s">
        <v>21</v>
      </c>
      <c r="I1994" s="5" t="s">
        <v>5215</v>
      </c>
      <c r="J1994" s="12" t="str">
        <f>HYPERLINK("https://www.boe.es/gazeta/dias/1802/07/21/pdfs/GMD-1802-59E.pdf#page=7","Abrir facsímil")</f>
        <v>Abrir facsímil</v>
      </c>
      <c r="K1994" s="15" t="s">
        <v>23</v>
      </c>
    </row>
    <row r="1995" spans="1:11" ht="42" customHeight="1">
      <c r="A1995" s="4" t="s">
        <v>5216</v>
      </c>
      <c r="B1995" s="5" t="s">
        <v>5217</v>
      </c>
      <c r="C1995" s="5" t="s">
        <v>90</v>
      </c>
      <c r="D1995" s="5" t="s">
        <v>91</v>
      </c>
      <c r="E1995" s="5" t="s">
        <v>232</v>
      </c>
      <c r="F1995" s="9">
        <v>30</v>
      </c>
      <c r="G1995" s="9">
        <v>351</v>
      </c>
      <c r="H1995" s="5" t="s">
        <v>21</v>
      </c>
      <c r="I1995" s="5" t="s">
        <v>5218</v>
      </c>
      <c r="J1995" s="12" t="str">
        <f>HYPERLINK("https://www.boe.es/gazeta/dias/1802/04/13/pdfs/GMD-1802-30.pdf#page=7","Abrir facsímil")</f>
        <v>Abrir facsímil</v>
      </c>
      <c r="K1995" s="15" t="s">
        <v>23</v>
      </c>
    </row>
    <row r="1996" spans="1:11" ht="42" customHeight="1">
      <c r="A1996" s="4" t="s">
        <v>5219</v>
      </c>
      <c r="B1996" s="5" t="s">
        <v>5220</v>
      </c>
      <c r="C1996" s="5" t="s">
        <v>29</v>
      </c>
      <c r="D1996" s="5" t="s">
        <v>30</v>
      </c>
      <c r="E1996" s="5" t="s">
        <v>146</v>
      </c>
      <c r="F1996" s="9">
        <v>42</v>
      </c>
      <c r="G1996" s="9">
        <v>504</v>
      </c>
      <c r="H1996" s="5" t="s">
        <v>21</v>
      </c>
      <c r="I1996" s="5" t="s">
        <v>5221</v>
      </c>
      <c r="J1996" s="12" t="str">
        <f>HYPERLINK("https://www.boe.es/gazeta/dias/1802/05/25/pdfs/GMD-1802-42.pdf#page=8","Abrir facsímil")</f>
        <v>Abrir facsímil</v>
      </c>
      <c r="K1996" s="15" t="s">
        <v>23</v>
      </c>
    </row>
    <row r="1997" spans="1:11" ht="42" customHeight="1">
      <c r="A1997" s="4" t="s">
        <v>5222</v>
      </c>
      <c r="B1997" s="5" t="s">
        <v>5223</v>
      </c>
      <c r="C1997" s="5" t="s">
        <v>18</v>
      </c>
      <c r="D1997" s="5" t="s">
        <v>19</v>
      </c>
      <c r="E1997" s="5" t="s">
        <v>1749</v>
      </c>
      <c r="F1997" s="9">
        <v>60</v>
      </c>
      <c r="G1997" s="9">
        <v>728</v>
      </c>
      <c r="H1997" s="5" t="s">
        <v>21</v>
      </c>
      <c r="I1997" s="5" t="s">
        <v>5224</v>
      </c>
      <c r="J1997" s="12" t="str">
        <f>HYPERLINK("https://www.boe.es/gazeta/dias/1802/07/23/pdfs/GMD-1802-60.pdf#page=12","Abrir facsímil")</f>
        <v>Abrir facsímil</v>
      </c>
      <c r="K1997" s="15" t="s">
        <v>23</v>
      </c>
    </row>
    <row r="1998" spans="1:11" ht="42" customHeight="1">
      <c r="A1998" s="4" t="s">
        <v>5225</v>
      </c>
      <c r="B1998" s="5" t="s">
        <v>5226</v>
      </c>
      <c r="C1998" s="5" t="s">
        <v>90</v>
      </c>
      <c r="D1998" s="5" t="s">
        <v>91</v>
      </c>
      <c r="E1998" s="5" t="s">
        <v>1264</v>
      </c>
      <c r="F1998" s="9">
        <v>105</v>
      </c>
      <c r="G1998" s="9">
        <v>1287</v>
      </c>
      <c r="H1998" s="5" t="s">
        <v>21</v>
      </c>
      <c r="I1998" s="5" t="s">
        <v>5227</v>
      </c>
      <c r="J1998" s="12" t="str">
        <f>HYPERLINK("https://www.boe.es/gazeta/dias/1802/12/28/pdfs/GMD-1802-105.pdf#page=11","Abrir facsímil")</f>
        <v>Abrir facsímil</v>
      </c>
      <c r="K1998" s="15" t="s">
        <v>23</v>
      </c>
    </row>
    <row r="1999" spans="1:11" ht="42" customHeight="1">
      <c r="A1999" s="4" t="s">
        <v>5228</v>
      </c>
      <c r="B1999" s="5" t="s">
        <v>5229</v>
      </c>
      <c r="C1999" s="5" t="s">
        <v>35</v>
      </c>
      <c r="D1999" s="5" t="s">
        <v>36</v>
      </c>
      <c r="E1999" s="5" t="s">
        <v>745</v>
      </c>
      <c r="F1999" s="9">
        <v>92</v>
      </c>
      <c r="G1999" s="9">
        <v>1133</v>
      </c>
      <c r="H1999" s="5" t="s">
        <v>21</v>
      </c>
      <c r="I1999" s="5" t="s">
        <v>5230</v>
      </c>
      <c r="J1999" s="12" t="str">
        <f>HYPERLINK("https://www.boe.es/gazeta/dias/1802/11/12/pdfs/GMD-1802-92.pdf#page=1","Abrir facsímil")</f>
        <v>Abrir facsímil</v>
      </c>
      <c r="K1999" s="15" t="s">
        <v>23</v>
      </c>
    </row>
    <row r="2000" spans="1:11" ht="42" customHeight="1">
      <c r="A2000" s="4" t="s">
        <v>5231</v>
      </c>
      <c r="B2000" s="5" t="s">
        <v>5232</v>
      </c>
      <c r="C2000" s="5" t="s">
        <v>160</v>
      </c>
      <c r="D2000" s="5" t="s">
        <v>91</v>
      </c>
      <c r="E2000" s="5" t="s">
        <v>20</v>
      </c>
      <c r="F2000" s="9">
        <v>84</v>
      </c>
      <c r="G2000" s="9">
        <v>1040</v>
      </c>
      <c r="H2000" s="5" t="s">
        <v>21</v>
      </c>
      <c r="I2000" s="5" t="s">
        <v>5233</v>
      </c>
      <c r="J2000" s="12" t="str">
        <f>HYPERLINK("https://www.boe.es/gazeta/dias/1802/10/15/pdfs/GMD-1802-84.pdf#page=8","Abrir facsímil")</f>
        <v>Abrir facsímil</v>
      </c>
      <c r="K2000" s="15" t="s">
        <v>23</v>
      </c>
    </row>
    <row r="2001" spans="1:11" ht="42" customHeight="1">
      <c r="A2001" s="4" t="s">
        <v>5234</v>
      </c>
      <c r="B2001" s="5" t="s">
        <v>5235</v>
      </c>
      <c r="C2001" s="5" t="s">
        <v>55</v>
      </c>
      <c r="D2001" s="5" t="s">
        <v>56</v>
      </c>
      <c r="E2001" s="5" t="s">
        <v>670</v>
      </c>
      <c r="F2001" s="9">
        <v>40</v>
      </c>
      <c r="G2001" s="9">
        <v>480</v>
      </c>
      <c r="H2001" s="5" t="s">
        <v>21</v>
      </c>
      <c r="I2001" s="5" t="s">
        <v>5236</v>
      </c>
      <c r="J2001" s="12" t="str">
        <f>HYPERLINK("https://www.boe.es/gazeta/dias/1802/05/18/pdfs/GMD-1802-40.pdf#page=8","Abrir facsímil")</f>
        <v>Abrir facsímil</v>
      </c>
      <c r="K2001" s="15" t="s">
        <v>23</v>
      </c>
    </row>
    <row r="2002" spans="1:11" ht="42" customHeight="1">
      <c r="A2002" s="4" t="s">
        <v>5237</v>
      </c>
      <c r="B2002" s="5" t="s">
        <v>5238</v>
      </c>
      <c r="C2002" s="5" t="s">
        <v>18</v>
      </c>
      <c r="D2002" s="5" t="s">
        <v>19</v>
      </c>
      <c r="E2002" s="5" t="s">
        <v>20</v>
      </c>
      <c r="F2002" s="9">
        <v>84</v>
      </c>
      <c r="G2002" s="9">
        <v>1046</v>
      </c>
      <c r="H2002" s="5" t="s">
        <v>21</v>
      </c>
      <c r="I2002" s="5" t="s">
        <v>5239</v>
      </c>
      <c r="J2002" s="12" t="str">
        <f>HYPERLINK("https://www.boe.es/gazeta/dias/1802/10/15/pdfs/GMD-1802-84.pdf#page=14","Abrir facsímil")</f>
        <v>Abrir facsímil</v>
      </c>
      <c r="K2002" s="15" t="s">
        <v>23</v>
      </c>
    </row>
    <row r="2003" spans="1:11" ht="42" customHeight="1">
      <c r="A2003" s="4" t="s">
        <v>5240</v>
      </c>
      <c r="B2003" s="5" t="s">
        <v>5241</v>
      </c>
      <c r="C2003" s="5" t="s">
        <v>29</v>
      </c>
      <c r="D2003" s="5" t="s">
        <v>30</v>
      </c>
      <c r="E2003" s="5" t="s">
        <v>655</v>
      </c>
      <c r="F2003" s="9">
        <v>46</v>
      </c>
      <c r="G2003" s="9">
        <v>562</v>
      </c>
      <c r="H2003" s="5" t="s">
        <v>21</v>
      </c>
      <c r="I2003" s="5" t="s">
        <v>5242</v>
      </c>
      <c r="J2003" s="12" t="str">
        <f>HYPERLINK("https://www.boe.es/gazeta/dias/1802/06/08/pdfs/GMD-1802-46.pdf#page=14","Abrir facsímil")</f>
        <v>Abrir facsímil</v>
      </c>
      <c r="K2003" s="15" t="s">
        <v>23</v>
      </c>
    </row>
    <row r="2004" spans="1:11" ht="42" customHeight="1">
      <c r="A2004" s="4" t="s">
        <v>5243</v>
      </c>
      <c r="B2004" s="5" t="s">
        <v>5244</v>
      </c>
      <c r="C2004" s="5" t="s">
        <v>35</v>
      </c>
      <c r="D2004" s="5" t="s">
        <v>36</v>
      </c>
      <c r="E2004" s="5" t="s">
        <v>172</v>
      </c>
      <c r="F2004" s="9">
        <v>35</v>
      </c>
      <c r="G2004" s="9">
        <v>402</v>
      </c>
      <c r="H2004" s="5" t="s">
        <v>21</v>
      </c>
      <c r="I2004" s="5" t="s">
        <v>5245</v>
      </c>
      <c r="J2004" s="12" t="str">
        <f>HYPERLINK("https://www.boe.es/gazeta/dias/1802/04/30/pdfs/GMD-1802-35.pdf#page=2","Abrir facsímil")</f>
        <v>Abrir facsímil</v>
      </c>
      <c r="K2004" s="15" t="s">
        <v>23</v>
      </c>
    </row>
    <row r="2005" spans="1:11" ht="42" customHeight="1">
      <c r="A2005" s="4" t="s">
        <v>5246</v>
      </c>
      <c r="B2005" s="5" t="s">
        <v>5247</v>
      </c>
      <c r="C2005" s="5" t="s">
        <v>18</v>
      </c>
      <c r="D2005" s="5" t="s">
        <v>19</v>
      </c>
      <c r="E2005" s="5" t="s">
        <v>121</v>
      </c>
      <c r="F2005" s="9">
        <v>87</v>
      </c>
      <c r="G2005" s="9">
        <v>1082</v>
      </c>
      <c r="H2005" s="5" t="s">
        <v>21</v>
      </c>
      <c r="I2005" s="5" t="s">
        <v>5248</v>
      </c>
      <c r="J2005" s="12" t="str">
        <f>HYPERLINK("https://www.boe.es/gazeta/dias/1802/10/26/pdfs/GMD-1802-87.pdf#page=10","Abrir facsímil")</f>
        <v>Abrir facsímil</v>
      </c>
      <c r="K2005" s="15" t="s">
        <v>23</v>
      </c>
    </row>
    <row r="2006" spans="1:11" ht="42" customHeight="1">
      <c r="A2006" s="4" t="s">
        <v>5249</v>
      </c>
      <c r="B2006" s="5" t="s">
        <v>5250</v>
      </c>
      <c r="C2006" s="5" t="s">
        <v>29</v>
      </c>
      <c r="D2006" s="5" t="s">
        <v>30</v>
      </c>
      <c r="E2006" s="5" t="s">
        <v>152</v>
      </c>
      <c r="F2006" s="9">
        <v>25</v>
      </c>
      <c r="G2006" s="9">
        <v>284</v>
      </c>
      <c r="H2006" s="5" t="s">
        <v>21</v>
      </c>
      <c r="I2006" s="5" t="s">
        <v>5251</v>
      </c>
      <c r="J2006" s="12" t="str">
        <f>HYPERLINK("https://www.boe.es/gazeta/dias/1802/03/26/pdfs/GMD-1802-25.pdf#page=8","Abrir facsímil")</f>
        <v>Abrir facsímil</v>
      </c>
      <c r="K2006" s="15" t="s">
        <v>23</v>
      </c>
    </row>
    <row r="2007" spans="1:11" ht="42" customHeight="1">
      <c r="A2007" s="4" t="s">
        <v>5249</v>
      </c>
      <c r="B2007" s="5" t="s">
        <v>5250</v>
      </c>
      <c r="C2007" s="5" t="s">
        <v>29</v>
      </c>
      <c r="D2007" s="5" t="s">
        <v>30</v>
      </c>
      <c r="E2007" s="5" t="s">
        <v>148</v>
      </c>
      <c r="F2007" s="9">
        <v>66</v>
      </c>
      <c r="G2007" s="9">
        <v>808</v>
      </c>
      <c r="H2007" s="5" t="s">
        <v>21</v>
      </c>
      <c r="I2007" s="5" t="s">
        <v>5252</v>
      </c>
      <c r="J2007" s="12" t="str">
        <f>HYPERLINK("https://www.boe.es/gazeta/dias/1802/08/13/pdfs/GMD-1802-66.pdf#page=12","Abrir facsímil")</f>
        <v>Abrir facsímil</v>
      </c>
      <c r="K2007" s="15" t="s">
        <v>23</v>
      </c>
    </row>
    <row r="2008" spans="1:11" ht="42" customHeight="1">
      <c r="A2008" s="4" t="s">
        <v>5253</v>
      </c>
      <c r="B2008" s="5" t="s">
        <v>5254</v>
      </c>
      <c r="C2008" s="5" t="s">
        <v>29</v>
      </c>
      <c r="D2008" s="5" t="s">
        <v>30</v>
      </c>
      <c r="E2008" s="5" t="s">
        <v>152</v>
      </c>
      <c r="F2008" s="9">
        <v>25</v>
      </c>
      <c r="G2008" s="9">
        <v>284</v>
      </c>
      <c r="H2008" s="5" t="s">
        <v>21</v>
      </c>
      <c r="I2008" s="5" t="s">
        <v>5255</v>
      </c>
      <c r="J2008" s="12" t="str">
        <f>HYPERLINK("https://www.boe.es/gazeta/dias/1802/03/26/pdfs/GMD-1802-25.pdf#page=8","Abrir facsímil")</f>
        <v>Abrir facsímil</v>
      </c>
      <c r="K2008" s="15" t="s">
        <v>23</v>
      </c>
    </row>
    <row r="2009" spans="1:11" ht="42" customHeight="1">
      <c r="A2009" s="4" t="s">
        <v>5253</v>
      </c>
      <c r="B2009" s="5" t="s">
        <v>5254</v>
      </c>
      <c r="C2009" s="5" t="s">
        <v>29</v>
      </c>
      <c r="D2009" s="5" t="s">
        <v>30</v>
      </c>
      <c r="E2009" s="5" t="s">
        <v>148</v>
      </c>
      <c r="F2009" s="9">
        <v>66</v>
      </c>
      <c r="G2009" s="9">
        <v>808</v>
      </c>
      <c r="H2009" s="5" t="s">
        <v>21</v>
      </c>
      <c r="I2009" s="5" t="s">
        <v>5256</v>
      </c>
      <c r="J2009" s="12" t="str">
        <f>HYPERLINK("https://www.boe.es/gazeta/dias/1802/08/13/pdfs/GMD-1802-66.pdf#page=12","Abrir facsímil")</f>
        <v>Abrir facsímil</v>
      </c>
      <c r="K2009" s="15" t="s">
        <v>23</v>
      </c>
    </row>
    <row r="2010" spans="1:11" ht="42" customHeight="1">
      <c r="A2010" s="4" t="s">
        <v>5257</v>
      </c>
      <c r="B2010" s="5" t="s">
        <v>5258</v>
      </c>
      <c r="C2010" s="5" t="s">
        <v>29</v>
      </c>
      <c r="D2010" s="5" t="s">
        <v>30</v>
      </c>
      <c r="E2010" s="5" t="s">
        <v>71</v>
      </c>
      <c r="F2010" s="9">
        <v>21</v>
      </c>
      <c r="G2010" s="9">
        <v>232</v>
      </c>
      <c r="H2010" s="5" t="s">
        <v>21</v>
      </c>
      <c r="I2010" s="5" t="s">
        <v>5259</v>
      </c>
      <c r="J2010" s="12" t="str">
        <f>HYPERLINK("https://www.boe.es/gazeta/dias/1802/03/12/pdfs/GMD-1802-21.pdf#page=8","Abrir facsímil")</f>
        <v>Abrir facsímil</v>
      </c>
      <c r="K2010" s="15" t="s">
        <v>23</v>
      </c>
    </row>
    <row r="2011" spans="1:11" ht="42" customHeight="1">
      <c r="A2011" s="4" t="s">
        <v>5260</v>
      </c>
      <c r="B2011" s="5" t="s">
        <v>5261</v>
      </c>
      <c r="C2011" s="5" t="s">
        <v>29</v>
      </c>
      <c r="D2011" s="5" t="s">
        <v>30</v>
      </c>
      <c r="E2011" s="5" t="s">
        <v>170</v>
      </c>
      <c r="F2011" s="9">
        <v>28</v>
      </c>
      <c r="G2011" s="9">
        <v>330</v>
      </c>
      <c r="H2011" s="5" t="s">
        <v>21</v>
      </c>
      <c r="I2011" s="5" t="s">
        <v>5262</v>
      </c>
      <c r="J2011" s="12" t="str">
        <f>HYPERLINK("https://www.boe.es/gazeta/dias/1802/04/06/pdfs/GMD-1802-28.pdf#page=10","Abrir facsímil")</f>
        <v>Abrir facsímil</v>
      </c>
      <c r="K2011" s="15" t="s">
        <v>23</v>
      </c>
    </row>
    <row r="2012" spans="1:11" ht="42" customHeight="1">
      <c r="A2012" s="4" t="s">
        <v>5263</v>
      </c>
      <c r="B2012" s="5" t="s">
        <v>5264</v>
      </c>
      <c r="C2012" s="5" t="s">
        <v>29</v>
      </c>
      <c r="D2012" s="5" t="s">
        <v>30</v>
      </c>
      <c r="E2012" s="5" t="s">
        <v>258</v>
      </c>
      <c r="F2012" s="9">
        <v>63</v>
      </c>
      <c r="G2012" s="9">
        <v>770</v>
      </c>
      <c r="H2012" s="5" t="s">
        <v>21</v>
      </c>
      <c r="I2012" s="5" t="s">
        <v>5265</v>
      </c>
      <c r="J2012" s="12" t="str">
        <f>HYPERLINK("https://www.boe.es/gazeta/dias/1802/08/03/pdfs/GMD-1802-63.pdf#page=10","Abrir facsímil")</f>
        <v>Abrir facsímil</v>
      </c>
      <c r="K2012" s="15" t="s">
        <v>23</v>
      </c>
    </row>
    <row r="2013" spans="1:11" ht="42" customHeight="1">
      <c r="A2013" s="4" t="s">
        <v>5266</v>
      </c>
      <c r="B2013" s="5" t="s">
        <v>5267</v>
      </c>
      <c r="C2013" s="5" t="s">
        <v>29</v>
      </c>
      <c r="D2013" s="5" t="s">
        <v>30</v>
      </c>
      <c r="E2013" s="5" t="s">
        <v>49</v>
      </c>
      <c r="F2013" s="9">
        <v>83</v>
      </c>
      <c r="G2013" s="9">
        <v>1019</v>
      </c>
      <c r="H2013" s="5" t="s">
        <v>21</v>
      </c>
      <c r="I2013" s="5" t="s">
        <v>5268</v>
      </c>
      <c r="J2013" s="12" t="str">
        <f>HYPERLINK("https://www.boe.es/gazeta/dias/1802/10/12/pdfs/GMD-1802-83.pdf#page=7","Abrir facsímil")</f>
        <v>Abrir facsímil</v>
      </c>
      <c r="K2013" s="15" t="s">
        <v>23</v>
      </c>
    </row>
    <row r="2014" spans="1:11" ht="42" customHeight="1">
      <c r="A2014" s="4" t="s">
        <v>5269</v>
      </c>
      <c r="B2014" s="5" t="s">
        <v>5270</v>
      </c>
      <c r="C2014" s="5" t="s">
        <v>29</v>
      </c>
      <c r="D2014" s="5" t="s">
        <v>30</v>
      </c>
      <c r="E2014" s="5" t="s">
        <v>574</v>
      </c>
      <c r="F2014" s="9" t="s">
        <v>575</v>
      </c>
      <c r="G2014" s="9">
        <v>711</v>
      </c>
      <c r="H2014" s="5" t="s">
        <v>21</v>
      </c>
      <c r="I2014" s="5" t="s">
        <v>5271</v>
      </c>
      <c r="J2014" s="12" t="str">
        <f>HYPERLINK("https://www.boe.es/gazeta/dias/1802/07/21/pdfs/GMD-1802-59E.pdf#page=7","Abrir facsímil")</f>
        <v>Abrir facsímil</v>
      </c>
      <c r="K2014" s="15" t="s">
        <v>23</v>
      </c>
    </row>
    <row r="2015" spans="1:11" ht="42" customHeight="1">
      <c r="A2015" s="4" t="s">
        <v>5272</v>
      </c>
      <c r="B2015" s="5" t="s">
        <v>5273</v>
      </c>
      <c r="C2015" s="5" t="s">
        <v>29</v>
      </c>
      <c r="D2015" s="5" t="s">
        <v>30</v>
      </c>
      <c r="E2015" s="5" t="s">
        <v>1374</v>
      </c>
      <c r="F2015" s="9">
        <v>71</v>
      </c>
      <c r="G2015" s="9">
        <v>874</v>
      </c>
      <c r="H2015" s="5" t="s">
        <v>21</v>
      </c>
      <c r="I2015" s="5" t="s">
        <v>5274</v>
      </c>
      <c r="J2015" s="12" t="str">
        <f>HYPERLINK("https://www.boe.es/gazeta/dias/1802/08/31/pdfs/GMD-1802-71.pdf#page=10","Abrir facsímil")</f>
        <v>Abrir facsímil</v>
      </c>
      <c r="K2015" s="15" t="s">
        <v>23</v>
      </c>
    </row>
    <row r="2016" spans="1:11" ht="42" customHeight="1">
      <c r="A2016" s="4" t="s">
        <v>5275</v>
      </c>
      <c r="B2016" s="5" t="s">
        <v>5276</v>
      </c>
      <c r="C2016" s="5" t="s">
        <v>35</v>
      </c>
      <c r="D2016" s="5" t="s">
        <v>36</v>
      </c>
      <c r="E2016" s="5" t="s">
        <v>57</v>
      </c>
      <c r="F2016" s="9">
        <v>54</v>
      </c>
      <c r="G2016" s="9">
        <v>653</v>
      </c>
      <c r="H2016" s="5" t="s">
        <v>21</v>
      </c>
      <c r="I2016" s="5" t="s">
        <v>5277</v>
      </c>
      <c r="J2016" s="12" t="str">
        <f>HYPERLINK("https://www.boe.es/gazeta/dias/1802/07/06/pdfs/GMD-1802-54.pdf#page=9","Abrir facsímil")</f>
        <v>Abrir facsímil</v>
      </c>
      <c r="K2016" s="15" t="s">
        <v>23</v>
      </c>
    </row>
    <row r="2017" spans="1:11" ht="42" customHeight="1">
      <c r="A2017" s="4" t="s">
        <v>5278</v>
      </c>
      <c r="B2017" s="5" t="s">
        <v>5279</v>
      </c>
      <c r="C2017" s="5" t="s">
        <v>90</v>
      </c>
      <c r="D2017" s="5" t="s">
        <v>91</v>
      </c>
      <c r="E2017" s="5" t="s">
        <v>1264</v>
      </c>
      <c r="F2017" s="9">
        <v>105</v>
      </c>
      <c r="G2017" s="9">
        <v>1287</v>
      </c>
      <c r="H2017" s="5" t="s">
        <v>21</v>
      </c>
      <c r="I2017" s="5" t="s">
        <v>5280</v>
      </c>
      <c r="J2017" s="12" t="str">
        <f>HYPERLINK("https://www.boe.es/gazeta/dias/1802/12/28/pdfs/GMD-1802-105.pdf#page=11","Abrir facsímil")</f>
        <v>Abrir facsímil</v>
      </c>
      <c r="K2017" s="15" t="s">
        <v>23</v>
      </c>
    </row>
    <row r="2018" spans="1:11" ht="42" customHeight="1">
      <c r="A2018" s="4" t="s">
        <v>5281</v>
      </c>
      <c r="B2018" s="5" t="s">
        <v>5282</v>
      </c>
      <c r="C2018" s="5" t="s">
        <v>29</v>
      </c>
      <c r="D2018" s="5" t="s">
        <v>30</v>
      </c>
      <c r="E2018" s="5" t="s">
        <v>299</v>
      </c>
      <c r="F2018" s="9">
        <v>19</v>
      </c>
      <c r="G2018" s="9">
        <v>209</v>
      </c>
      <c r="H2018" s="5" t="s">
        <v>21</v>
      </c>
      <c r="I2018" s="5" t="s">
        <v>5283</v>
      </c>
      <c r="J2018" s="12" t="str">
        <f>HYPERLINK("https://www.boe.es/gazeta/dias/1802/03/05/pdfs/GMD-1802-19.pdf#page=9","Abrir facsímil")</f>
        <v>Abrir facsímil</v>
      </c>
      <c r="K2018" s="15" t="s">
        <v>23</v>
      </c>
    </row>
    <row r="2019" spans="1:11" ht="42" customHeight="1">
      <c r="A2019" s="4" t="s">
        <v>5284</v>
      </c>
      <c r="B2019" s="5" t="s">
        <v>5285</v>
      </c>
      <c r="C2019" s="5" t="s">
        <v>29</v>
      </c>
      <c r="D2019" s="5" t="s">
        <v>30</v>
      </c>
      <c r="E2019" s="5" t="s">
        <v>175</v>
      </c>
      <c r="F2019" s="9">
        <v>37</v>
      </c>
      <c r="G2019" s="9">
        <v>442</v>
      </c>
      <c r="H2019" s="5" t="s">
        <v>21</v>
      </c>
      <c r="I2019" s="5" t="s">
        <v>5286</v>
      </c>
      <c r="J2019" s="12" t="str">
        <f>HYPERLINK("https://www.boe.es/gazeta/dias/1802/05/07/pdfs/GMD-1802-37.pdf#page=10","Abrir facsímil")</f>
        <v>Abrir facsímil</v>
      </c>
      <c r="K2019" s="15" t="s">
        <v>23</v>
      </c>
    </row>
    <row r="2020" spans="1:11" ht="42" customHeight="1">
      <c r="A2020" s="4" t="s">
        <v>5287</v>
      </c>
      <c r="B2020" s="5" t="s">
        <v>5288</v>
      </c>
      <c r="C2020" s="5" t="s">
        <v>90</v>
      </c>
      <c r="D2020" s="5" t="s">
        <v>91</v>
      </c>
      <c r="E2020" s="5" t="s">
        <v>1264</v>
      </c>
      <c r="F2020" s="9">
        <v>105</v>
      </c>
      <c r="G2020" s="9">
        <v>1286</v>
      </c>
      <c r="H2020" s="5" t="s">
        <v>21</v>
      </c>
      <c r="I2020" s="5" t="s">
        <v>5289</v>
      </c>
      <c r="J2020" s="12" t="str">
        <f>HYPERLINK("https://www.boe.es/gazeta/dias/1802/12/28/pdfs/GMD-1802-105.pdf#page=10","Abrir facsímil")</f>
        <v>Abrir facsímil</v>
      </c>
      <c r="K2020" s="15" t="s">
        <v>23</v>
      </c>
    </row>
    <row r="2021" spans="1:11" ht="42" customHeight="1">
      <c r="A2021" s="4" t="s">
        <v>5290</v>
      </c>
      <c r="B2021" s="5" t="s">
        <v>5291</v>
      </c>
      <c r="C2021" s="5" t="s">
        <v>29</v>
      </c>
      <c r="D2021" s="5" t="s">
        <v>30</v>
      </c>
      <c r="E2021" s="5" t="s">
        <v>142</v>
      </c>
      <c r="F2021" s="9">
        <v>64</v>
      </c>
      <c r="G2021" s="9">
        <v>782</v>
      </c>
      <c r="H2021" s="5" t="s">
        <v>21</v>
      </c>
      <c r="I2021" s="5" t="s">
        <v>5292</v>
      </c>
      <c r="J2021" s="12" t="str">
        <f>HYPERLINK("https://www.boe.es/gazeta/dias/1802/08/06/pdfs/GMD-1802-64.pdf#page=10","Abrir facsímil")</f>
        <v>Abrir facsímil</v>
      </c>
      <c r="K2021" s="15" t="s">
        <v>23</v>
      </c>
    </row>
    <row r="2022" spans="1:11" ht="42" customHeight="1">
      <c r="A2022" s="4" t="s">
        <v>5293</v>
      </c>
      <c r="B2022" s="5" t="s">
        <v>5294</v>
      </c>
      <c r="C2022" s="5" t="s">
        <v>29</v>
      </c>
      <c r="D2022" s="5" t="s">
        <v>30</v>
      </c>
      <c r="E2022" s="5" t="s">
        <v>670</v>
      </c>
      <c r="F2022" s="9">
        <v>40</v>
      </c>
      <c r="G2022" s="9">
        <v>481</v>
      </c>
      <c r="H2022" s="5" t="s">
        <v>21</v>
      </c>
      <c r="I2022" s="5" t="s">
        <v>5295</v>
      </c>
      <c r="J2022" s="12" t="str">
        <f>HYPERLINK("https://www.boe.es/gazeta/dias/1802/05/18/pdfs/GMD-1802-40.pdf#page=9","Abrir facsímil")</f>
        <v>Abrir facsímil</v>
      </c>
      <c r="K2022" s="15" t="s">
        <v>23</v>
      </c>
    </row>
    <row r="2023" spans="1:11" ht="42" customHeight="1">
      <c r="A2023" s="4" t="s">
        <v>5296</v>
      </c>
      <c r="B2023" s="5" t="s">
        <v>5297</v>
      </c>
      <c r="C2023" s="5" t="s">
        <v>29</v>
      </c>
      <c r="D2023" s="5" t="s">
        <v>30</v>
      </c>
      <c r="E2023" s="5" t="s">
        <v>109</v>
      </c>
      <c r="F2023" s="9">
        <v>10</v>
      </c>
      <c r="G2023" s="9">
        <v>98</v>
      </c>
      <c r="H2023" s="5" t="s">
        <v>21</v>
      </c>
      <c r="I2023" s="5" t="s">
        <v>5298</v>
      </c>
      <c r="J2023" s="12" t="str">
        <f>HYPERLINK("https://www.boe.es/gazeta/dias/1802/02/02/pdfs/GMD-1802-10.pdf#page=6","Abrir facsímil")</f>
        <v>Abrir facsímil</v>
      </c>
      <c r="K2023" s="15" t="s">
        <v>23</v>
      </c>
    </row>
    <row r="2024" spans="1:11" ht="42" customHeight="1">
      <c r="A2024" s="4" t="s">
        <v>5299</v>
      </c>
      <c r="B2024" s="5" t="s">
        <v>5300</v>
      </c>
      <c r="C2024" s="5" t="s">
        <v>90</v>
      </c>
      <c r="D2024" s="5" t="s">
        <v>91</v>
      </c>
      <c r="E2024" s="5" t="s">
        <v>670</v>
      </c>
      <c r="F2024" s="9">
        <v>40</v>
      </c>
      <c r="G2024" s="9">
        <v>480</v>
      </c>
      <c r="H2024" s="5" t="s">
        <v>21</v>
      </c>
      <c r="I2024" s="5" t="s">
        <v>5301</v>
      </c>
      <c r="J2024" s="12" t="str">
        <f>HYPERLINK("https://www.boe.es/gazeta/dias/1802/05/18/pdfs/GMD-1802-40.pdf#page=8","Abrir facsímil")</f>
        <v>Abrir facsímil</v>
      </c>
      <c r="K2024" s="15" t="s">
        <v>23</v>
      </c>
    </row>
    <row r="2025" spans="1:11" ht="42" customHeight="1">
      <c r="A2025" s="4" t="s">
        <v>5302</v>
      </c>
      <c r="B2025" s="5" t="s">
        <v>5303</v>
      </c>
      <c r="C2025" s="5" t="s">
        <v>18</v>
      </c>
      <c r="D2025" s="5" t="s">
        <v>19</v>
      </c>
      <c r="E2025" s="5" t="s">
        <v>206</v>
      </c>
      <c r="F2025" s="9">
        <v>22</v>
      </c>
      <c r="G2025" s="9">
        <v>239</v>
      </c>
      <c r="H2025" s="5" t="s">
        <v>21</v>
      </c>
      <c r="I2025" s="5" t="s">
        <v>5304</v>
      </c>
      <c r="J2025" s="12" t="str">
        <f>HYPERLINK("https://www.boe.es/gazeta/dias/1802/03/16/pdfs/GMD-1802-22.pdf#page=7","Abrir facsímil")</f>
        <v>Abrir facsímil</v>
      </c>
      <c r="K2025" s="15" t="s">
        <v>23</v>
      </c>
    </row>
    <row r="2026" spans="1:11" ht="42" customHeight="1">
      <c r="A2026" s="4" t="s">
        <v>5305</v>
      </c>
      <c r="B2026" s="5" t="s">
        <v>5306</v>
      </c>
      <c r="C2026" s="5" t="s">
        <v>29</v>
      </c>
      <c r="D2026" s="5" t="s">
        <v>30</v>
      </c>
      <c r="E2026" s="5" t="s">
        <v>886</v>
      </c>
      <c r="F2026" s="9">
        <v>7</v>
      </c>
      <c r="G2026" s="9">
        <v>67</v>
      </c>
      <c r="H2026" s="5" t="s">
        <v>21</v>
      </c>
      <c r="I2026" s="5" t="s">
        <v>5307</v>
      </c>
      <c r="J2026" s="12" t="str">
        <f>HYPERLINK("https://www.boe.es/gazeta/dias/1802/01/22/pdfs/GMD-1802-7.pdf#page=7","Abrir facsímil")</f>
        <v>Abrir facsímil</v>
      </c>
      <c r="K2026" s="15" t="s">
        <v>23</v>
      </c>
    </row>
    <row r="2027" spans="1:11" ht="42" customHeight="1">
      <c r="A2027" s="4" t="s">
        <v>5308</v>
      </c>
      <c r="B2027" s="5" t="s">
        <v>5309</v>
      </c>
      <c r="C2027" s="5" t="s">
        <v>18</v>
      </c>
      <c r="D2027" s="5" t="s">
        <v>19</v>
      </c>
      <c r="E2027" s="5" t="s">
        <v>196</v>
      </c>
      <c r="F2027" s="9">
        <v>2</v>
      </c>
      <c r="G2027" s="9">
        <v>17</v>
      </c>
      <c r="H2027" s="5" t="s">
        <v>21</v>
      </c>
      <c r="I2027" s="5" t="s">
        <v>5310</v>
      </c>
      <c r="J2027" s="12" t="str">
        <f>HYPERLINK("https://www.boe.es/gazeta/dias/1802/01/05/pdfs/GMD-1802-2.pdf#page=9","Abrir facsímil")</f>
        <v>Abrir facsímil</v>
      </c>
      <c r="K2027" s="15" t="s">
        <v>23</v>
      </c>
    </row>
    <row r="2028" spans="1:11" ht="42" customHeight="1">
      <c r="A2028" s="4" t="s">
        <v>5308</v>
      </c>
      <c r="B2028" s="5" t="s">
        <v>5309</v>
      </c>
      <c r="C2028" s="5" t="s">
        <v>160</v>
      </c>
      <c r="D2028" s="5" t="s">
        <v>91</v>
      </c>
      <c r="E2028" s="5" t="s">
        <v>92</v>
      </c>
      <c r="F2028" s="9">
        <v>29</v>
      </c>
      <c r="G2028" s="9">
        <v>344</v>
      </c>
      <c r="H2028" s="5" t="s">
        <v>21</v>
      </c>
      <c r="I2028" s="5" t="s">
        <v>5311</v>
      </c>
      <c r="J2028" s="12" t="str">
        <f>HYPERLINK("https://www.boe.es/gazeta/dias/1802/04/09/pdfs/GMD-1802-29.pdf#page=12","Abrir facsímil")</f>
        <v>Abrir facsímil</v>
      </c>
      <c r="K2028" s="15" t="s">
        <v>23</v>
      </c>
    </row>
    <row r="2029" spans="1:11" ht="42" customHeight="1">
      <c r="A2029" s="4" t="s">
        <v>5312</v>
      </c>
      <c r="B2029" s="5" t="s">
        <v>5313</v>
      </c>
      <c r="C2029" s="5" t="s">
        <v>29</v>
      </c>
      <c r="D2029" s="5" t="s">
        <v>30</v>
      </c>
      <c r="E2029" s="5" t="s">
        <v>175</v>
      </c>
      <c r="F2029" s="9">
        <v>37</v>
      </c>
      <c r="G2029" s="9">
        <v>442</v>
      </c>
      <c r="H2029" s="5" t="s">
        <v>21</v>
      </c>
      <c r="I2029" s="5" t="s">
        <v>5314</v>
      </c>
      <c r="J2029" s="12" t="str">
        <f>HYPERLINK("https://www.boe.es/gazeta/dias/1802/05/07/pdfs/GMD-1802-37.pdf#page=10","Abrir facsímil")</f>
        <v>Abrir facsímil</v>
      </c>
      <c r="K2029" s="15" t="s">
        <v>23</v>
      </c>
    </row>
    <row r="2030" spans="1:11" ht="42" customHeight="1">
      <c r="A2030" s="4" t="s">
        <v>5315</v>
      </c>
      <c r="B2030" s="5" t="s">
        <v>5316</v>
      </c>
      <c r="C2030" s="5" t="s">
        <v>2417</v>
      </c>
      <c r="D2030" s="5" t="s">
        <v>2418</v>
      </c>
      <c r="E2030" s="5" t="s">
        <v>206</v>
      </c>
      <c r="F2030" s="9">
        <v>22</v>
      </c>
      <c r="G2030" s="9">
        <v>246</v>
      </c>
      <c r="H2030" s="5" t="s">
        <v>21</v>
      </c>
      <c r="I2030" s="5" t="s">
        <v>5317</v>
      </c>
      <c r="J2030" s="12" t="str">
        <f>HYPERLINK("https://www.boe.es/gazeta/dias/1802/03/16/pdfs/GMD-C-1802-22.pdf#page=2","Abrir facsímil")</f>
        <v>Abrir facsímil</v>
      </c>
      <c r="K2030" s="15" t="s">
        <v>23</v>
      </c>
    </row>
    <row r="2031" spans="1:11" ht="42" customHeight="1">
      <c r="A2031" s="4" t="s">
        <v>5315</v>
      </c>
      <c r="B2031" s="5" t="s">
        <v>5316</v>
      </c>
      <c r="C2031" s="5" t="s">
        <v>18</v>
      </c>
      <c r="D2031" s="5" t="s">
        <v>19</v>
      </c>
      <c r="E2031" s="5" t="s">
        <v>167</v>
      </c>
      <c r="F2031" s="9">
        <v>23</v>
      </c>
      <c r="G2031" s="9">
        <v>260</v>
      </c>
      <c r="H2031" s="5" t="s">
        <v>21</v>
      </c>
      <c r="I2031" s="5" t="s">
        <v>5318</v>
      </c>
      <c r="J2031" s="12" t="str">
        <f>HYPERLINK("https://www.boe.es/gazeta/dias/1802/03/19/pdfs/GMD-1802-23.pdf#page=8","Abrir facsímil")</f>
        <v>Abrir facsímil</v>
      </c>
      <c r="K2031" s="15" t="s">
        <v>23</v>
      </c>
    </row>
    <row r="2032" spans="1:11" ht="42" customHeight="1">
      <c r="A2032" s="4" t="s">
        <v>5315</v>
      </c>
      <c r="B2032" s="5" t="s">
        <v>5316</v>
      </c>
      <c r="C2032" s="5" t="s">
        <v>18</v>
      </c>
      <c r="D2032" s="5" t="s">
        <v>19</v>
      </c>
      <c r="E2032" s="5" t="s">
        <v>332</v>
      </c>
      <c r="F2032" s="9">
        <v>24</v>
      </c>
      <c r="G2032" s="9">
        <v>273</v>
      </c>
      <c r="H2032" s="5" t="s">
        <v>21</v>
      </c>
      <c r="I2032" s="5" t="s">
        <v>5319</v>
      </c>
      <c r="J2032" s="12" t="str">
        <f>HYPERLINK("https://www.boe.es/gazeta/dias/1802/03/23/pdfs/GMD-1802-24.pdf#page=9","Abrir facsímil")</f>
        <v>Abrir facsímil</v>
      </c>
      <c r="K2032" s="15" t="s">
        <v>23</v>
      </c>
    </row>
    <row r="2033" spans="1:11" ht="42" customHeight="1">
      <c r="A2033" s="4" t="s">
        <v>5315</v>
      </c>
      <c r="B2033" s="5" t="s">
        <v>5316</v>
      </c>
      <c r="C2033" s="5" t="s">
        <v>18</v>
      </c>
      <c r="D2033" s="5" t="s">
        <v>19</v>
      </c>
      <c r="E2033" s="5" t="s">
        <v>1749</v>
      </c>
      <c r="F2033" s="9">
        <v>60</v>
      </c>
      <c r="G2033" s="9">
        <v>730</v>
      </c>
      <c r="H2033" s="5" t="s">
        <v>21</v>
      </c>
      <c r="I2033" s="5" t="s">
        <v>5320</v>
      </c>
      <c r="J2033" s="12" t="str">
        <f>HYPERLINK("https://www.boe.es/gazeta/dias/1802/07/23/pdfs/GMD-1802-60.pdf#page=14","Abrir facsímil")</f>
        <v>Abrir facsímil</v>
      </c>
      <c r="K2033" s="15" t="s">
        <v>23</v>
      </c>
    </row>
    <row r="2034" spans="1:11" ht="42" customHeight="1">
      <c r="A2034" s="4" t="s">
        <v>5315</v>
      </c>
      <c r="B2034" s="5" t="s">
        <v>5316</v>
      </c>
      <c r="C2034" s="5" t="s">
        <v>18</v>
      </c>
      <c r="D2034" s="5" t="s">
        <v>19</v>
      </c>
      <c r="E2034" s="5" t="s">
        <v>517</v>
      </c>
      <c r="F2034" s="9">
        <v>61</v>
      </c>
      <c r="G2034" s="9">
        <v>742</v>
      </c>
      <c r="H2034" s="5" t="s">
        <v>21</v>
      </c>
      <c r="I2034" s="5" t="s">
        <v>5321</v>
      </c>
      <c r="J2034" s="12" t="str">
        <f>HYPERLINK("https://www.boe.es/gazeta/dias/1802/07/27/pdfs/GMD-1802-61.pdf#page=10","Abrir facsímil")</f>
        <v>Abrir facsímil</v>
      </c>
      <c r="K2034" s="15" t="s">
        <v>23</v>
      </c>
    </row>
    <row r="2035" spans="1:11" ht="42" customHeight="1">
      <c r="A2035" s="4" t="s">
        <v>5315</v>
      </c>
      <c r="B2035" s="5" t="s">
        <v>5316</v>
      </c>
      <c r="C2035" s="5" t="s">
        <v>18</v>
      </c>
      <c r="D2035" s="5" t="s">
        <v>19</v>
      </c>
      <c r="E2035" s="5" t="s">
        <v>292</v>
      </c>
      <c r="F2035" s="9">
        <v>62</v>
      </c>
      <c r="G2035" s="9">
        <v>754</v>
      </c>
      <c r="H2035" s="5" t="s">
        <v>21</v>
      </c>
      <c r="I2035" s="5" t="s">
        <v>5322</v>
      </c>
      <c r="J2035" s="12" t="str">
        <f>HYPERLINK("https://www.boe.es/gazeta/dias/1802/07/30/pdfs/GMD-1802-62.pdf#page=10","Abrir facsímil")</f>
        <v>Abrir facsímil</v>
      </c>
      <c r="K2035" s="15" t="s">
        <v>23</v>
      </c>
    </row>
    <row r="2036" spans="1:11" ht="42" customHeight="1">
      <c r="A2036" s="4" t="s">
        <v>5315</v>
      </c>
      <c r="B2036" s="5" t="s">
        <v>5316</v>
      </c>
      <c r="C2036" s="5" t="s">
        <v>18</v>
      </c>
      <c r="D2036" s="5" t="s">
        <v>19</v>
      </c>
      <c r="E2036" s="5" t="s">
        <v>1185</v>
      </c>
      <c r="F2036" s="9">
        <v>93</v>
      </c>
      <c r="G2036" s="9">
        <v>1150</v>
      </c>
      <c r="H2036" s="5" t="s">
        <v>21</v>
      </c>
      <c r="I2036" s="5" t="s">
        <v>5323</v>
      </c>
      <c r="J2036" s="12" t="str">
        <f>HYPERLINK("https://www.boe.es/gazeta/dias/1802/11/16/pdfs/GMD-1802-93.pdf#page=10","Abrir facsímil")</f>
        <v>Abrir facsímil</v>
      </c>
      <c r="K2036" s="15" t="s">
        <v>23</v>
      </c>
    </row>
    <row r="2037" spans="1:11" ht="42" customHeight="1">
      <c r="A2037" s="4" t="s">
        <v>5315</v>
      </c>
      <c r="B2037" s="5" t="s">
        <v>5316</v>
      </c>
      <c r="C2037" s="5" t="s">
        <v>35</v>
      </c>
      <c r="D2037" s="5" t="s">
        <v>36</v>
      </c>
      <c r="E2037" s="5" t="s">
        <v>185</v>
      </c>
      <c r="F2037" s="9">
        <v>95</v>
      </c>
      <c r="G2037" s="9">
        <v>1174</v>
      </c>
      <c r="H2037" s="5" t="s">
        <v>21</v>
      </c>
      <c r="I2037" s="5" t="s">
        <v>5324</v>
      </c>
      <c r="J2037" s="12" t="str">
        <f>HYPERLINK("https://www.boe.es/gazeta/dias/1802/11/23/pdfs/GMD-1802-95.pdf#page=10","Abrir facsímil")</f>
        <v>Abrir facsímil</v>
      </c>
      <c r="K2037" s="15" t="s">
        <v>23</v>
      </c>
    </row>
    <row r="2038" spans="1:11" ht="42" customHeight="1">
      <c r="A2038" s="4" t="s">
        <v>5325</v>
      </c>
      <c r="B2038" s="5" t="s">
        <v>5326</v>
      </c>
      <c r="C2038" s="5" t="s">
        <v>18</v>
      </c>
      <c r="D2038" s="5" t="s">
        <v>19</v>
      </c>
      <c r="E2038" s="5" t="s">
        <v>865</v>
      </c>
      <c r="F2038" s="9">
        <v>12</v>
      </c>
      <c r="G2038" s="9">
        <v>124</v>
      </c>
      <c r="H2038" s="5" t="s">
        <v>21</v>
      </c>
      <c r="I2038" s="5" t="s">
        <v>5327</v>
      </c>
      <c r="J2038" s="12" t="str">
        <f>HYPERLINK("https://www.boe.es/gazeta/dias/1802/02/09/pdfs/GMD-1802-12.pdf#page=8","Abrir facsímil")</f>
        <v>Abrir facsímil</v>
      </c>
      <c r="K2038" s="15" t="s">
        <v>23</v>
      </c>
    </row>
    <row r="2039" spans="1:11" ht="42" customHeight="1">
      <c r="A2039" s="4" t="s">
        <v>5328</v>
      </c>
      <c r="B2039" s="5" t="s">
        <v>5329</v>
      </c>
      <c r="C2039" s="5" t="s">
        <v>29</v>
      </c>
      <c r="D2039" s="5" t="s">
        <v>30</v>
      </c>
      <c r="E2039" s="5" t="s">
        <v>31</v>
      </c>
      <c r="F2039" s="9">
        <v>27</v>
      </c>
      <c r="G2039" s="9">
        <v>317</v>
      </c>
      <c r="H2039" s="5" t="s">
        <v>21</v>
      </c>
      <c r="I2039" s="5" t="s">
        <v>5330</v>
      </c>
      <c r="J2039" s="12" t="str">
        <f>HYPERLINK("https://www.boe.es/gazeta/dias/1802/04/02/pdfs/GMD-1802-27.pdf#page=13","Abrir facsímil")</f>
        <v>Abrir facsímil</v>
      </c>
      <c r="K2039" s="15" t="s">
        <v>23</v>
      </c>
    </row>
    <row r="2040" spans="1:11" ht="42" customHeight="1">
      <c r="A2040" s="4" t="s">
        <v>5331</v>
      </c>
      <c r="B2040" s="5" t="s">
        <v>5332</v>
      </c>
      <c r="C2040" s="5" t="s">
        <v>18</v>
      </c>
      <c r="D2040" s="5" t="s">
        <v>19</v>
      </c>
      <c r="E2040" s="5" t="s">
        <v>20</v>
      </c>
      <c r="F2040" s="9">
        <v>84</v>
      </c>
      <c r="G2040" s="9">
        <v>1044</v>
      </c>
      <c r="H2040" s="5" t="s">
        <v>21</v>
      </c>
      <c r="I2040" s="5" t="s">
        <v>5333</v>
      </c>
      <c r="J2040" s="12" t="str">
        <f>HYPERLINK("https://www.boe.es/gazeta/dias/1802/10/15/pdfs/GMD-1802-84.pdf#page=12","Abrir facsímil")</f>
        <v>Abrir facsímil</v>
      </c>
      <c r="K2040" s="15" t="s">
        <v>23</v>
      </c>
    </row>
    <row r="2041" spans="1:11" ht="42" customHeight="1">
      <c r="A2041" s="4" t="s">
        <v>5334</v>
      </c>
      <c r="B2041" s="5" t="s">
        <v>5335</v>
      </c>
      <c r="C2041" s="5" t="s">
        <v>35</v>
      </c>
      <c r="D2041" s="5" t="s">
        <v>36</v>
      </c>
      <c r="E2041" s="5" t="s">
        <v>109</v>
      </c>
      <c r="F2041" s="9">
        <v>10</v>
      </c>
      <c r="G2041" s="9">
        <v>96</v>
      </c>
      <c r="H2041" s="5" t="s">
        <v>21</v>
      </c>
      <c r="I2041" s="5" t="s">
        <v>5336</v>
      </c>
      <c r="J2041" s="12" t="str">
        <f>HYPERLINK("https://www.boe.es/gazeta/dias/1802/02/02/pdfs/GMD-1802-10.pdf#page=4","Abrir facsímil")</f>
        <v>Abrir facsímil</v>
      </c>
      <c r="K2041" s="15" t="s">
        <v>23</v>
      </c>
    </row>
    <row r="2042" spans="1:11" ht="42" customHeight="1">
      <c r="A2042" s="4" t="s">
        <v>5337</v>
      </c>
      <c r="B2042" s="5" t="s">
        <v>5338</v>
      </c>
      <c r="C2042" s="5" t="s">
        <v>18</v>
      </c>
      <c r="D2042" s="5" t="s">
        <v>19</v>
      </c>
      <c r="E2042" s="5" t="s">
        <v>258</v>
      </c>
      <c r="F2042" s="9">
        <v>63</v>
      </c>
      <c r="G2042" s="9">
        <v>769</v>
      </c>
      <c r="H2042" s="5" t="s">
        <v>21</v>
      </c>
      <c r="I2042" s="5" t="s">
        <v>5339</v>
      </c>
      <c r="J2042" s="12" t="str">
        <f>HYPERLINK("https://www.boe.es/gazeta/dias/1802/08/03/pdfs/GMD-1802-63.pdf#page=9","Abrir facsímil")</f>
        <v>Abrir facsímil</v>
      </c>
      <c r="K2042" s="15" t="s">
        <v>23</v>
      </c>
    </row>
    <row r="2043" spans="1:11" ht="42" customHeight="1">
      <c r="A2043" s="4" t="s">
        <v>5340</v>
      </c>
      <c r="B2043" s="5" t="s">
        <v>5341</v>
      </c>
      <c r="C2043" s="5" t="s">
        <v>18</v>
      </c>
      <c r="D2043" s="5" t="s">
        <v>19</v>
      </c>
      <c r="E2043" s="5" t="s">
        <v>258</v>
      </c>
      <c r="F2043" s="9">
        <v>63</v>
      </c>
      <c r="G2043" s="9">
        <v>769</v>
      </c>
      <c r="H2043" s="5" t="s">
        <v>21</v>
      </c>
      <c r="I2043" s="5" t="s">
        <v>5342</v>
      </c>
      <c r="J2043" s="12" t="str">
        <f>HYPERLINK("https://www.boe.es/gazeta/dias/1802/08/03/pdfs/GMD-1802-63.pdf#page=9","Abrir facsímil")</f>
        <v>Abrir facsímil</v>
      </c>
      <c r="K2043" s="15" t="s">
        <v>23</v>
      </c>
    </row>
    <row r="2044" spans="1:11" ht="42" customHeight="1">
      <c r="A2044" s="4" t="s">
        <v>5343</v>
      </c>
      <c r="B2044" s="5" t="s">
        <v>5344</v>
      </c>
      <c r="C2044" s="5" t="s">
        <v>29</v>
      </c>
      <c r="D2044" s="5" t="s">
        <v>30</v>
      </c>
      <c r="E2044" s="5" t="s">
        <v>71</v>
      </c>
      <c r="F2044" s="9">
        <v>21</v>
      </c>
      <c r="G2044" s="9">
        <v>233</v>
      </c>
      <c r="H2044" s="5" t="s">
        <v>21</v>
      </c>
      <c r="I2044" s="5" t="s">
        <v>5345</v>
      </c>
      <c r="J2044" s="12" t="str">
        <f>HYPERLINK("https://www.boe.es/gazeta/dias/1802/03/12/pdfs/GMD-1802-21.pdf#page=9","Abrir facsímil")</f>
        <v>Abrir facsímil</v>
      </c>
      <c r="K2044" s="15" t="s">
        <v>23</v>
      </c>
    </row>
    <row r="2045" spans="1:11" ht="42" customHeight="1">
      <c r="A2045" s="4" t="s">
        <v>5346</v>
      </c>
      <c r="B2045" s="5" t="s">
        <v>5347</v>
      </c>
      <c r="C2045" s="5" t="s">
        <v>18</v>
      </c>
      <c r="D2045" s="5" t="s">
        <v>19</v>
      </c>
      <c r="E2045" s="5" t="s">
        <v>170</v>
      </c>
      <c r="F2045" s="9">
        <v>28</v>
      </c>
      <c r="G2045" s="9">
        <v>329</v>
      </c>
      <c r="H2045" s="5" t="s">
        <v>21</v>
      </c>
      <c r="I2045" s="5" t="s">
        <v>5348</v>
      </c>
      <c r="J2045" s="12" t="str">
        <f>HYPERLINK("https://www.boe.es/gazeta/dias/1802/04/06/pdfs/GMD-1802-28.pdf#page=9","Abrir facsímil")</f>
        <v>Abrir facsímil</v>
      </c>
      <c r="K2045" s="15" t="s">
        <v>23</v>
      </c>
    </row>
    <row r="2046" spans="1:11" ht="42" customHeight="1">
      <c r="A2046" s="4" t="s">
        <v>5346</v>
      </c>
      <c r="B2046" s="5" t="s">
        <v>5347</v>
      </c>
      <c r="C2046" s="5" t="s">
        <v>572</v>
      </c>
      <c r="D2046" s="5" t="s">
        <v>573</v>
      </c>
      <c r="E2046" s="5" t="s">
        <v>574</v>
      </c>
      <c r="F2046" s="9" t="s">
        <v>575</v>
      </c>
      <c r="G2046" s="9">
        <v>710</v>
      </c>
      <c r="H2046" s="5" t="s">
        <v>21</v>
      </c>
      <c r="I2046" s="5" t="s">
        <v>5349</v>
      </c>
      <c r="J2046" s="12" t="str">
        <f>HYPERLINK("https://www.boe.es/gazeta/dias/1802/07/21/pdfs/GMD-1802-59E.pdf#page=6","Abrir facsímil")</f>
        <v>Abrir facsímil</v>
      </c>
      <c r="K2046" s="15" t="s">
        <v>23</v>
      </c>
    </row>
    <row r="2047" spans="1:11" ht="42" customHeight="1">
      <c r="A2047" s="4" t="s">
        <v>5350</v>
      </c>
      <c r="B2047" s="5" t="s">
        <v>5351</v>
      </c>
      <c r="C2047" s="5" t="s">
        <v>29</v>
      </c>
      <c r="D2047" s="5" t="s">
        <v>30</v>
      </c>
      <c r="E2047" s="5" t="s">
        <v>530</v>
      </c>
      <c r="F2047" s="9">
        <v>48</v>
      </c>
      <c r="G2047" s="9">
        <v>586</v>
      </c>
      <c r="H2047" s="5" t="s">
        <v>21</v>
      </c>
      <c r="I2047" s="5" t="s">
        <v>5352</v>
      </c>
      <c r="J2047" s="12" t="str">
        <f>HYPERLINK("https://www.boe.es/gazeta/dias/1802/06/15/pdfs/GMD-1802-48.pdf#page=10","Abrir facsímil")</f>
        <v>Abrir facsímil</v>
      </c>
      <c r="K2047" s="15" t="s">
        <v>23</v>
      </c>
    </row>
    <row r="2048" spans="1:11" ht="42" customHeight="1">
      <c r="A2048" s="4" t="s">
        <v>5353</v>
      </c>
      <c r="B2048" s="5" t="s">
        <v>5354</v>
      </c>
      <c r="C2048" s="5" t="s">
        <v>90</v>
      </c>
      <c r="D2048" s="5" t="s">
        <v>91</v>
      </c>
      <c r="E2048" s="5" t="s">
        <v>517</v>
      </c>
      <c r="F2048" s="9">
        <v>61</v>
      </c>
      <c r="G2048" s="9">
        <v>744</v>
      </c>
      <c r="H2048" s="5" t="s">
        <v>21</v>
      </c>
      <c r="I2048" s="5" t="s">
        <v>5355</v>
      </c>
      <c r="J2048" s="12" t="str">
        <f>HYPERLINK("https://www.boe.es/gazeta/dias/1802/07/27/pdfs/GMD-1802-61.pdf#page=12","Abrir facsímil")</f>
        <v>Abrir facsímil</v>
      </c>
      <c r="K2048" s="15" t="s">
        <v>23</v>
      </c>
    </row>
    <row r="2049" spans="1:11" ht="42" customHeight="1">
      <c r="A2049" s="4" t="s">
        <v>5356</v>
      </c>
      <c r="B2049" s="5" t="s">
        <v>5357</v>
      </c>
      <c r="C2049" s="5" t="s">
        <v>29</v>
      </c>
      <c r="D2049" s="5" t="s">
        <v>30</v>
      </c>
      <c r="E2049" s="5" t="s">
        <v>133</v>
      </c>
      <c r="F2049" s="9">
        <v>33</v>
      </c>
      <c r="G2049" s="9">
        <v>387</v>
      </c>
      <c r="H2049" s="5" t="s">
        <v>21</v>
      </c>
      <c r="I2049" s="5" t="s">
        <v>5358</v>
      </c>
      <c r="J2049" s="12" t="str">
        <f>HYPERLINK("https://www.boe.es/gazeta/dias/1802/04/23/pdfs/GMD-1802-33.pdf#page=7","Abrir facsímil")</f>
        <v>Abrir facsímil</v>
      </c>
      <c r="K2049" s="15" t="s">
        <v>23</v>
      </c>
    </row>
    <row r="2050" spans="1:11" ht="42" customHeight="1">
      <c r="A2050" s="4" t="s">
        <v>5359</v>
      </c>
      <c r="B2050" s="5" t="s">
        <v>5360</v>
      </c>
      <c r="C2050" s="5" t="s">
        <v>18</v>
      </c>
      <c r="D2050" s="5" t="s">
        <v>19</v>
      </c>
      <c r="E2050" s="5" t="s">
        <v>20</v>
      </c>
      <c r="F2050" s="9">
        <v>84</v>
      </c>
      <c r="G2050" s="9">
        <v>1044</v>
      </c>
      <c r="H2050" s="5" t="s">
        <v>21</v>
      </c>
      <c r="I2050" s="5" t="s">
        <v>5361</v>
      </c>
      <c r="J2050" s="12" t="str">
        <f>HYPERLINK("https://www.boe.es/gazeta/dias/1802/10/15/pdfs/GMD-1802-84.pdf#page=12","Abrir facsímil")</f>
        <v>Abrir facsímil</v>
      </c>
      <c r="K2050" s="15" t="s">
        <v>23</v>
      </c>
    </row>
    <row r="2051" spans="1:11" ht="42" customHeight="1">
      <c r="A2051" s="4" t="s">
        <v>5362</v>
      </c>
      <c r="B2051" s="5" t="s">
        <v>5363</v>
      </c>
      <c r="C2051" s="5" t="s">
        <v>35</v>
      </c>
      <c r="D2051" s="5" t="s">
        <v>36</v>
      </c>
      <c r="E2051" s="5" t="s">
        <v>491</v>
      </c>
      <c r="F2051" s="9">
        <v>57</v>
      </c>
      <c r="G2051" s="9">
        <v>688</v>
      </c>
      <c r="H2051" s="5" t="s">
        <v>21</v>
      </c>
      <c r="I2051" s="5" t="s">
        <v>5364</v>
      </c>
      <c r="J2051" s="12" t="str">
        <f>HYPERLINK("https://www.boe.es/gazeta/dias/1802/07/16/pdfs/GMD-1802-57.pdf#page=8","Abrir facsímil")</f>
        <v>Abrir facsímil</v>
      </c>
      <c r="K2051" s="15" t="s">
        <v>23</v>
      </c>
    </row>
    <row r="2052" spans="1:11" ht="42" customHeight="1">
      <c r="A2052" s="4" t="s">
        <v>5365</v>
      </c>
      <c r="B2052" s="5" t="s">
        <v>5366</v>
      </c>
      <c r="C2052" s="5" t="s">
        <v>90</v>
      </c>
      <c r="D2052" s="5" t="s">
        <v>91</v>
      </c>
      <c r="E2052" s="5" t="s">
        <v>1374</v>
      </c>
      <c r="F2052" s="9">
        <v>71</v>
      </c>
      <c r="G2052" s="9">
        <v>875</v>
      </c>
      <c r="H2052" s="5" t="s">
        <v>21</v>
      </c>
      <c r="I2052" s="5" t="s">
        <v>5367</v>
      </c>
      <c r="J2052" s="12" t="str">
        <f>HYPERLINK("https://www.boe.es/gazeta/dias/1802/08/31/pdfs/GMD-1802-71.pdf#page=11","Abrir facsímil")</f>
        <v>Abrir facsímil</v>
      </c>
      <c r="K2052" s="15" t="s">
        <v>23</v>
      </c>
    </row>
    <row r="2053" spans="1:11" ht="42" customHeight="1">
      <c r="A2053" s="4" t="s">
        <v>5368</v>
      </c>
      <c r="B2053" s="5" t="s">
        <v>5369</v>
      </c>
      <c r="C2053" s="5" t="s">
        <v>29</v>
      </c>
      <c r="D2053" s="5" t="s">
        <v>30</v>
      </c>
      <c r="E2053" s="5" t="s">
        <v>109</v>
      </c>
      <c r="F2053" s="9">
        <v>10</v>
      </c>
      <c r="G2053" s="9">
        <v>98</v>
      </c>
      <c r="H2053" s="5" t="s">
        <v>21</v>
      </c>
      <c r="I2053" s="5" t="s">
        <v>5370</v>
      </c>
      <c r="J2053" s="12" t="str">
        <f>HYPERLINK("https://www.boe.es/gazeta/dias/1802/02/02/pdfs/GMD-1802-10.pdf#page=6","Abrir facsímil")</f>
        <v>Abrir facsímil</v>
      </c>
      <c r="K2053" s="15" t="s">
        <v>23</v>
      </c>
    </row>
    <row r="2054" spans="1:11" ht="42" customHeight="1">
      <c r="A2054" s="4" t="s">
        <v>5371</v>
      </c>
      <c r="B2054" s="5" t="s">
        <v>5372</v>
      </c>
      <c r="C2054" s="5" t="s">
        <v>29</v>
      </c>
      <c r="D2054" s="5" t="s">
        <v>30</v>
      </c>
      <c r="E2054" s="5" t="s">
        <v>152</v>
      </c>
      <c r="F2054" s="9">
        <v>25</v>
      </c>
      <c r="G2054" s="9">
        <v>286</v>
      </c>
      <c r="H2054" s="5" t="s">
        <v>21</v>
      </c>
      <c r="I2054" s="5" t="s">
        <v>5373</v>
      </c>
      <c r="J2054" s="12" t="str">
        <f>HYPERLINK("https://www.boe.es/gazeta/dias/1802/03/26/pdfs/GMD-1802-25.pdf#page=10","Abrir facsímil")</f>
        <v>Abrir facsímil</v>
      </c>
      <c r="K2054" s="15" t="s">
        <v>23</v>
      </c>
    </row>
    <row r="2055" spans="1:11" ht="42" customHeight="1">
      <c r="A2055" s="4" t="s">
        <v>5374</v>
      </c>
      <c r="B2055" s="5" t="s">
        <v>5375</v>
      </c>
      <c r="C2055" s="5" t="s">
        <v>18</v>
      </c>
      <c r="D2055" s="5" t="s">
        <v>19</v>
      </c>
      <c r="E2055" s="5" t="s">
        <v>436</v>
      </c>
      <c r="F2055" s="9">
        <v>58</v>
      </c>
      <c r="G2055" s="9">
        <v>700</v>
      </c>
      <c r="H2055" s="5" t="s">
        <v>21</v>
      </c>
      <c r="I2055" s="5" t="s">
        <v>5376</v>
      </c>
      <c r="J2055" s="12" t="str">
        <f>HYPERLINK("https://www.boe.es/gazeta/dias/1802/07/20/pdfs/GMD-1802-58.pdf#page=8","Abrir facsímil")</f>
        <v>Abrir facsímil</v>
      </c>
      <c r="K2055" s="15" t="s">
        <v>23</v>
      </c>
    </row>
    <row r="2056" spans="1:11" ht="42" customHeight="1">
      <c r="A2056" s="4" t="s">
        <v>5374</v>
      </c>
      <c r="B2056" s="5" t="s">
        <v>5375</v>
      </c>
      <c r="C2056" s="5" t="s">
        <v>572</v>
      </c>
      <c r="D2056" s="5" t="s">
        <v>573</v>
      </c>
      <c r="E2056" s="5" t="s">
        <v>574</v>
      </c>
      <c r="F2056" s="9" t="s">
        <v>575</v>
      </c>
      <c r="G2056" s="9">
        <v>711</v>
      </c>
      <c r="H2056" s="5" t="s">
        <v>21</v>
      </c>
      <c r="I2056" s="5" t="s">
        <v>5377</v>
      </c>
      <c r="J2056" s="12" t="str">
        <f>HYPERLINK("https://www.boe.es/gazeta/dias/1802/07/21/pdfs/GMD-1802-59E.pdf#page=7","Abrir facsímil")</f>
        <v>Abrir facsímil</v>
      </c>
      <c r="K2056" s="15" t="s">
        <v>23</v>
      </c>
    </row>
    <row r="2057" spans="1:11" ht="42" customHeight="1">
      <c r="A2057" s="4" t="s">
        <v>5374</v>
      </c>
      <c r="B2057" s="5" t="s">
        <v>5375</v>
      </c>
      <c r="C2057" s="5" t="s">
        <v>572</v>
      </c>
      <c r="D2057" s="5" t="s">
        <v>573</v>
      </c>
      <c r="E2057" s="5" t="s">
        <v>574</v>
      </c>
      <c r="F2057" s="9" t="s">
        <v>575</v>
      </c>
      <c r="G2057" s="9">
        <v>712</v>
      </c>
      <c r="H2057" s="5" t="s">
        <v>21</v>
      </c>
      <c r="I2057" s="5" t="s">
        <v>5378</v>
      </c>
      <c r="J2057" s="12" t="str">
        <f>HYPERLINK("https://www.boe.es/gazeta/dias/1802/07/21/pdfs/GMD-1802-59E.pdf#page=8","Abrir facsímil")</f>
        <v>Abrir facsímil</v>
      </c>
      <c r="K2057" s="15" t="s">
        <v>23</v>
      </c>
    </row>
    <row r="2058" spans="1:11" ht="42" customHeight="1">
      <c r="A2058" s="4" t="s">
        <v>5379</v>
      </c>
      <c r="B2058" s="5" t="s">
        <v>5380</v>
      </c>
      <c r="C2058" s="5" t="s">
        <v>18</v>
      </c>
      <c r="D2058" s="5" t="s">
        <v>19</v>
      </c>
      <c r="E2058" s="5" t="s">
        <v>20</v>
      </c>
      <c r="F2058" s="9">
        <v>84</v>
      </c>
      <c r="G2058" s="9">
        <v>1046</v>
      </c>
      <c r="H2058" s="5" t="s">
        <v>21</v>
      </c>
      <c r="I2058" s="5" t="s">
        <v>5381</v>
      </c>
      <c r="J2058" s="12" t="str">
        <f>HYPERLINK("https://www.boe.es/gazeta/dias/1802/10/15/pdfs/GMD-1802-84.pdf#page=14","Abrir facsímil")</f>
        <v>Abrir facsímil</v>
      </c>
      <c r="K2058" s="15" t="s">
        <v>23</v>
      </c>
    </row>
    <row r="2059" spans="1:11" ht="42" customHeight="1">
      <c r="A2059" s="4" t="s">
        <v>5382</v>
      </c>
      <c r="B2059" s="5" t="s">
        <v>5383</v>
      </c>
      <c r="C2059" s="5" t="s">
        <v>18</v>
      </c>
      <c r="D2059" s="5" t="s">
        <v>19</v>
      </c>
      <c r="E2059" s="5" t="s">
        <v>20</v>
      </c>
      <c r="F2059" s="9">
        <v>84</v>
      </c>
      <c r="G2059" s="9">
        <v>1041</v>
      </c>
      <c r="H2059" s="5" t="s">
        <v>21</v>
      </c>
      <c r="I2059" s="5" t="s">
        <v>5384</v>
      </c>
      <c r="J2059" s="12" t="str">
        <f>HYPERLINK("https://www.boe.es/gazeta/dias/1802/10/15/pdfs/GMD-1802-84.pdf#page=9","Abrir facsímil")</f>
        <v>Abrir facsímil</v>
      </c>
      <c r="K2059" s="15" t="s">
        <v>23</v>
      </c>
    </row>
    <row r="2060" spans="1:11" ht="42" customHeight="1">
      <c r="A2060" s="4" t="s">
        <v>5385</v>
      </c>
      <c r="B2060" s="5" t="s">
        <v>5386</v>
      </c>
      <c r="C2060" s="5" t="s">
        <v>29</v>
      </c>
      <c r="D2060" s="5" t="s">
        <v>30</v>
      </c>
      <c r="E2060" s="5" t="s">
        <v>31</v>
      </c>
      <c r="F2060" s="9">
        <v>27</v>
      </c>
      <c r="G2060" s="9">
        <v>317</v>
      </c>
      <c r="H2060" s="5" t="s">
        <v>21</v>
      </c>
      <c r="I2060" s="5" t="s">
        <v>5387</v>
      </c>
      <c r="J2060" s="12" t="str">
        <f>HYPERLINK("https://www.boe.es/gazeta/dias/1802/04/02/pdfs/GMD-1802-27.pdf#page=13","Abrir facsímil")</f>
        <v>Abrir facsímil</v>
      </c>
      <c r="K2060" s="15" t="s">
        <v>23</v>
      </c>
    </row>
    <row r="2061" spans="1:11" ht="42" customHeight="1">
      <c r="A2061" s="4" t="s">
        <v>5388</v>
      </c>
      <c r="B2061" s="5" t="s">
        <v>5389</v>
      </c>
      <c r="C2061" s="5" t="s">
        <v>35</v>
      </c>
      <c r="D2061" s="5" t="s">
        <v>36</v>
      </c>
      <c r="E2061" s="5" t="s">
        <v>751</v>
      </c>
      <c r="F2061" s="9">
        <v>98</v>
      </c>
      <c r="G2061" s="9">
        <v>1210</v>
      </c>
      <c r="H2061" s="5" t="s">
        <v>21</v>
      </c>
      <c r="I2061" s="5" t="s">
        <v>5390</v>
      </c>
      <c r="J2061" s="12" t="str">
        <f>HYPERLINK("https://www.boe.es/gazeta/dias/1802/12/03/pdfs/GMD-1802-98.pdf#page=6","Abrir facsímil")</f>
        <v>Abrir facsímil</v>
      </c>
      <c r="K2061" s="15" t="s">
        <v>23</v>
      </c>
    </row>
    <row r="2062" spans="1:11" ht="42" customHeight="1">
      <c r="A2062" s="4" t="s">
        <v>5391</v>
      </c>
      <c r="B2062" s="5" t="s">
        <v>5392</v>
      </c>
      <c r="C2062" s="5" t="s">
        <v>29</v>
      </c>
      <c r="D2062" s="5" t="s">
        <v>30</v>
      </c>
      <c r="E2062" s="5" t="s">
        <v>339</v>
      </c>
      <c r="F2062" s="9">
        <v>39</v>
      </c>
      <c r="G2062" s="9">
        <v>468</v>
      </c>
      <c r="H2062" s="5" t="s">
        <v>21</v>
      </c>
      <c r="I2062" s="5" t="s">
        <v>5393</v>
      </c>
      <c r="J2062" s="12" t="str">
        <f>HYPERLINK("https://www.boe.es/gazeta/dias/1802/05/14/pdfs/GMD-1802-39.pdf#page=12","Abrir facsímil")</f>
        <v>Abrir facsímil</v>
      </c>
      <c r="K2062" s="15" t="s">
        <v>23</v>
      </c>
    </row>
    <row r="2063" spans="1:11" ht="42" customHeight="1">
      <c r="A2063" s="4" t="s">
        <v>5394</v>
      </c>
      <c r="B2063" s="5" t="s">
        <v>5395</v>
      </c>
      <c r="C2063" s="5" t="s">
        <v>29</v>
      </c>
      <c r="D2063" s="5" t="s">
        <v>30</v>
      </c>
      <c r="E2063" s="5" t="s">
        <v>86</v>
      </c>
      <c r="F2063" s="9">
        <v>26</v>
      </c>
      <c r="G2063" s="9">
        <v>298</v>
      </c>
      <c r="H2063" s="5" t="s">
        <v>21</v>
      </c>
      <c r="I2063" s="5" t="s">
        <v>5396</v>
      </c>
      <c r="J2063" s="12" t="str">
        <f>HYPERLINK("https://www.boe.es/gazeta/dias/1802/03/30/pdfs/GMD-1802-26.pdf#page=10","Abrir facsímil")</f>
        <v>Abrir facsímil</v>
      </c>
      <c r="K2063" s="15" t="s">
        <v>23</v>
      </c>
    </row>
    <row r="2064" spans="1:11" ht="42" customHeight="1">
      <c r="A2064" s="4" t="s">
        <v>5397</v>
      </c>
      <c r="B2064" s="5" t="s">
        <v>5398</v>
      </c>
      <c r="C2064" s="5" t="s">
        <v>18</v>
      </c>
      <c r="D2064" s="5" t="s">
        <v>19</v>
      </c>
      <c r="E2064" s="5" t="s">
        <v>20</v>
      </c>
      <c r="F2064" s="9">
        <v>84</v>
      </c>
      <c r="G2064" s="9">
        <v>1047</v>
      </c>
      <c r="H2064" s="5" t="s">
        <v>21</v>
      </c>
      <c r="I2064" s="5" t="s">
        <v>5399</v>
      </c>
      <c r="J2064" s="12" t="str">
        <f>HYPERLINK("https://www.boe.es/gazeta/dias/1802/10/15/pdfs/GMD-1802-84.pdf#page=15","Abrir facsímil")</f>
        <v>Abrir facsímil</v>
      </c>
      <c r="K2064" s="15" t="s">
        <v>23</v>
      </c>
    </row>
    <row r="2065" spans="1:11" ht="42" customHeight="1">
      <c r="A2065" s="4" t="s">
        <v>5400</v>
      </c>
      <c r="B2065" s="5" t="s">
        <v>5401</v>
      </c>
      <c r="C2065" s="5" t="s">
        <v>29</v>
      </c>
      <c r="D2065" s="5" t="s">
        <v>30</v>
      </c>
      <c r="E2065" s="5" t="s">
        <v>49</v>
      </c>
      <c r="F2065" s="9">
        <v>83</v>
      </c>
      <c r="G2065" s="9">
        <v>1021</v>
      </c>
      <c r="H2065" s="5" t="s">
        <v>21</v>
      </c>
      <c r="I2065" s="5" t="s">
        <v>5402</v>
      </c>
      <c r="J2065" s="12" t="str">
        <f>HYPERLINK("https://www.boe.es/gazeta/dias/1802/10/12/pdfs/GMD-1802-83.pdf#page=9","Abrir facsímil")</f>
        <v>Abrir facsímil</v>
      </c>
      <c r="K2065" s="15" t="s">
        <v>23</v>
      </c>
    </row>
    <row r="2066" spans="1:11" ht="42" customHeight="1">
      <c r="A2066" s="4" t="s">
        <v>5403</v>
      </c>
      <c r="B2066" s="5" t="s">
        <v>5404</v>
      </c>
      <c r="C2066" s="5" t="s">
        <v>29</v>
      </c>
      <c r="D2066" s="5" t="s">
        <v>30</v>
      </c>
      <c r="E2066" s="5" t="s">
        <v>152</v>
      </c>
      <c r="F2066" s="9">
        <v>25</v>
      </c>
      <c r="G2066" s="9">
        <v>285</v>
      </c>
      <c r="H2066" s="5" t="s">
        <v>21</v>
      </c>
      <c r="I2066" s="5" t="s">
        <v>5405</v>
      </c>
      <c r="J2066" s="12" t="str">
        <f>HYPERLINK("https://www.boe.es/gazeta/dias/1802/03/26/pdfs/GMD-1802-25.pdf#page=9","Abrir facsímil")</f>
        <v>Abrir facsímil</v>
      </c>
      <c r="K2066" s="15" t="s">
        <v>23</v>
      </c>
    </row>
    <row r="2067" spans="1:11" ht="42" customHeight="1">
      <c r="A2067" s="4" t="s">
        <v>5406</v>
      </c>
      <c r="B2067" s="5" t="s">
        <v>5407</v>
      </c>
      <c r="C2067" s="5" t="s">
        <v>18</v>
      </c>
      <c r="D2067" s="5" t="s">
        <v>19</v>
      </c>
      <c r="E2067" s="5" t="s">
        <v>49</v>
      </c>
      <c r="F2067" s="9">
        <v>83</v>
      </c>
      <c r="G2067" s="9">
        <v>1025</v>
      </c>
      <c r="H2067" s="5" t="s">
        <v>21</v>
      </c>
      <c r="I2067" s="5" t="s">
        <v>5408</v>
      </c>
      <c r="J2067" s="12" t="str">
        <f>HYPERLINK("https://www.boe.es/gazeta/dias/1802/10/12/pdfs/GMD-1802-83.pdf#page=13","Abrir facsímil")</f>
        <v>Abrir facsímil</v>
      </c>
      <c r="K2067" s="15" t="s">
        <v>23</v>
      </c>
    </row>
    <row r="2068" spans="1:11" ht="42" customHeight="1">
      <c r="A2068" s="4" t="s">
        <v>5409</v>
      </c>
      <c r="B2068" s="5" t="s">
        <v>5410</v>
      </c>
      <c r="C2068" s="5" t="s">
        <v>18</v>
      </c>
      <c r="D2068" s="5" t="s">
        <v>19</v>
      </c>
      <c r="E2068" s="5" t="s">
        <v>20</v>
      </c>
      <c r="F2068" s="9">
        <v>84</v>
      </c>
      <c r="G2068" s="9">
        <v>1043</v>
      </c>
      <c r="H2068" s="5" t="s">
        <v>21</v>
      </c>
      <c r="I2068" s="5" t="s">
        <v>5411</v>
      </c>
      <c r="J2068" s="12" t="str">
        <f>HYPERLINK("https://www.boe.es/gazeta/dias/1802/10/15/pdfs/GMD-1802-84.pdf#page=11","Abrir facsímil")</f>
        <v>Abrir facsímil</v>
      </c>
      <c r="K2068" s="15" t="s">
        <v>23</v>
      </c>
    </row>
    <row r="2069" spans="1:11" ht="42" customHeight="1">
      <c r="A2069" s="4" t="s">
        <v>5412</v>
      </c>
      <c r="B2069" s="5" t="s">
        <v>5413</v>
      </c>
      <c r="C2069" s="5" t="s">
        <v>18</v>
      </c>
      <c r="D2069" s="5" t="s">
        <v>19</v>
      </c>
      <c r="E2069" s="5" t="s">
        <v>907</v>
      </c>
      <c r="F2069" s="9">
        <v>77</v>
      </c>
      <c r="G2069" s="9">
        <v>950</v>
      </c>
      <c r="H2069" s="5" t="s">
        <v>21</v>
      </c>
      <c r="I2069" s="5" t="s">
        <v>5414</v>
      </c>
      <c r="J2069" s="12" t="str">
        <f>HYPERLINK("https://www.boe.es/gazeta/dias/1802/09/21/pdfs/GMD-1802-77.pdf#page=10","Abrir facsímil")</f>
        <v>Abrir facsímil</v>
      </c>
      <c r="K2069" s="15" t="s">
        <v>23</v>
      </c>
    </row>
    <row r="2070" spans="1:11" ht="42" customHeight="1">
      <c r="A2070" s="4" t="s">
        <v>5415</v>
      </c>
      <c r="B2070" s="5" t="s">
        <v>5416</v>
      </c>
      <c r="C2070" s="5" t="s">
        <v>35</v>
      </c>
      <c r="D2070" s="5" t="s">
        <v>36</v>
      </c>
      <c r="E2070" s="5" t="s">
        <v>1618</v>
      </c>
      <c r="F2070" s="9">
        <v>31</v>
      </c>
      <c r="G2070" s="9">
        <v>357</v>
      </c>
      <c r="H2070" s="5" t="s">
        <v>21</v>
      </c>
      <c r="I2070" s="5" t="s">
        <v>5417</v>
      </c>
      <c r="J2070" s="12" t="str">
        <f>HYPERLINK("https://www.boe.es/gazeta/dias/1802/04/16/pdfs/GMD-1802-31.pdf#page=1","Abrir facsímil")</f>
        <v>Abrir facsímil</v>
      </c>
      <c r="K2070" s="15" t="s">
        <v>23</v>
      </c>
    </row>
    <row r="2071" spans="1:11" ht="42" customHeight="1">
      <c r="A2071" s="4" t="s">
        <v>5418</v>
      </c>
      <c r="B2071" s="5" t="s">
        <v>5419</v>
      </c>
      <c r="C2071" s="5" t="s">
        <v>29</v>
      </c>
      <c r="D2071" s="5" t="s">
        <v>30</v>
      </c>
      <c r="E2071" s="5" t="s">
        <v>121</v>
      </c>
      <c r="F2071" s="9">
        <v>87</v>
      </c>
      <c r="G2071" s="9">
        <v>1081</v>
      </c>
      <c r="H2071" s="5" t="s">
        <v>21</v>
      </c>
      <c r="I2071" s="5" t="s">
        <v>5420</v>
      </c>
      <c r="J2071" s="12" t="str">
        <f>HYPERLINK("https://www.boe.es/gazeta/dias/1802/10/26/pdfs/GMD-1802-87.pdf#page=9","Abrir facsímil")</f>
        <v>Abrir facsímil</v>
      </c>
      <c r="K2071" s="15" t="s">
        <v>23</v>
      </c>
    </row>
    <row r="2072" spans="1:11" ht="42" customHeight="1">
      <c r="A2072" s="4" t="s">
        <v>5421</v>
      </c>
      <c r="B2072" s="5" t="s">
        <v>5422</v>
      </c>
      <c r="C2072" s="5" t="s">
        <v>29</v>
      </c>
      <c r="D2072" s="5" t="s">
        <v>30</v>
      </c>
      <c r="E2072" s="5" t="s">
        <v>247</v>
      </c>
      <c r="F2072" s="9">
        <v>14</v>
      </c>
      <c r="G2072" s="9">
        <v>145</v>
      </c>
      <c r="H2072" s="5" t="s">
        <v>21</v>
      </c>
      <c r="I2072" s="5" t="s">
        <v>5423</v>
      </c>
      <c r="J2072" s="12" t="str">
        <f>HYPERLINK("https://www.boe.es/gazeta/dias/1802/02/16/pdfs/GMD-1802-14.pdf#page=9","Abrir facsímil")</f>
        <v>Abrir facsímil</v>
      </c>
      <c r="K2072" s="15" t="s">
        <v>23</v>
      </c>
    </row>
    <row r="2073" spans="1:11" ht="42" customHeight="1">
      <c r="A2073" s="4" t="s">
        <v>5424</v>
      </c>
      <c r="B2073" s="5" t="s">
        <v>5425</v>
      </c>
      <c r="C2073" s="5" t="s">
        <v>29</v>
      </c>
      <c r="D2073" s="5" t="s">
        <v>30</v>
      </c>
      <c r="E2073" s="5" t="s">
        <v>749</v>
      </c>
      <c r="F2073" s="9">
        <v>97</v>
      </c>
      <c r="G2073" s="9">
        <v>1203</v>
      </c>
      <c r="H2073" s="5" t="s">
        <v>21</v>
      </c>
      <c r="I2073" s="5" t="s">
        <v>5426</v>
      </c>
      <c r="J2073" s="12" t="str">
        <f>HYPERLINK("https://www.boe.es/gazeta/dias/1802/11/30/pdfs/GMD-1802-97.pdf#page=11","Abrir facsímil")</f>
        <v>Abrir facsímil</v>
      </c>
      <c r="K2073" s="15" t="s">
        <v>23</v>
      </c>
    </row>
    <row r="2074" spans="1:11" ht="42" customHeight="1">
      <c r="A2074" s="4" t="s">
        <v>5427</v>
      </c>
      <c r="B2074" s="5" t="s">
        <v>5428</v>
      </c>
      <c r="C2074" s="5" t="s">
        <v>29</v>
      </c>
      <c r="D2074" s="5" t="s">
        <v>30</v>
      </c>
      <c r="E2074" s="5" t="s">
        <v>146</v>
      </c>
      <c r="F2074" s="9">
        <v>42</v>
      </c>
      <c r="G2074" s="9">
        <v>504</v>
      </c>
      <c r="H2074" s="5" t="s">
        <v>21</v>
      </c>
      <c r="I2074" s="5" t="s">
        <v>5429</v>
      </c>
      <c r="J2074" s="12" t="str">
        <f>HYPERLINK("https://www.boe.es/gazeta/dias/1802/05/25/pdfs/GMD-1802-42.pdf#page=8","Abrir facsímil")</f>
        <v>Abrir facsímil</v>
      </c>
      <c r="K2074" s="15" t="s">
        <v>23</v>
      </c>
    </row>
    <row r="2075" spans="1:11" ht="42" customHeight="1">
      <c r="A2075" s="4" t="s">
        <v>5430</v>
      </c>
      <c r="B2075" s="5" t="s">
        <v>5431</v>
      </c>
      <c r="C2075" s="5" t="s">
        <v>90</v>
      </c>
      <c r="D2075" s="5" t="s">
        <v>91</v>
      </c>
      <c r="E2075" s="5" t="s">
        <v>172</v>
      </c>
      <c r="F2075" s="9">
        <v>35</v>
      </c>
      <c r="G2075" s="9">
        <v>413</v>
      </c>
      <c r="H2075" s="5" t="s">
        <v>21</v>
      </c>
      <c r="I2075" s="5" t="s">
        <v>5432</v>
      </c>
      <c r="J2075" s="12" t="str">
        <f>HYPERLINK("https://www.boe.es/gazeta/dias/1802/04/30/pdfs/GMD-1802-35.pdf#page=13","Abrir facsímil")</f>
        <v>Abrir facsímil</v>
      </c>
      <c r="K2075" s="15" t="s">
        <v>23</v>
      </c>
    </row>
    <row r="2076" spans="1:11" ht="42" customHeight="1">
      <c r="A2076" s="4" t="s">
        <v>5433</v>
      </c>
      <c r="B2076" s="5" t="s">
        <v>5434</v>
      </c>
      <c r="C2076" s="5" t="s">
        <v>35</v>
      </c>
      <c r="D2076" s="5" t="s">
        <v>36</v>
      </c>
      <c r="E2076" s="5" t="s">
        <v>206</v>
      </c>
      <c r="F2076" s="9">
        <v>22</v>
      </c>
      <c r="G2076" s="9">
        <v>234</v>
      </c>
      <c r="H2076" s="5" t="s">
        <v>21</v>
      </c>
      <c r="I2076" s="5" t="s">
        <v>5435</v>
      </c>
      <c r="J2076" s="12" t="str">
        <f>HYPERLINK("https://www.boe.es/gazeta/dias/1802/03/16/pdfs/GMD-1802-22.pdf#page=2","Abrir facsímil")</f>
        <v>Abrir facsímil</v>
      </c>
      <c r="K2076" s="15" t="s">
        <v>23</v>
      </c>
    </row>
    <row r="2077" spans="1:11" ht="42" customHeight="1">
      <c r="A2077" s="4" t="s">
        <v>5436</v>
      </c>
      <c r="B2077" s="5" t="s">
        <v>5437</v>
      </c>
      <c r="C2077" s="5" t="s">
        <v>18</v>
      </c>
      <c r="D2077" s="5" t="s">
        <v>19</v>
      </c>
      <c r="E2077" s="5" t="s">
        <v>163</v>
      </c>
      <c r="F2077" s="9">
        <v>1</v>
      </c>
      <c r="G2077" s="9">
        <v>2</v>
      </c>
      <c r="H2077" s="5" t="s">
        <v>21</v>
      </c>
      <c r="I2077" s="5" t="s">
        <v>5438</v>
      </c>
      <c r="J2077" s="12" t="str">
        <f>HYPERLINK("https://www.boe.es/gazeta/dias/1802/01/01/pdfs/GMD-1802-1.pdf#page=2","Abrir facsímil")</f>
        <v>Abrir facsímil</v>
      </c>
      <c r="K2077" s="15" t="s">
        <v>23</v>
      </c>
    </row>
    <row r="2078" spans="1:11" ht="42" customHeight="1">
      <c r="A2078" s="4" t="s">
        <v>5439</v>
      </c>
      <c r="B2078" s="5" t="s">
        <v>5440</v>
      </c>
      <c r="C2078" s="5" t="s">
        <v>160</v>
      </c>
      <c r="D2078" s="5" t="s">
        <v>91</v>
      </c>
      <c r="E2078" s="5" t="s">
        <v>604</v>
      </c>
      <c r="F2078" s="9">
        <v>100</v>
      </c>
      <c r="G2078" s="9">
        <v>1235</v>
      </c>
      <c r="H2078" s="5" t="s">
        <v>21</v>
      </c>
      <c r="I2078" s="5" t="s">
        <v>5441</v>
      </c>
      <c r="J2078" s="12" t="str">
        <f>HYPERLINK("https://www.boe.es/gazeta/dias/1802/12/10/pdfs/GMD-1802-100.pdf#page=7","Abrir facsímil")</f>
        <v>Abrir facsímil</v>
      </c>
      <c r="K2078" s="15" t="s">
        <v>23</v>
      </c>
    </row>
    <row r="2079" spans="1:11" ht="42" customHeight="1">
      <c r="A2079" s="4" t="s">
        <v>5442</v>
      </c>
      <c r="B2079" s="5" t="s">
        <v>5443</v>
      </c>
      <c r="C2079" s="5" t="s">
        <v>160</v>
      </c>
      <c r="D2079" s="5" t="s">
        <v>91</v>
      </c>
      <c r="E2079" s="5" t="s">
        <v>148</v>
      </c>
      <c r="F2079" s="9">
        <v>66</v>
      </c>
      <c r="G2079" s="9">
        <v>811</v>
      </c>
      <c r="H2079" s="5" t="s">
        <v>21</v>
      </c>
      <c r="I2079" s="5" t="s">
        <v>5444</v>
      </c>
      <c r="J2079" s="12" t="str">
        <f>HYPERLINK("https://www.boe.es/gazeta/dias/1802/08/13/pdfs/GMD-1802-66.pdf#page=15","Abrir facsímil")</f>
        <v>Abrir facsímil</v>
      </c>
      <c r="K2079" s="15" t="s">
        <v>23</v>
      </c>
    </row>
    <row r="2080" spans="1:11" ht="42" customHeight="1">
      <c r="A2080" s="4" t="s">
        <v>5445</v>
      </c>
      <c r="B2080" s="5" t="s">
        <v>5446</v>
      </c>
      <c r="C2080" s="5" t="s">
        <v>18</v>
      </c>
      <c r="D2080" s="5" t="s">
        <v>19</v>
      </c>
      <c r="E2080" s="5" t="s">
        <v>20</v>
      </c>
      <c r="F2080" s="9">
        <v>84</v>
      </c>
      <c r="G2080" s="9">
        <v>1047</v>
      </c>
      <c r="H2080" s="5" t="s">
        <v>21</v>
      </c>
      <c r="I2080" s="5" t="s">
        <v>5447</v>
      </c>
      <c r="J2080" s="12" t="str">
        <f>HYPERLINK("https://www.boe.es/gazeta/dias/1802/10/15/pdfs/GMD-1802-84.pdf#page=15","Abrir facsímil")</f>
        <v>Abrir facsímil</v>
      </c>
      <c r="K2080" s="15" t="s">
        <v>23</v>
      </c>
    </row>
    <row r="2081" spans="1:11" ht="42" customHeight="1">
      <c r="A2081" s="4" t="s">
        <v>5448</v>
      </c>
      <c r="B2081" s="5" t="s">
        <v>5449</v>
      </c>
      <c r="C2081" s="5" t="s">
        <v>18</v>
      </c>
      <c r="D2081" s="5" t="s">
        <v>19</v>
      </c>
      <c r="E2081" s="5" t="s">
        <v>20</v>
      </c>
      <c r="F2081" s="9">
        <v>84</v>
      </c>
      <c r="G2081" s="9">
        <v>1046</v>
      </c>
      <c r="H2081" s="5" t="s">
        <v>21</v>
      </c>
      <c r="I2081" s="5" t="s">
        <v>5450</v>
      </c>
      <c r="J2081" s="12" t="str">
        <f>HYPERLINK("https://www.boe.es/gazeta/dias/1802/10/15/pdfs/GMD-1802-84.pdf#page=14","Abrir facsímil")</f>
        <v>Abrir facsímil</v>
      </c>
      <c r="K2081" s="15" t="s">
        <v>23</v>
      </c>
    </row>
    <row r="2082" spans="1:11" ht="42" customHeight="1">
      <c r="A2082" s="4" t="s">
        <v>5451</v>
      </c>
      <c r="B2082" s="5" t="s">
        <v>5452</v>
      </c>
      <c r="C2082" s="5" t="s">
        <v>55</v>
      </c>
      <c r="D2082" s="5" t="s">
        <v>56</v>
      </c>
      <c r="E2082" s="5" t="s">
        <v>328</v>
      </c>
      <c r="F2082" s="9">
        <v>45</v>
      </c>
      <c r="G2082" s="9">
        <v>546</v>
      </c>
      <c r="H2082" s="5" t="s">
        <v>21</v>
      </c>
      <c r="I2082" s="5" t="s">
        <v>5453</v>
      </c>
      <c r="J2082" s="12" t="str">
        <f>HYPERLINK("https://www.boe.es/gazeta/dias/1802/06/04/pdfs/GMD-1802-45.pdf#page=10","Abrir facsímil")</f>
        <v>Abrir facsímil</v>
      </c>
      <c r="K2082" s="15" t="s">
        <v>23</v>
      </c>
    </row>
    <row r="2083" spans="1:11" ht="42" customHeight="1">
      <c r="A2083" s="4" t="s">
        <v>5454</v>
      </c>
      <c r="B2083" s="5" t="s">
        <v>5455</v>
      </c>
      <c r="C2083" s="5" t="s">
        <v>55</v>
      </c>
      <c r="D2083" s="5" t="s">
        <v>56</v>
      </c>
      <c r="E2083" s="5" t="s">
        <v>635</v>
      </c>
      <c r="F2083" s="9">
        <v>47</v>
      </c>
      <c r="G2083" s="9">
        <v>576</v>
      </c>
      <c r="H2083" s="5" t="s">
        <v>21</v>
      </c>
      <c r="I2083" s="5" t="s">
        <v>5456</v>
      </c>
      <c r="J2083" s="12" t="str">
        <f>HYPERLINK("https://www.boe.es/gazeta/dias/1802/06/11/pdfs/GMD-1802-47.pdf#page=12","Abrir facsímil")</f>
        <v>Abrir facsímil</v>
      </c>
      <c r="K2083" s="15" t="s">
        <v>23</v>
      </c>
    </row>
    <row r="2084" spans="1:11" ht="42" customHeight="1">
      <c r="A2084" s="4" t="s">
        <v>5454</v>
      </c>
      <c r="B2084" s="5" t="s">
        <v>5455</v>
      </c>
      <c r="C2084" s="5" t="s">
        <v>55</v>
      </c>
      <c r="D2084" s="5" t="s">
        <v>56</v>
      </c>
      <c r="E2084" s="5" t="s">
        <v>75</v>
      </c>
      <c r="F2084" s="9">
        <v>103</v>
      </c>
      <c r="G2084" s="9">
        <v>1264</v>
      </c>
      <c r="H2084" s="5" t="s">
        <v>21</v>
      </c>
      <c r="I2084" s="5" t="s">
        <v>5457</v>
      </c>
      <c r="J2084" s="12" t="str">
        <f>HYPERLINK("https://www.boe.es/gazeta/dias/1802/12/21/pdfs/GMD-1802-103.pdf#page=8","Abrir facsímil")</f>
        <v>Abrir facsímil</v>
      </c>
      <c r="K2084" s="15" t="s">
        <v>23</v>
      </c>
    </row>
    <row r="2085" spans="1:11" ht="42" customHeight="1">
      <c r="A2085" s="4" t="s">
        <v>5458</v>
      </c>
      <c r="B2085" s="5" t="s">
        <v>5459</v>
      </c>
      <c r="C2085" s="5" t="s">
        <v>160</v>
      </c>
      <c r="D2085" s="5" t="s">
        <v>91</v>
      </c>
      <c r="E2085" s="5" t="s">
        <v>31</v>
      </c>
      <c r="F2085" s="9">
        <v>27</v>
      </c>
      <c r="G2085" s="9">
        <v>319</v>
      </c>
      <c r="H2085" s="5" t="s">
        <v>21</v>
      </c>
      <c r="I2085" s="5" t="s">
        <v>5460</v>
      </c>
      <c r="J2085" s="12" t="str">
        <f>HYPERLINK("https://www.boe.es/gazeta/dias/1802/04/02/pdfs/GMD-1802-27.pdf#page=15","Abrir facsímil")</f>
        <v>Abrir facsímil</v>
      </c>
      <c r="K2085" s="15" t="s">
        <v>23</v>
      </c>
    </row>
    <row r="2086" spans="1:11" ht="42" customHeight="1">
      <c r="A2086" s="4" t="s">
        <v>5461</v>
      </c>
      <c r="B2086" s="5" t="s">
        <v>5462</v>
      </c>
      <c r="C2086" s="5" t="s">
        <v>18</v>
      </c>
      <c r="D2086" s="5" t="s">
        <v>19</v>
      </c>
      <c r="E2086" s="5" t="s">
        <v>439</v>
      </c>
      <c r="F2086" s="9">
        <v>76</v>
      </c>
      <c r="G2086" s="9">
        <v>938</v>
      </c>
      <c r="H2086" s="5" t="s">
        <v>21</v>
      </c>
      <c r="I2086" s="5" t="s">
        <v>5463</v>
      </c>
      <c r="J2086" s="12" t="str">
        <f>HYPERLINK("https://www.boe.es/gazeta/dias/1802/09/17/pdfs/GMD-1802-76.pdf#page=10","Abrir facsímil")</f>
        <v>Abrir facsímil</v>
      </c>
      <c r="K2086" s="15" t="s">
        <v>23</v>
      </c>
    </row>
    <row r="2087" spans="1:11" ht="42" customHeight="1">
      <c r="A2087" s="4" t="s">
        <v>5464</v>
      </c>
      <c r="B2087" s="5" t="s">
        <v>5465</v>
      </c>
      <c r="C2087" s="5" t="s">
        <v>29</v>
      </c>
      <c r="D2087" s="5" t="s">
        <v>30</v>
      </c>
      <c r="E2087" s="5" t="s">
        <v>443</v>
      </c>
      <c r="F2087" s="9">
        <v>78</v>
      </c>
      <c r="G2087" s="9">
        <v>963</v>
      </c>
      <c r="H2087" s="5" t="s">
        <v>21</v>
      </c>
      <c r="I2087" s="5" t="s">
        <v>5466</v>
      </c>
      <c r="J2087" s="12" t="str">
        <f>HYPERLINK("https://www.boe.es/gazeta/dias/1802/09/24/pdfs/GMD-1802-78.pdf#page=11","Abrir facsímil")</f>
        <v>Abrir facsímil</v>
      </c>
      <c r="K2087" s="15" t="s">
        <v>23</v>
      </c>
    </row>
    <row r="2088" spans="1:11" ht="42" customHeight="1">
      <c r="A2088" s="4" t="s">
        <v>5467</v>
      </c>
      <c r="B2088" s="5" t="s">
        <v>5468</v>
      </c>
      <c r="C2088" s="5" t="s">
        <v>18</v>
      </c>
      <c r="D2088" s="5" t="s">
        <v>19</v>
      </c>
      <c r="E2088" s="5" t="s">
        <v>20</v>
      </c>
      <c r="F2088" s="9">
        <v>84</v>
      </c>
      <c r="G2088" s="9">
        <v>1047</v>
      </c>
      <c r="H2088" s="5" t="s">
        <v>21</v>
      </c>
      <c r="I2088" s="5" t="s">
        <v>5469</v>
      </c>
      <c r="J2088" s="12" t="str">
        <f>HYPERLINK("https://www.boe.es/gazeta/dias/1802/10/15/pdfs/GMD-1802-84.pdf#page=15","Abrir facsímil")</f>
        <v>Abrir facsímil</v>
      </c>
      <c r="K2088" s="15" t="s">
        <v>23</v>
      </c>
    </row>
    <row r="2089" spans="1:11" ht="42" customHeight="1">
      <c r="A2089" s="4" t="s">
        <v>5470</v>
      </c>
      <c r="B2089" s="5" t="s">
        <v>5471</v>
      </c>
      <c r="C2089" s="5" t="s">
        <v>55</v>
      </c>
      <c r="D2089" s="5" t="s">
        <v>56</v>
      </c>
      <c r="E2089" s="5" t="s">
        <v>443</v>
      </c>
      <c r="F2089" s="9">
        <v>78</v>
      </c>
      <c r="G2089" s="9">
        <v>964</v>
      </c>
      <c r="H2089" s="5" t="s">
        <v>21</v>
      </c>
      <c r="I2089" s="5" t="s">
        <v>5472</v>
      </c>
      <c r="J2089" s="12" t="str">
        <f>HYPERLINK("https://www.boe.es/gazeta/dias/1802/09/24/pdfs/GMD-1802-78.pdf#page=12","Abrir facsímil")</f>
        <v>Abrir facsímil</v>
      </c>
      <c r="K2089" s="15" t="s">
        <v>23</v>
      </c>
    </row>
    <row r="2090" spans="1:11" ht="42" customHeight="1">
      <c r="A2090" s="4" t="s">
        <v>5473</v>
      </c>
      <c r="B2090" s="5" t="s">
        <v>5474</v>
      </c>
      <c r="C2090" s="5" t="s">
        <v>18</v>
      </c>
      <c r="D2090" s="5" t="s">
        <v>19</v>
      </c>
      <c r="E2090" s="5" t="s">
        <v>196</v>
      </c>
      <c r="F2090" s="9">
        <v>2</v>
      </c>
      <c r="G2090" s="9">
        <v>11</v>
      </c>
      <c r="H2090" s="5" t="s">
        <v>21</v>
      </c>
      <c r="I2090" s="5" t="s">
        <v>5475</v>
      </c>
      <c r="J2090" s="12" t="str">
        <f>HYPERLINK("https://www.boe.es/gazeta/dias/1802/01/05/pdfs/GMD-1802-2.pdf#page=3","Abrir facsímil")</f>
        <v>Abrir facsímil</v>
      </c>
      <c r="K2090" s="15" t="s">
        <v>23</v>
      </c>
    </row>
    <row r="2091" spans="1:11" ht="42" customHeight="1">
      <c r="A2091" s="4" t="s">
        <v>5476</v>
      </c>
      <c r="B2091" s="5" t="s">
        <v>5477</v>
      </c>
      <c r="C2091" s="5" t="s">
        <v>29</v>
      </c>
      <c r="D2091" s="5" t="s">
        <v>30</v>
      </c>
      <c r="E2091" s="5" t="s">
        <v>20</v>
      </c>
      <c r="F2091" s="9">
        <v>84</v>
      </c>
      <c r="G2091" s="9">
        <v>1047</v>
      </c>
      <c r="H2091" s="5" t="s">
        <v>21</v>
      </c>
      <c r="I2091" s="5" t="s">
        <v>5478</v>
      </c>
      <c r="J2091" s="12" t="str">
        <f>HYPERLINK("https://www.boe.es/gazeta/dias/1802/10/15/pdfs/GMD-1802-84.pdf#page=15","Abrir facsímil")</f>
        <v>Abrir facsímil</v>
      </c>
      <c r="K2091" s="15" t="s">
        <v>23</v>
      </c>
    </row>
    <row r="2092" spans="1:11" ht="42" customHeight="1">
      <c r="A2092" s="4" t="s">
        <v>5479</v>
      </c>
      <c r="B2092" s="5" t="s">
        <v>5480</v>
      </c>
      <c r="C2092" s="5" t="s">
        <v>55</v>
      </c>
      <c r="D2092" s="5" t="s">
        <v>56</v>
      </c>
      <c r="E2092" s="5" t="s">
        <v>706</v>
      </c>
      <c r="F2092" s="9">
        <v>80</v>
      </c>
      <c r="G2092" s="9">
        <v>988</v>
      </c>
      <c r="H2092" s="5" t="s">
        <v>21</v>
      </c>
      <c r="I2092" s="5" t="s">
        <v>5481</v>
      </c>
      <c r="J2092" s="12" t="str">
        <f>HYPERLINK("https://www.boe.es/gazeta/dias/1802/10/01/pdfs/GMD-1802-80.pdf#page=12","Abrir facsímil")</f>
        <v>Abrir facsímil</v>
      </c>
      <c r="K2092" s="15" t="s">
        <v>23</v>
      </c>
    </row>
    <row r="2093" spans="1:11" ht="42" customHeight="1">
      <c r="A2093" s="4" t="s">
        <v>5482</v>
      </c>
      <c r="B2093" s="5" t="s">
        <v>5483</v>
      </c>
      <c r="C2093" s="5" t="s">
        <v>29</v>
      </c>
      <c r="D2093" s="5" t="s">
        <v>30</v>
      </c>
      <c r="E2093" s="5" t="s">
        <v>670</v>
      </c>
      <c r="F2093" s="9">
        <v>40</v>
      </c>
      <c r="G2093" s="9">
        <v>481</v>
      </c>
      <c r="H2093" s="5" t="s">
        <v>21</v>
      </c>
      <c r="I2093" s="5" t="s">
        <v>5484</v>
      </c>
      <c r="J2093" s="12" t="str">
        <f>HYPERLINK("https://www.boe.es/gazeta/dias/1802/05/18/pdfs/GMD-1802-40.pdf#page=9","Abrir facsímil")</f>
        <v>Abrir facsímil</v>
      </c>
      <c r="K2093" s="15" t="s">
        <v>23</v>
      </c>
    </row>
    <row r="2094" spans="1:11" ht="42" customHeight="1">
      <c r="A2094" s="4" t="s">
        <v>5485</v>
      </c>
      <c r="B2094" s="5" t="s">
        <v>5486</v>
      </c>
      <c r="C2094" s="5" t="s">
        <v>29</v>
      </c>
      <c r="D2094" s="5" t="s">
        <v>30</v>
      </c>
      <c r="E2094" s="5" t="s">
        <v>175</v>
      </c>
      <c r="F2094" s="9">
        <v>37</v>
      </c>
      <c r="G2094" s="9">
        <v>442</v>
      </c>
      <c r="H2094" s="5" t="s">
        <v>21</v>
      </c>
      <c r="I2094" s="5" t="s">
        <v>5487</v>
      </c>
      <c r="J2094" s="12" t="str">
        <f>HYPERLINK("https://www.boe.es/gazeta/dias/1802/05/07/pdfs/GMD-1802-37.pdf#page=10","Abrir facsímil")</f>
        <v>Abrir facsímil</v>
      </c>
      <c r="K2094" s="15" t="s">
        <v>23</v>
      </c>
    </row>
    <row r="2095" spans="1:11" ht="42" customHeight="1">
      <c r="A2095" s="4" t="s">
        <v>5488</v>
      </c>
      <c r="B2095" s="5" t="s">
        <v>5489</v>
      </c>
      <c r="C2095" s="5" t="s">
        <v>29</v>
      </c>
      <c r="D2095" s="5" t="s">
        <v>30</v>
      </c>
      <c r="E2095" s="5" t="s">
        <v>49</v>
      </c>
      <c r="F2095" s="9">
        <v>83</v>
      </c>
      <c r="G2095" s="9">
        <v>1019</v>
      </c>
      <c r="H2095" s="5" t="s">
        <v>21</v>
      </c>
      <c r="I2095" s="5" t="s">
        <v>5490</v>
      </c>
      <c r="J2095" s="12" t="str">
        <f>HYPERLINK("https://www.boe.es/gazeta/dias/1802/10/12/pdfs/GMD-1802-83.pdf#page=7","Abrir facsímil")</f>
        <v>Abrir facsímil</v>
      </c>
      <c r="K2095" s="15" t="s">
        <v>23</v>
      </c>
    </row>
    <row r="2096" spans="1:11" ht="42" customHeight="1">
      <c r="A2096" s="4" t="s">
        <v>5491</v>
      </c>
      <c r="B2096" s="5" t="s">
        <v>5492</v>
      </c>
      <c r="C2096" s="5" t="s">
        <v>90</v>
      </c>
      <c r="D2096" s="5" t="s">
        <v>91</v>
      </c>
      <c r="E2096" s="5" t="s">
        <v>152</v>
      </c>
      <c r="F2096" s="9">
        <v>25</v>
      </c>
      <c r="G2096" s="9">
        <v>279</v>
      </c>
      <c r="H2096" s="5" t="s">
        <v>21</v>
      </c>
      <c r="I2096" s="5" t="s">
        <v>5493</v>
      </c>
      <c r="J2096" s="12" t="str">
        <f>HYPERLINK("https://www.boe.es/gazeta/dias/1802/03/26/pdfs/GMD-1802-25.pdf#page=3","Abrir facsímil")</f>
        <v>Abrir facsímil</v>
      </c>
      <c r="K2096" s="15" t="s">
        <v>23</v>
      </c>
    </row>
    <row r="2097" spans="1:11" ht="42" customHeight="1">
      <c r="A2097" s="4" t="s">
        <v>5494</v>
      </c>
      <c r="B2097" s="5" t="s">
        <v>5495</v>
      </c>
      <c r="C2097" s="5" t="s">
        <v>29</v>
      </c>
      <c r="D2097" s="5" t="s">
        <v>30</v>
      </c>
      <c r="E2097" s="5" t="s">
        <v>152</v>
      </c>
      <c r="F2097" s="9">
        <v>25</v>
      </c>
      <c r="G2097" s="9">
        <v>285</v>
      </c>
      <c r="H2097" s="5" t="s">
        <v>21</v>
      </c>
      <c r="I2097" s="5" t="s">
        <v>5496</v>
      </c>
      <c r="J2097" s="12" t="str">
        <f>HYPERLINK("https://www.boe.es/gazeta/dias/1802/03/26/pdfs/GMD-1802-25.pdf#page=9","Abrir facsímil")</f>
        <v>Abrir facsímil</v>
      </c>
      <c r="K2097" s="15" t="s">
        <v>23</v>
      </c>
    </row>
    <row r="2098" spans="1:11" ht="42" customHeight="1">
      <c r="A2098" s="4" t="s">
        <v>5497</v>
      </c>
      <c r="B2098" s="5" t="s">
        <v>5498</v>
      </c>
      <c r="C2098" s="5" t="s">
        <v>29</v>
      </c>
      <c r="D2098" s="5" t="s">
        <v>30</v>
      </c>
      <c r="E2098" s="5" t="s">
        <v>109</v>
      </c>
      <c r="F2098" s="9">
        <v>10</v>
      </c>
      <c r="G2098" s="9">
        <v>98</v>
      </c>
      <c r="H2098" s="5" t="s">
        <v>21</v>
      </c>
      <c r="I2098" s="5" t="s">
        <v>5499</v>
      </c>
      <c r="J2098" s="12" t="str">
        <f>HYPERLINK("https://www.boe.es/gazeta/dias/1802/02/02/pdfs/GMD-1802-10.pdf#page=6","Abrir facsímil")</f>
        <v>Abrir facsímil</v>
      </c>
      <c r="K2098" s="15" t="s">
        <v>23</v>
      </c>
    </row>
    <row r="2099" spans="1:11" ht="42" customHeight="1">
      <c r="A2099" s="4" t="s">
        <v>5500</v>
      </c>
      <c r="B2099" s="5" t="s">
        <v>5501</v>
      </c>
      <c r="C2099" s="5" t="s">
        <v>42</v>
      </c>
      <c r="D2099" s="5" t="s">
        <v>43</v>
      </c>
      <c r="E2099" s="5" t="s">
        <v>44</v>
      </c>
      <c r="F2099" s="9">
        <v>99</v>
      </c>
      <c r="G2099" s="9" t="s">
        <v>537</v>
      </c>
      <c r="H2099" s="5" t="s">
        <v>21</v>
      </c>
      <c r="I2099" s="5" t="s">
        <v>5502</v>
      </c>
      <c r="J2099" s="12" t="str">
        <f>HYPERLINK("https://www.boe.es/gazeta/dias/1802/12/07/pdfs/GMD-D-1802-99.pdf#page=9","Abrir facsímil")</f>
        <v>Abrir facsímil</v>
      </c>
      <c r="K2099" s="15" t="s">
        <v>23</v>
      </c>
    </row>
    <row r="2100" spans="1:11" ht="42" customHeight="1">
      <c r="A2100" s="4" t="s">
        <v>5503</v>
      </c>
      <c r="B2100" s="5" t="s">
        <v>5504</v>
      </c>
      <c r="C2100" s="5" t="s">
        <v>160</v>
      </c>
      <c r="D2100" s="5" t="s">
        <v>91</v>
      </c>
      <c r="E2100" s="5" t="s">
        <v>385</v>
      </c>
      <c r="F2100" s="9">
        <v>70</v>
      </c>
      <c r="G2100" s="9">
        <v>861</v>
      </c>
      <c r="H2100" s="5" t="s">
        <v>21</v>
      </c>
      <c r="I2100" s="5" t="s">
        <v>5505</v>
      </c>
      <c r="J2100" s="12" t="str">
        <f>HYPERLINK("https://www.boe.es/gazeta/dias/1802/08/27/pdfs/GMD-1802-70.pdf#page=9","Abrir facsímil")</f>
        <v>Abrir facsímil</v>
      </c>
      <c r="K2100" s="15" t="s">
        <v>23</v>
      </c>
    </row>
    <row r="2101" spans="1:11" ht="42" customHeight="1">
      <c r="A2101" s="4" t="s">
        <v>5503</v>
      </c>
      <c r="B2101" s="5" t="s">
        <v>5504</v>
      </c>
      <c r="C2101" s="5" t="s">
        <v>35</v>
      </c>
      <c r="D2101" s="5" t="s">
        <v>36</v>
      </c>
      <c r="E2101" s="5" t="s">
        <v>385</v>
      </c>
      <c r="F2101" s="9">
        <v>70</v>
      </c>
      <c r="G2101" s="9">
        <v>862</v>
      </c>
      <c r="H2101" s="5" t="s">
        <v>21</v>
      </c>
      <c r="I2101" s="5" t="s">
        <v>5506</v>
      </c>
      <c r="J2101" s="12" t="str">
        <f>HYPERLINK("https://www.boe.es/gazeta/dias/1802/08/27/pdfs/GMD-1802-70.pdf#page=10","Abrir facsímil")</f>
        <v>Abrir facsímil</v>
      </c>
      <c r="K2101" s="15" t="s">
        <v>23</v>
      </c>
    </row>
    <row r="2102" spans="1:11" ht="42" customHeight="1">
      <c r="A2102" s="4" t="s">
        <v>5507</v>
      </c>
      <c r="B2102" s="5" t="s">
        <v>5508</v>
      </c>
      <c r="C2102" s="5" t="s">
        <v>29</v>
      </c>
      <c r="D2102" s="5" t="s">
        <v>30</v>
      </c>
      <c r="E2102" s="5" t="s">
        <v>92</v>
      </c>
      <c r="F2102" s="9">
        <v>29</v>
      </c>
      <c r="G2102" s="9">
        <v>343</v>
      </c>
      <c r="H2102" s="5" t="s">
        <v>21</v>
      </c>
      <c r="I2102" s="5" t="s">
        <v>5509</v>
      </c>
      <c r="J2102" s="12" t="str">
        <f>HYPERLINK("https://www.boe.es/gazeta/dias/1802/04/09/pdfs/GMD-1802-29.pdf#page=11","Abrir facsímil")</f>
        <v>Abrir facsímil</v>
      </c>
      <c r="K2102" s="15" t="s">
        <v>23</v>
      </c>
    </row>
    <row r="2103" spans="1:11" ht="42" customHeight="1">
      <c r="A2103" s="4" t="s">
        <v>5510</v>
      </c>
      <c r="B2103" s="5" t="s">
        <v>5511</v>
      </c>
      <c r="C2103" s="5" t="s">
        <v>29</v>
      </c>
      <c r="D2103" s="5" t="s">
        <v>30</v>
      </c>
      <c r="E2103" s="5" t="s">
        <v>517</v>
      </c>
      <c r="F2103" s="9">
        <v>61</v>
      </c>
      <c r="G2103" s="9">
        <v>738</v>
      </c>
      <c r="H2103" s="5" t="s">
        <v>21</v>
      </c>
      <c r="I2103" s="5" t="s">
        <v>5512</v>
      </c>
      <c r="J2103" s="12" t="str">
        <f>HYPERLINK("https://www.boe.es/gazeta/dias/1802/07/27/pdfs/GMD-1802-61.pdf#page=6","Abrir facsímil")</f>
        <v>Abrir facsímil</v>
      </c>
      <c r="K2103" s="15" t="s">
        <v>23</v>
      </c>
    </row>
    <row r="2104" spans="1:11" ht="42" customHeight="1">
      <c r="A2104" s="4" t="s">
        <v>5513</v>
      </c>
      <c r="B2104" s="5" t="s">
        <v>5514</v>
      </c>
      <c r="C2104" s="5" t="s">
        <v>18</v>
      </c>
      <c r="D2104" s="5" t="s">
        <v>19</v>
      </c>
      <c r="E2104" s="5" t="s">
        <v>389</v>
      </c>
      <c r="F2104" s="9">
        <v>96</v>
      </c>
      <c r="G2104" s="9">
        <v>1192</v>
      </c>
      <c r="H2104" s="5" t="s">
        <v>21</v>
      </c>
      <c r="I2104" s="5" t="s">
        <v>5515</v>
      </c>
      <c r="J2104" s="12" t="str">
        <f>HYPERLINK("https://www.boe.es/gazeta/dias/1802/11/26/pdfs/GMD-1802-96.pdf#page=12","Abrir facsímil")</f>
        <v>Abrir facsímil</v>
      </c>
      <c r="K2104" s="15" t="s">
        <v>23</v>
      </c>
    </row>
    <row r="2105" spans="1:11" ht="42" customHeight="1">
      <c r="A2105" s="4" t="s">
        <v>5516</v>
      </c>
      <c r="B2105" s="5" t="s">
        <v>5517</v>
      </c>
      <c r="C2105" s="5" t="s">
        <v>90</v>
      </c>
      <c r="D2105" s="5" t="s">
        <v>91</v>
      </c>
      <c r="E2105" s="5" t="s">
        <v>678</v>
      </c>
      <c r="F2105" s="9">
        <v>15</v>
      </c>
      <c r="G2105" s="9">
        <v>157</v>
      </c>
      <c r="H2105" s="5" t="s">
        <v>21</v>
      </c>
      <c r="I2105" s="5" t="s">
        <v>5518</v>
      </c>
      <c r="J2105" s="12" t="str">
        <f>HYPERLINK("https://www.boe.es/gazeta/dias/1802/02/19/pdfs/GMD-1802-15.pdf#page=9","Abrir facsímil")</f>
        <v>Abrir facsímil</v>
      </c>
      <c r="K2105" s="15" t="s">
        <v>23</v>
      </c>
    </row>
    <row r="2106" spans="1:11" ht="42" customHeight="1">
      <c r="A2106" s="4" t="s">
        <v>5519</v>
      </c>
      <c r="B2106" s="5" t="s">
        <v>5520</v>
      </c>
      <c r="C2106" s="5" t="s">
        <v>29</v>
      </c>
      <c r="D2106" s="5" t="s">
        <v>30</v>
      </c>
      <c r="E2106" s="5" t="s">
        <v>185</v>
      </c>
      <c r="F2106" s="9">
        <v>95</v>
      </c>
      <c r="G2106" s="9">
        <v>1173</v>
      </c>
      <c r="H2106" s="5" t="s">
        <v>21</v>
      </c>
      <c r="I2106" s="5" t="s">
        <v>5521</v>
      </c>
      <c r="J2106" s="12" t="str">
        <f>HYPERLINK("https://www.boe.es/gazeta/dias/1802/11/23/pdfs/GMD-1802-95.pdf#page=9","Abrir facsímil")</f>
        <v>Abrir facsímil</v>
      </c>
      <c r="K2106" s="15" t="s">
        <v>23</v>
      </c>
    </row>
    <row r="2107" spans="1:11" ht="42" customHeight="1">
      <c r="A2107" s="4" t="s">
        <v>5522</v>
      </c>
      <c r="B2107" s="5" t="s">
        <v>5523</v>
      </c>
      <c r="C2107" s="5" t="s">
        <v>18</v>
      </c>
      <c r="D2107" s="5" t="s">
        <v>19</v>
      </c>
      <c r="E2107" s="5" t="s">
        <v>20</v>
      </c>
      <c r="F2107" s="9">
        <v>84</v>
      </c>
      <c r="G2107" s="9">
        <v>1047</v>
      </c>
      <c r="H2107" s="5" t="s">
        <v>21</v>
      </c>
      <c r="I2107" s="5" t="s">
        <v>5524</v>
      </c>
      <c r="J2107" s="12" t="str">
        <f>HYPERLINK("https://www.boe.es/gazeta/dias/1802/10/15/pdfs/GMD-1802-84.pdf#page=15","Abrir facsímil")</f>
        <v>Abrir facsímil</v>
      </c>
      <c r="K2107" s="15" t="s">
        <v>23</v>
      </c>
    </row>
    <row r="2108" spans="1:11" ht="42" customHeight="1">
      <c r="A2108" s="4" t="s">
        <v>5525</v>
      </c>
      <c r="B2108" s="5" t="s">
        <v>5526</v>
      </c>
      <c r="C2108" s="5" t="s">
        <v>29</v>
      </c>
      <c r="D2108" s="5" t="s">
        <v>30</v>
      </c>
      <c r="E2108" s="5" t="s">
        <v>907</v>
      </c>
      <c r="F2108" s="9">
        <v>77</v>
      </c>
      <c r="G2108" s="9">
        <v>950</v>
      </c>
      <c r="H2108" s="5" t="s">
        <v>21</v>
      </c>
      <c r="I2108" s="5" t="s">
        <v>5527</v>
      </c>
      <c r="J2108" s="12" t="str">
        <f>HYPERLINK("https://www.boe.es/gazeta/dias/1802/09/21/pdfs/GMD-1802-77.pdf#page=10","Abrir facsímil")</f>
        <v>Abrir facsímil</v>
      </c>
      <c r="K2108" s="15" t="s">
        <v>23</v>
      </c>
    </row>
    <row r="2109" spans="1:11" ht="42" customHeight="1">
      <c r="A2109" s="4" t="s">
        <v>5528</v>
      </c>
      <c r="B2109" s="5" t="s">
        <v>5529</v>
      </c>
      <c r="C2109" s="5" t="s">
        <v>29</v>
      </c>
      <c r="D2109" s="5" t="s">
        <v>30</v>
      </c>
      <c r="E2109" s="5" t="s">
        <v>121</v>
      </c>
      <c r="F2109" s="9">
        <v>87</v>
      </c>
      <c r="G2109" s="9">
        <v>1082</v>
      </c>
      <c r="H2109" s="5" t="s">
        <v>21</v>
      </c>
      <c r="I2109" s="5" t="s">
        <v>5530</v>
      </c>
      <c r="J2109" s="12" t="str">
        <f>HYPERLINK("https://www.boe.es/gazeta/dias/1802/10/26/pdfs/GMD-1802-87.pdf#page=10","Abrir facsímil")</f>
        <v>Abrir facsímil</v>
      </c>
      <c r="K2109" s="15" t="s">
        <v>23</v>
      </c>
    </row>
    <row r="2110" spans="1:11" ht="42" customHeight="1">
      <c r="A2110" s="4" t="s">
        <v>5531</v>
      </c>
      <c r="B2110" s="5" t="s">
        <v>5532</v>
      </c>
      <c r="C2110" s="5" t="s">
        <v>90</v>
      </c>
      <c r="D2110" s="5" t="s">
        <v>91</v>
      </c>
      <c r="E2110" s="5" t="s">
        <v>389</v>
      </c>
      <c r="F2110" s="9">
        <v>96</v>
      </c>
      <c r="G2110" s="9">
        <v>1189</v>
      </c>
      <c r="H2110" s="5" t="s">
        <v>21</v>
      </c>
      <c r="I2110" s="5" t="s">
        <v>5533</v>
      </c>
      <c r="J2110" s="12" t="str">
        <f>HYPERLINK("https://www.boe.es/gazeta/dias/1802/11/26/pdfs/GMD-1802-96.pdf#page=9","Abrir facsímil")</f>
        <v>Abrir facsímil</v>
      </c>
      <c r="K2110" s="15" t="s">
        <v>23</v>
      </c>
    </row>
    <row r="2111" spans="1:11" ht="42" customHeight="1">
      <c r="A2111" s="4" t="s">
        <v>5534</v>
      </c>
      <c r="B2111" s="5" t="s">
        <v>5535</v>
      </c>
      <c r="C2111" s="5" t="s">
        <v>18</v>
      </c>
      <c r="D2111" s="5" t="s">
        <v>19</v>
      </c>
      <c r="E2111" s="5" t="s">
        <v>20</v>
      </c>
      <c r="F2111" s="9">
        <v>84</v>
      </c>
      <c r="G2111" s="9">
        <v>1042</v>
      </c>
      <c r="H2111" s="5" t="s">
        <v>21</v>
      </c>
      <c r="I2111" s="5" t="s">
        <v>5536</v>
      </c>
      <c r="J2111" s="12" t="str">
        <f>HYPERLINK("https://www.boe.es/gazeta/dias/1802/10/15/pdfs/GMD-1802-84.pdf#page=10","Abrir facsímil")</f>
        <v>Abrir facsímil</v>
      </c>
      <c r="K2111" s="15" t="s">
        <v>23</v>
      </c>
    </row>
    <row r="2112" spans="1:11" ht="42" customHeight="1">
      <c r="A2112" s="4" t="s">
        <v>5537</v>
      </c>
      <c r="B2112" s="5" t="s">
        <v>5538</v>
      </c>
      <c r="C2112" s="5" t="s">
        <v>29</v>
      </c>
      <c r="D2112" s="5" t="s">
        <v>30</v>
      </c>
      <c r="E2112" s="5" t="s">
        <v>1618</v>
      </c>
      <c r="F2112" s="9">
        <v>31</v>
      </c>
      <c r="G2112" s="9">
        <v>366</v>
      </c>
      <c r="H2112" s="5" t="s">
        <v>21</v>
      </c>
      <c r="I2112" s="5" t="s">
        <v>5539</v>
      </c>
      <c r="J2112" s="12" t="str">
        <f>HYPERLINK("https://www.boe.es/gazeta/dias/1802/04/16/pdfs/GMD-1802-31.pdf#page=10","Abrir facsímil")</f>
        <v>Abrir facsímil</v>
      </c>
      <c r="K2112" s="15" t="s">
        <v>23</v>
      </c>
    </row>
    <row r="2113" spans="1:11" ht="42" customHeight="1">
      <c r="A2113" s="4" t="s">
        <v>5540</v>
      </c>
      <c r="B2113" s="5" t="s">
        <v>5541</v>
      </c>
      <c r="C2113" s="5" t="s">
        <v>29</v>
      </c>
      <c r="D2113" s="5" t="s">
        <v>30</v>
      </c>
      <c r="E2113" s="5" t="s">
        <v>1332</v>
      </c>
      <c r="F2113" s="9">
        <v>4</v>
      </c>
      <c r="G2113" s="9">
        <v>37</v>
      </c>
      <c r="H2113" s="5" t="s">
        <v>21</v>
      </c>
      <c r="I2113" s="5" t="s">
        <v>5542</v>
      </c>
      <c r="J2113" s="12" t="str">
        <f>HYPERLINK("https://www.boe.es/gazeta/dias/1802/01/12/pdfs/GMD-1802-4.pdf#page=9","Abrir facsímil")</f>
        <v>Abrir facsímil</v>
      </c>
      <c r="K2113" s="15" t="s">
        <v>23</v>
      </c>
    </row>
    <row r="2114" spans="1:11" ht="42" customHeight="1">
      <c r="A2114" s="4" t="s">
        <v>5543</v>
      </c>
      <c r="B2114" s="5" t="s">
        <v>5544</v>
      </c>
      <c r="C2114" s="5" t="s">
        <v>29</v>
      </c>
      <c r="D2114" s="5" t="s">
        <v>30</v>
      </c>
      <c r="E2114" s="5" t="s">
        <v>128</v>
      </c>
      <c r="F2114" s="9">
        <v>9</v>
      </c>
      <c r="G2114" s="9">
        <v>89</v>
      </c>
      <c r="H2114" s="5" t="s">
        <v>21</v>
      </c>
      <c r="I2114" s="5" t="s">
        <v>5545</v>
      </c>
      <c r="J2114" s="12" t="str">
        <f>HYPERLINK("https://www.boe.es/gazeta/dias/1802/01/29/pdfs/GMD-1802-9.pdf#page=9","Abrir facsímil")</f>
        <v>Abrir facsímil</v>
      </c>
      <c r="K2114" s="15" t="s">
        <v>23</v>
      </c>
    </row>
    <row r="2115" spans="1:11" ht="42" customHeight="1">
      <c r="A2115" s="4" t="s">
        <v>5546</v>
      </c>
      <c r="B2115" s="5" t="s">
        <v>5547</v>
      </c>
      <c r="C2115" s="5" t="s">
        <v>29</v>
      </c>
      <c r="D2115" s="5" t="s">
        <v>30</v>
      </c>
      <c r="E2115" s="5" t="s">
        <v>1381</v>
      </c>
      <c r="F2115" s="9">
        <v>17</v>
      </c>
      <c r="G2115" s="9">
        <v>185</v>
      </c>
      <c r="H2115" s="5" t="s">
        <v>21</v>
      </c>
      <c r="I2115" s="5" t="s">
        <v>5548</v>
      </c>
      <c r="J2115" s="12" t="str">
        <f>HYPERLINK("https://www.boe.es/gazeta/dias/1802/02/26/pdfs/GMD-1802-17.pdf#page=9","Abrir facsímil")</f>
        <v>Abrir facsímil</v>
      </c>
      <c r="K2115" s="15" t="s">
        <v>23</v>
      </c>
    </row>
    <row r="2116" spans="1:11" ht="42" customHeight="1">
      <c r="A2116" s="4" t="s">
        <v>5549</v>
      </c>
      <c r="B2116" s="5" t="s">
        <v>5550</v>
      </c>
      <c r="C2116" s="5" t="s">
        <v>29</v>
      </c>
      <c r="D2116" s="5" t="s">
        <v>30</v>
      </c>
      <c r="E2116" s="5" t="s">
        <v>128</v>
      </c>
      <c r="F2116" s="9">
        <v>9</v>
      </c>
      <c r="G2116" s="9">
        <v>90</v>
      </c>
      <c r="H2116" s="5" t="s">
        <v>21</v>
      </c>
      <c r="I2116" s="5" t="s">
        <v>5551</v>
      </c>
      <c r="J2116" s="12" t="str">
        <f>HYPERLINK("https://www.boe.es/gazeta/dias/1802/01/29/pdfs/GMD-1802-9.pdf#page=10","Abrir facsímil")</f>
        <v>Abrir facsímil</v>
      </c>
      <c r="K2116" s="15" t="s">
        <v>23</v>
      </c>
    </row>
    <row r="2117" spans="1:11" ht="42" customHeight="1">
      <c r="A2117" s="4" t="s">
        <v>5552</v>
      </c>
      <c r="B2117" s="5" t="s">
        <v>5553</v>
      </c>
      <c r="C2117" s="5" t="s">
        <v>18</v>
      </c>
      <c r="D2117" s="5" t="s">
        <v>19</v>
      </c>
      <c r="E2117" s="5" t="s">
        <v>20</v>
      </c>
      <c r="F2117" s="9">
        <v>84</v>
      </c>
      <c r="G2117" s="9">
        <v>1047</v>
      </c>
      <c r="H2117" s="5" t="s">
        <v>21</v>
      </c>
      <c r="I2117" s="5" t="s">
        <v>5554</v>
      </c>
      <c r="J2117" s="12" t="str">
        <f>HYPERLINK("https://www.boe.es/gazeta/dias/1802/10/15/pdfs/GMD-1802-84.pdf#page=15","Abrir facsímil")</f>
        <v>Abrir facsímil</v>
      </c>
      <c r="K2117" s="15" t="s">
        <v>23</v>
      </c>
    </row>
    <row r="2118" spans="1:11" ht="42" customHeight="1">
      <c r="A2118" s="4" t="s">
        <v>5555</v>
      </c>
      <c r="B2118" s="5" t="s">
        <v>5556</v>
      </c>
      <c r="C2118" s="5" t="s">
        <v>29</v>
      </c>
      <c r="D2118" s="5" t="s">
        <v>30</v>
      </c>
      <c r="E2118" s="5" t="s">
        <v>1289</v>
      </c>
      <c r="F2118" s="9">
        <v>72</v>
      </c>
      <c r="G2118" s="9">
        <v>885</v>
      </c>
      <c r="H2118" s="5" t="s">
        <v>21</v>
      </c>
      <c r="I2118" s="5" t="s">
        <v>5557</v>
      </c>
      <c r="J2118" s="12" t="str">
        <f>HYPERLINK("https://www.boe.es/gazeta/dias/1802/09/03/pdfs/GMD-1802-72.pdf#page=5","Abrir facsímil")</f>
        <v>Abrir facsímil</v>
      </c>
      <c r="K2118" s="15" t="s">
        <v>23</v>
      </c>
    </row>
    <row r="2119" spans="1:11" ht="42" customHeight="1">
      <c r="A2119" s="4" t="s">
        <v>5558</v>
      </c>
      <c r="B2119" s="5" t="s">
        <v>5559</v>
      </c>
      <c r="C2119" s="5" t="s">
        <v>90</v>
      </c>
      <c r="D2119" s="5" t="s">
        <v>91</v>
      </c>
      <c r="E2119" s="5" t="s">
        <v>1332</v>
      </c>
      <c r="F2119" s="9">
        <v>4</v>
      </c>
      <c r="G2119" s="9">
        <v>38</v>
      </c>
      <c r="H2119" s="5" t="s">
        <v>21</v>
      </c>
      <c r="I2119" s="5" t="s">
        <v>5560</v>
      </c>
      <c r="J2119" s="12" t="str">
        <f>HYPERLINK("https://www.boe.es/gazeta/dias/1802/01/12/pdfs/GMD-1802-4.pdf#page=10","Abrir facsímil")</f>
        <v>Abrir facsímil</v>
      </c>
      <c r="K2119" s="15" t="s">
        <v>23</v>
      </c>
    </row>
    <row r="2120" spans="1:11" ht="42" customHeight="1">
      <c r="A2120" s="4" t="s">
        <v>5561</v>
      </c>
      <c r="B2120" s="5" t="s">
        <v>5562</v>
      </c>
      <c r="C2120" s="5" t="s">
        <v>18</v>
      </c>
      <c r="D2120" s="5" t="s">
        <v>19</v>
      </c>
      <c r="E2120" s="5" t="s">
        <v>20</v>
      </c>
      <c r="F2120" s="9">
        <v>84</v>
      </c>
      <c r="G2120" s="9">
        <v>1041</v>
      </c>
      <c r="H2120" s="5" t="s">
        <v>21</v>
      </c>
      <c r="I2120" s="5" t="s">
        <v>5563</v>
      </c>
      <c r="J2120" s="12" t="str">
        <f>HYPERLINK("https://www.boe.es/gazeta/dias/1802/10/15/pdfs/GMD-1802-84.pdf#page=9","Abrir facsímil")</f>
        <v>Abrir facsímil</v>
      </c>
      <c r="K2120" s="15" t="s">
        <v>23</v>
      </c>
    </row>
    <row r="2121" spans="1:11" ht="42" customHeight="1">
      <c r="A2121" s="4" t="s">
        <v>5564</v>
      </c>
      <c r="B2121" s="5" t="s">
        <v>5565</v>
      </c>
      <c r="C2121" s="5" t="s">
        <v>29</v>
      </c>
      <c r="D2121" s="5" t="s">
        <v>30</v>
      </c>
      <c r="E2121" s="5" t="s">
        <v>20</v>
      </c>
      <c r="F2121" s="9">
        <v>84</v>
      </c>
      <c r="G2121" s="9">
        <v>1042</v>
      </c>
      <c r="H2121" s="5" t="s">
        <v>21</v>
      </c>
      <c r="I2121" s="5" t="s">
        <v>5566</v>
      </c>
      <c r="J2121" s="12" t="str">
        <f>HYPERLINK("https://www.boe.es/gazeta/dias/1802/10/15/pdfs/GMD-1802-84.pdf#page=10","Abrir facsímil")</f>
        <v>Abrir facsímil</v>
      </c>
      <c r="K2121" s="15" t="s">
        <v>23</v>
      </c>
    </row>
    <row r="2122" spans="1:11" ht="42" customHeight="1">
      <c r="A2122" s="4" t="s">
        <v>5567</v>
      </c>
      <c r="B2122" s="5" t="s">
        <v>5568</v>
      </c>
      <c r="C2122" s="5" t="s">
        <v>55</v>
      </c>
      <c r="D2122" s="5" t="s">
        <v>56</v>
      </c>
      <c r="E2122" s="5" t="s">
        <v>385</v>
      </c>
      <c r="F2122" s="9">
        <v>70</v>
      </c>
      <c r="G2122" s="9">
        <v>864</v>
      </c>
      <c r="H2122" s="5" t="s">
        <v>21</v>
      </c>
      <c r="I2122" s="5" t="s">
        <v>5569</v>
      </c>
      <c r="J2122" s="12" t="str">
        <f>HYPERLINK("https://www.boe.es/gazeta/dias/1802/08/27/pdfs/GMD-1802-70.pdf#page=12","Abrir facsímil")</f>
        <v>Abrir facsímil</v>
      </c>
      <c r="K2122" s="15" t="s">
        <v>23</v>
      </c>
    </row>
    <row r="2123" spans="1:11" ht="42" customHeight="1">
      <c r="A2123" s="4" t="s">
        <v>5570</v>
      </c>
      <c r="B2123" s="5" t="s">
        <v>5571</v>
      </c>
      <c r="C2123" s="5" t="s">
        <v>55</v>
      </c>
      <c r="D2123" s="5" t="s">
        <v>56</v>
      </c>
      <c r="E2123" s="5" t="s">
        <v>754</v>
      </c>
      <c r="F2123" s="9">
        <v>101</v>
      </c>
      <c r="G2123" s="9">
        <v>1244</v>
      </c>
      <c r="H2123" s="5" t="s">
        <v>21</v>
      </c>
      <c r="I2123" s="5" t="s">
        <v>5572</v>
      </c>
      <c r="J2123" s="12" t="str">
        <f>HYPERLINK("https://www.boe.es/gazeta/dias/1802/12/14/pdfs/GMD-1802-101.pdf#page=8","Abrir facsímil")</f>
        <v>Abrir facsímil</v>
      </c>
      <c r="K2123" s="15" t="s">
        <v>23</v>
      </c>
    </row>
    <row r="2124" spans="1:11" ht="42" customHeight="1">
      <c r="A2124" s="4" t="s">
        <v>5573</v>
      </c>
      <c r="B2124" s="5" t="s">
        <v>5574</v>
      </c>
      <c r="C2124" s="5" t="s">
        <v>18</v>
      </c>
      <c r="D2124" s="5" t="s">
        <v>19</v>
      </c>
      <c r="E2124" s="5" t="s">
        <v>20</v>
      </c>
      <c r="F2124" s="9">
        <v>84</v>
      </c>
      <c r="G2124" s="9">
        <v>1040</v>
      </c>
      <c r="H2124" s="5" t="s">
        <v>21</v>
      </c>
      <c r="I2124" s="5" t="s">
        <v>5575</v>
      </c>
      <c r="J2124" s="12" t="str">
        <f>HYPERLINK("https://www.boe.es/gazeta/dias/1802/10/15/pdfs/GMD-1802-84.pdf#page=8","Abrir facsímil")</f>
        <v>Abrir facsímil</v>
      </c>
      <c r="K2124" s="15" t="s">
        <v>23</v>
      </c>
    </row>
    <row r="2125" spans="1:11" ht="42" customHeight="1">
      <c r="A2125" s="4" t="s">
        <v>5576</v>
      </c>
      <c r="B2125" s="5" t="s">
        <v>5577</v>
      </c>
      <c r="C2125" s="5" t="s">
        <v>18</v>
      </c>
      <c r="D2125" s="5" t="s">
        <v>19</v>
      </c>
      <c r="E2125" s="5" t="s">
        <v>20</v>
      </c>
      <c r="F2125" s="9">
        <v>84</v>
      </c>
      <c r="G2125" s="9">
        <v>1045</v>
      </c>
      <c r="H2125" s="5" t="s">
        <v>21</v>
      </c>
      <c r="I2125" s="5" t="s">
        <v>5578</v>
      </c>
      <c r="J2125" s="12" t="str">
        <f>HYPERLINK("https://www.boe.es/gazeta/dias/1802/10/15/pdfs/GMD-1802-84.pdf#page=13","Abrir facsímil")</f>
        <v>Abrir facsímil</v>
      </c>
      <c r="K2125" s="15" t="s">
        <v>23</v>
      </c>
    </row>
    <row r="2126" spans="1:11" ht="42" customHeight="1">
      <c r="A2126" s="4" t="s">
        <v>5579</v>
      </c>
      <c r="B2126" s="5" t="s">
        <v>5580</v>
      </c>
      <c r="C2126" s="5" t="s">
        <v>90</v>
      </c>
      <c r="D2126" s="5" t="s">
        <v>91</v>
      </c>
      <c r="E2126" s="5" t="s">
        <v>749</v>
      </c>
      <c r="F2126" s="9">
        <v>97</v>
      </c>
      <c r="G2126" s="9">
        <v>1203</v>
      </c>
      <c r="H2126" s="5" t="s">
        <v>21</v>
      </c>
      <c r="I2126" s="5" t="s">
        <v>5581</v>
      </c>
      <c r="J2126" s="12" t="str">
        <f>HYPERLINK("https://www.boe.es/gazeta/dias/1802/11/30/pdfs/GMD-1802-97.pdf#page=11","Abrir facsímil")</f>
        <v>Abrir facsímil</v>
      </c>
      <c r="K2126" s="15" t="s">
        <v>23</v>
      </c>
    </row>
    <row r="2127" spans="1:11" ht="42" customHeight="1">
      <c r="A2127" s="4" t="s">
        <v>5582</v>
      </c>
      <c r="B2127" s="5" t="s">
        <v>5583</v>
      </c>
      <c r="C2127" s="5" t="s">
        <v>90</v>
      </c>
      <c r="D2127" s="5" t="s">
        <v>91</v>
      </c>
      <c r="E2127" s="5" t="s">
        <v>44</v>
      </c>
      <c r="F2127" s="9">
        <v>99</v>
      </c>
      <c r="G2127" s="9">
        <v>1222</v>
      </c>
      <c r="H2127" s="5" t="s">
        <v>21</v>
      </c>
      <c r="I2127" s="5" t="s">
        <v>5584</v>
      </c>
      <c r="J2127" s="12" t="str">
        <f>HYPERLINK("https://www.boe.es/gazeta/dias/1802/12/07/pdfs/GMD-1802-99.pdf#page=6","Abrir facsímil")</f>
        <v>Abrir facsímil</v>
      </c>
      <c r="K2127" s="15" t="s">
        <v>23</v>
      </c>
    </row>
    <row r="2128" spans="1:11" ht="42" customHeight="1">
      <c r="A2128" s="4" t="s">
        <v>5585</v>
      </c>
      <c r="B2128" s="5" t="s">
        <v>5586</v>
      </c>
      <c r="C2128" s="5" t="s">
        <v>29</v>
      </c>
      <c r="D2128" s="5" t="s">
        <v>30</v>
      </c>
      <c r="E2128" s="5" t="s">
        <v>131</v>
      </c>
      <c r="F2128" s="9">
        <v>11</v>
      </c>
      <c r="G2128" s="9">
        <v>106</v>
      </c>
      <c r="H2128" s="5" t="s">
        <v>21</v>
      </c>
      <c r="I2128" s="5" t="s">
        <v>5587</v>
      </c>
      <c r="J2128" s="12" t="str">
        <f>HYPERLINK("https://www.boe.es/gazeta/dias/1802/02/05/pdfs/GMD-1802-11.pdf#page=2","Abrir facsímil")</f>
        <v>Abrir facsímil</v>
      </c>
      <c r="K2128" s="15" t="s">
        <v>23</v>
      </c>
    </row>
    <row r="2129" spans="1:11" ht="42" customHeight="1">
      <c r="A2129" s="4" t="s">
        <v>5588</v>
      </c>
      <c r="B2129" s="5" t="s">
        <v>5589</v>
      </c>
      <c r="C2129" s="5" t="s">
        <v>29</v>
      </c>
      <c r="D2129" s="5" t="s">
        <v>30</v>
      </c>
      <c r="E2129" s="5" t="s">
        <v>1097</v>
      </c>
      <c r="F2129" s="9">
        <v>20</v>
      </c>
      <c r="G2129" s="9">
        <v>222</v>
      </c>
      <c r="H2129" s="5" t="s">
        <v>21</v>
      </c>
      <c r="I2129" s="5" t="s">
        <v>5590</v>
      </c>
      <c r="J2129" s="12" t="str">
        <f>HYPERLINK("https://www.boe.es/gazeta/dias/1802/03/09/pdfs/GMD-1802-20.pdf#page=10","Abrir facsímil")</f>
        <v>Abrir facsímil</v>
      </c>
      <c r="K2129" s="15" t="s">
        <v>23</v>
      </c>
    </row>
    <row r="2130" spans="1:11" ht="42" customHeight="1">
      <c r="A2130" s="4" t="s">
        <v>5588</v>
      </c>
      <c r="B2130" s="5" t="s">
        <v>5589</v>
      </c>
      <c r="C2130" s="5" t="s">
        <v>18</v>
      </c>
      <c r="D2130" s="5" t="s">
        <v>19</v>
      </c>
      <c r="E2130" s="5" t="s">
        <v>49</v>
      </c>
      <c r="F2130" s="9">
        <v>83</v>
      </c>
      <c r="G2130" s="9">
        <v>1022</v>
      </c>
      <c r="H2130" s="5" t="s">
        <v>21</v>
      </c>
      <c r="I2130" s="5" t="s">
        <v>5591</v>
      </c>
      <c r="J2130" s="12" t="str">
        <f>HYPERLINK("https://www.boe.es/gazeta/dias/1802/10/12/pdfs/GMD-1802-83.pdf#page=10","Abrir facsímil")</f>
        <v>Abrir facsímil</v>
      </c>
      <c r="K2130" s="15" t="s">
        <v>23</v>
      </c>
    </row>
    <row r="2131" spans="1:11" ht="42" customHeight="1">
      <c r="A2131" s="4" t="s">
        <v>5592</v>
      </c>
      <c r="B2131" s="5" t="s">
        <v>5593</v>
      </c>
      <c r="C2131" s="5" t="s">
        <v>29</v>
      </c>
      <c r="D2131" s="5" t="s">
        <v>30</v>
      </c>
      <c r="E2131" s="5" t="s">
        <v>1332</v>
      </c>
      <c r="F2131" s="9">
        <v>4</v>
      </c>
      <c r="G2131" s="9">
        <v>39</v>
      </c>
      <c r="H2131" s="5" t="s">
        <v>21</v>
      </c>
      <c r="I2131" s="5" t="s">
        <v>5594</v>
      </c>
      <c r="J2131" s="12" t="str">
        <f>HYPERLINK("https://www.boe.es/gazeta/dias/1802/01/12/pdfs/GMD-1802-4.pdf#page=11","Abrir facsímil")</f>
        <v>Abrir facsímil</v>
      </c>
      <c r="K2131" s="15" t="s">
        <v>23</v>
      </c>
    </row>
    <row r="2132" spans="1:11" ht="42" customHeight="1">
      <c r="A2132" s="4" t="s">
        <v>5592</v>
      </c>
      <c r="B2132" s="5" t="s">
        <v>5593</v>
      </c>
      <c r="C2132" s="5" t="s">
        <v>90</v>
      </c>
      <c r="D2132" s="5" t="s">
        <v>91</v>
      </c>
      <c r="E2132" s="5" t="s">
        <v>247</v>
      </c>
      <c r="F2132" s="9">
        <v>14</v>
      </c>
      <c r="G2132" s="9">
        <v>147</v>
      </c>
      <c r="H2132" s="5" t="s">
        <v>21</v>
      </c>
      <c r="I2132" s="5" t="s">
        <v>5595</v>
      </c>
      <c r="J2132" s="12" t="str">
        <f>HYPERLINK("https://www.boe.es/gazeta/dias/1802/02/16/pdfs/GMD-1802-14.pdf#page=11","Abrir facsímil")</f>
        <v>Abrir facsímil</v>
      </c>
      <c r="K2132" s="15" t="s">
        <v>23</v>
      </c>
    </row>
    <row r="2133" spans="1:11" ht="42" customHeight="1">
      <c r="A2133" s="4" t="s">
        <v>5592</v>
      </c>
      <c r="B2133" s="5" t="s">
        <v>5593</v>
      </c>
      <c r="C2133" s="5" t="s">
        <v>29</v>
      </c>
      <c r="D2133" s="5" t="s">
        <v>30</v>
      </c>
      <c r="E2133" s="5" t="s">
        <v>900</v>
      </c>
      <c r="F2133" s="9">
        <v>16</v>
      </c>
      <c r="G2133" s="9">
        <v>171</v>
      </c>
      <c r="H2133" s="5" t="s">
        <v>21</v>
      </c>
      <c r="I2133" s="5" t="s">
        <v>5596</v>
      </c>
      <c r="J2133" s="12" t="str">
        <f>HYPERLINK("https://www.boe.es/gazeta/dias/1802/02/23/pdfs/GMD-1802-16.pdf#page=11","Abrir facsímil")</f>
        <v>Abrir facsímil</v>
      </c>
      <c r="K2133" s="15" t="s">
        <v>23</v>
      </c>
    </row>
    <row r="2134" spans="1:11" ht="42" customHeight="1">
      <c r="A2134" s="4" t="s">
        <v>5592</v>
      </c>
      <c r="B2134" s="5" t="s">
        <v>5593</v>
      </c>
      <c r="C2134" s="5" t="s">
        <v>29</v>
      </c>
      <c r="D2134" s="5" t="s">
        <v>30</v>
      </c>
      <c r="E2134" s="5" t="s">
        <v>1381</v>
      </c>
      <c r="F2134" s="9">
        <v>17</v>
      </c>
      <c r="G2134" s="9">
        <v>187</v>
      </c>
      <c r="H2134" s="5" t="s">
        <v>21</v>
      </c>
      <c r="I2134" s="5" t="s">
        <v>5597</v>
      </c>
      <c r="J2134" s="12" t="str">
        <f>HYPERLINK("https://www.boe.es/gazeta/dias/1802/02/26/pdfs/GMD-1802-17.pdf#page=11","Abrir facsímil")</f>
        <v>Abrir facsímil</v>
      </c>
      <c r="K2134" s="15" t="s">
        <v>23</v>
      </c>
    </row>
    <row r="2135" spans="1:11" ht="42" customHeight="1">
      <c r="A2135" s="4" t="s">
        <v>5592</v>
      </c>
      <c r="B2135" s="5" t="s">
        <v>5593</v>
      </c>
      <c r="C2135" s="5" t="s">
        <v>29</v>
      </c>
      <c r="D2135" s="5" t="s">
        <v>30</v>
      </c>
      <c r="E2135" s="5" t="s">
        <v>299</v>
      </c>
      <c r="F2135" s="9">
        <v>19</v>
      </c>
      <c r="G2135" s="9">
        <v>211</v>
      </c>
      <c r="H2135" s="5" t="s">
        <v>21</v>
      </c>
      <c r="I2135" s="5" t="s">
        <v>5598</v>
      </c>
      <c r="J2135" s="12" t="str">
        <f>HYPERLINK("https://www.boe.es/gazeta/dias/1802/03/05/pdfs/GMD-1802-19.pdf#page=11","Abrir facsímil")</f>
        <v>Abrir facsímil</v>
      </c>
      <c r="K2135" s="15" t="s">
        <v>23</v>
      </c>
    </row>
    <row r="2136" spans="1:11" ht="42" customHeight="1">
      <c r="A2136" s="4" t="s">
        <v>5592</v>
      </c>
      <c r="B2136" s="5" t="s">
        <v>5593</v>
      </c>
      <c r="C2136" s="5" t="s">
        <v>29</v>
      </c>
      <c r="D2136" s="5" t="s">
        <v>30</v>
      </c>
      <c r="E2136" s="5" t="s">
        <v>1097</v>
      </c>
      <c r="F2136" s="9">
        <v>20</v>
      </c>
      <c r="G2136" s="9">
        <v>223</v>
      </c>
      <c r="H2136" s="5" t="s">
        <v>21</v>
      </c>
      <c r="I2136" s="5" t="s">
        <v>5599</v>
      </c>
      <c r="J2136" s="12" t="str">
        <f>HYPERLINK("https://www.boe.es/gazeta/dias/1802/03/09/pdfs/GMD-1802-20.pdf#page=11","Abrir facsímil")</f>
        <v>Abrir facsímil</v>
      </c>
      <c r="K2136" s="15" t="s">
        <v>23</v>
      </c>
    </row>
    <row r="2137" spans="1:11" ht="42" customHeight="1">
      <c r="A2137" s="4" t="s">
        <v>5592</v>
      </c>
      <c r="B2137" s="5" t="s">
        <v>5593</v>
      </c>
      <c r="C2137" s="5" t="s">
        <v>29</v>
      </c>
      <c r="D2137" s="5" t="s">
        <v>30</v>
      </c>
      <c r="E2137" s="5" t="s">
        <v>1959</v>
      </c>
      <c r="F2137" s="9">
        <v>34</v>
      </c>
      <c r="G2137" s="9">
        <v>399</v>
      </c>
      <c r="H2137" s="5" t="s">
        <v>21</v>
      </c>
      <c r="I2137" s="5" t="s">
        <v>5600</v>
      </c>
      <c r="J2137" s="12" t="str">
        <f>HYPERLINK("https://www.boe.es/gazeta/dias/1802/04/27/pdfs/GMD-1802-34.pdf#page=11","Abrir facsímil")</f>
        <v>Abrir facsímil</v>
      </c>
      <c r="K2137" s="15" t="s">
        <v>23</v>
      </c>
    </row>
    <row r="2138" spans="1:11" ht="42" customHeight="1">
      <c r="A2138" s="4" t="s">
        <v>5592</v>
      </c>
      <c r="B2138" s="5" t="s">
        <v>5593</v>
      </c>
      <c r="C2138" s="5" t="s">
        <v>29</v>
      </c>
      <c r="D2138" s="5" t="s">
        <v>30</v>
      </c>
      <c r="E2138" s="5" t="s">
        <v>175</v>
      </c>
      <c r="F2138" s="9">
        <v>37</v>
      </c>
      <c r="G2138" s="9">
        <v>443</v>
      </c>
      <c r="H2138" s="5" t="s">
        <v>21</v>
      </c>
      <c r="I2138" s="5" t="s">
        <v>5601</v>
      </c>
      <c r="J2138" s="12" t="str">
        <f>HYPERLINK("https://www.boe.es/gazeta/dias/1802/05/07/pdfs/GMD-1802-37.pdf#page=11","Abrir facsímil")</f>
        <v>Abrir facsímil</v>
      </c>
      <c r="K2138" s="15" t="s">
        <v>23</v>
      </c>
    </row>
    <row r="2139" spans="1:11" ht="42" customHeight="1">
      <c r="A2139" s="4" t="s">
        <v>5592</v>
      </c>
      <c r="B2139" s="5" t="s">
        <v>5593</v>
      </c>
      <c r="C2139" s="5" t="s">
        <v>29</v>
      </c>
      <c r="D2139" s="5" t="s">
        <v>30</v>
      </c>
      <c r="E2139" s="5" t="s">
        <v>590</v>
      </c>
      <c r="F2139" s="9">
        <v>38</v>
      </c>
      <c r="G2139" s="9">
        <v>455</v>
      </c>
      <c r="H2139" s="5" t="s">
        <v>21</v>
      </c>
      <c r="I2139" s="5" t="s">
        <v>5602</v>
      </c>
      <c r="J2139" s="12" t="str">
        <f>HYPERLINK("https://www.boe.es/gazeta/dias/1802/05/11/pdfs/GMD-1802-38.pdf#page=11","Abrir facsímil")</f>
        <v>Abrir facsímil</v>
      </c>
      <c r="K2139" s="15" t="s">
        <v>23</v>
      </c>
    </row>
    <row r="2140" spans="1:11" ht="42" customHeight="1">
      <c r="A2140" s="4" t="s">
        <v>5592</v>
      </c>
      <c r="B2140" s="5" t="s">
        <v>5593</v>
      </c>
      <c r="C2140" s="5" t="s">
        <v>29</v>
      </c>
      <c r="D2140" s="5" t="s">
        <v>30</v>
      </c>
      <c r="E2140" s="5" t="s">
        <v>328</v>
      </c>
      <c r="F2140" s="9">
        <v>45</v>
      </c>
      <c r="G2140" s="9">
        <v>547</v>
      </c>
      <c r="H2140" s="5" t="s">
        <v>21</v>
      </c>
      <c r="I2140" s="5" t="s">
        <v>5603</v>
      </c>
      <c r="J2140" s="12" t="str">
        <f>HYPERLINK("https://www.boe.es/gazeta/dias/1802/06/04/pdfs/GMD-1802-45.pdf#page=11","Abrir facsímil")</f>
        <v>Abrir facsímil</v>
      </c>
      <c r="K2140" s="15" t="s">
        <v>23</v>
      </c>
    </row>
    <row r="2141" spans="1:11" ht="42" customHeight="1">
      <c r="A2141" s="4" t="s">
        <v>5592</v>
      </c>
      <c r="B2141" s="5" t="s">
        <v>5593</v>
      </c>
      <c r="C2141" s="5" t="s">
        <v>29</v>
      </c>
      <c r="D2141" s="5" t="s">
        <v>30</v>
      </c>
      <c r="E2141" s="5" t="s">
        <v>181</v>
      </c>
      <c r="F2141" s="9">
        <v>55</v>
      </c>
      <c r="G2141" s="9">
        <v>668</v>
      </c>
      <c r="H2141" s="5" t="s">
        <v>21</v>
      </c>
      <c r="I2141" s="5" t="s">
        <v>5604</v>
      </c>
      <c r="J2141" s="12" t="str">
        <f>HYPERLINK("https://www.boe.es/gazeta/dias/1802/07/09/pdfs/GMD-1802-55.pdf#page=12","Abrir facsímil")</f>
        <v>Abrir facsímil</v>
      </c>
      <c r="K2141" s="15" t="s">
        <v>23</v>
      </c>
    </row>
    <row r="2142" spans="1:11" ht="42" customHeight="1">
      <c r="A2142" s="4" t="s">
        <v>5592</v>
      </c>
      <c r="B2142" s="5" t="s">
        <v>5593</v>
      </c>
      <c r="C2142" s="5" t="s">
        <v>160</v>
      </c>
      <c r="D2142" s="5" t="s">
        <v>91</v>
      </c>
      <c r="E2142" s="5" t="s">
        <v>1749</v>
      </c>
      <c r="F2142" s="9">
        <v>60</v>
      </c>
      <c r="G2142" s="9">
        <v>731</v>
      </c>
      <c r="H2142" s="5" t="s">
        <v>21</v>
      </c>
      <c r="I2142" s="5" t="s">
        <v>5605</v>
      </c>
      <c r="J2142" s="12" t="str">
        <f>HYPERLINK("https://www.boe.es/gazeta/dias/1802/07/23/pdfs/GMD-1802-60.pdf#page=15","Abrir facsímil")</f>
        <v>Abrir facsímil</v>
      </c>
      <c r="K2142" s="15" t="s">
        <v>23</v>
      </c>
    </row>
    <row r="2143" spans="1:11" ht="42" customHeight="1">
      <c r="A2143" s="4" t="s">
        <v>5592</v>
      </c>
      <c r="B2143" s="5" t="s">
        <v>5593</v>
      </c>
      <c r="C2143" s="5" t="s">
        <v>160</v>
      </c>
      <c r="D2143" s="5" t="s">
        <v>91</v>
      </c>
      <c r="E2143" s="5" t="s">
        <v>73</v>
      </c>
      <c r="F2143" s="9">
        <v>102</v>
      </c>
      <c r="G2143" s="9">
        <v>1255</v>
      </c>
      <c r="H2143" s="5" t="s">
        <v>21</v>
      </c>
      <c r="I2143" s="5" t="s">
        <v>5606</v>
      </c>
      <c r="J2143" s="12" t="str">
        <f>HYPERLINK("https://www.boe.es/gazeta/dias/1802/12/17/pdfs/GMD-1802-102.pdf#page=11","Abrir facsímil")</f>
        <v>Abrir facsímil</v>
      </c>
      <c r="K2143" s="15" t="s">
        <v>23</v>
      </c>
    </row>
    <row r="2144" spans="1:11" ht="42" customHeight="1">
      <c r="A2144" s="4" t="s">
        <v>5607</v>
      </c>
      <c r="B2144" s="5" t="s">
        <v>5608</v>
      </c>
      <c r="C2144" s="5" t="s">
        <v>55</v>
      </c>
      <c r="D2144" s="5" t="s">
        <v>56</v>
      </c>
      <c r="E2144" s="5" t="s">
        <v>219</v>
      </c>
      <c r="F2144" s="9">
        <v>81</v>
      </c>
      <c r="G2144" s="9">
        <v>1000</v>
      </c>
      <c r="H2144" s="5" t="s">
        <v>21</v>
      </c>
      <c r="I2144" s="5" t="s">
        <v>5609</v>
      </c>
      <c r="J2144" s="12" t="str">
        <f>HYPERLINK("https://www.boe.es/gazeta/dias/1802/10/05/pdfs/GMD-1802-81.pdf#page=12","Abrir facsímil")</f>
        <v>Abrir facsímil</v>
      </c>
      <c r="K2144" s="15" t="s">
        <v>23</v>
      </c>
    </row>
    <row r="2145" spans="1:11" ht="42" customHeight="1">
      <c r="A2145" s="4" t="s">
        <v>5610</v>
      </c>
      <c r="B2145" s="5" t="s">
        <v>5611</v>
      </c>
      <c r="C2145" s="5" t="s">
        <v>29</v>
      </c>
      <c r="D2145" s="5" t="s">
        <v>30</v>
      </c>
      <c r="E2145" s="5" t="s">
        <v>881</v>
      </c>
      <c r="F2145" s="9">
        <v>65</v>
      </c>
      <c r="G2145" s="9">
        <v>795</v>
      </c>
      <c r="H2145" s="5" t="s">
        <v>21</v>
      </c>
      <c r="I2145" s="5" t="s">
        <v>5612</v>
      </c>
      <c r="J2145" s="12" t="str">
        <f>HYPERLINK("https://www.boe.es/gazeta/dias/1802/08/10/pdfs/GMD-1802-65.pdf#page=11","Abrir facsímil")</f>
        <v>Abrir facsímil</v>
      </c>
      <c r="K2145" s="15" t="s">
        <v>23</v>
      </c>
    </row>
    <row r="2146" spans="1:11" ht="42" customHeight="1">
      <c r="A2146" s="4" t="s">
        <v>5613</v>
      </c>
      <c r="B2146" s="5" t="s">
        <v>5614</v>
      </c>
      <c r="C2146" s="5" t="s">
        <v>29</v>
      </c>
      <c r="D2146" s="5" t="s">
        <v>30</v>
      </c>
      <c r="E2146" s="5" t="s">
        <v>436</v>
      </c>
      <c r="F2146" s="9">
        <v>58</v>
      </c>
      <c r="G2146" s="9">
        <v>704</v>
      </c>
      <c r="H2146" s="5" t="s">
        <v>21</v>
      </c>
      <c r="I2146" s="5" t="s">
        <v>5615</v>
      </c>
      <c r="J2146" s="12" t="str">
        <f>HYPERLINK("https://www.boe.es/gazeta/dias/1802/07/20/pdfs/GMD-1802-58.pdf#page=12","Abrir facsímil")</f>
        <v>Abrir facsímil</v>
      </c>
      <c r="K2146" s="15" t="s">
        <v>23</v>
      </c>
    </row>
    <row r="2147" spans="1:11" ht="42" customHeight="1">
      <c r="A2147" s="4" t="s">
        <v>5613</v>
      </c>
      <c r="B2147" s="5" t="s">
        <v>5614</v>
      </c>
      <c r="C2147" s="5" t="s">
        <v>29</v>
      </c>
      <c r="D2147" s="5" t="s">
        <v>30</v>
      </c>
      <c r="E2147" s="5" t="s">
        <v>49</v>
      </c>
      <c r="F2147" s="9">
        <v>83</v>
      </c>
      <c r="G2147" s="9">
        <v>1019</v>
      </c>
      <c r="H2147" s="5" t="s">
        <v>21</v>
      </c>
      <c r="I2147" s="5" t="s">
        <v>5616</v>
      </c>
      <c r="J2147" s="12" t="str">
        <f>HYPERLINK("https://www.boe.es/gazeta/dias/1802/10/12/pdfs/GMD-1802-83.pdf#page=7","Abrir facsímil")</f>
        <v>Abrir facsímil</v>
      </c>
      <c r="K2147" s="15" t="s">
        <v>23</v>
      </c>
    </row>
    <row r="2148" spans="1:11" ht="42" customHeight="1">
      <c r="A2148" s="4" t="s">
        <v>5617</v>
      </c>
      <c r="B2148" s="5" t="s">
        <v>5618</v>
      </c>
      <c r="C2148" s="5" t="s">
        <v>29</v>
      </c>
      <c r="D2148" s="5" t="s">
        <v>30</v>
      </c>
      <c r="E2148" s="5" t="s">
        <v>49</v>
      </c>
      <c r="F2148" s="9">
        <v>83</v>
      </c>
      <c r="G2148" s="9">
        <v>1020</v>
      </c>
      <c r="H2148" s="5" t="s">
        <v>21</v>
      </c>
      <c r="I2148" s="5" t="s">
        <v>5619</v>
      </c>
      <c r="J2148" s="12" t="str">
        <f>HYPERLINK("https://www.boe.es/gazeta/dias/1802/10/12/pdfs/GMD-1802-83.pdf#page=8","Abrir facsímil")</f>
        <v>Abrir facsímil</v>
      </c>
      <c r="K2148" s="15" t="s">
        <v>23</v>
      </c>
    </row>
    <row r="2149" spans="1:11" ht="42" customHeight="1">
      <c r="A2149" s="4" t="s">
        <v>5620</v>
      </c>
      <c r="B2149" s="5" t="s">
        <v>5621</v>
      </c>
      <c r="C2149" s="5" t="s">
        <v>18</v>
      </c>
      <c r="D2149" s="5" t="s">
        <v>19</v>
      </c>
      <c r="E2149" s="5" t="s">
        <v>20</v>
      </c>
      <c r="F2149" s="9">
        <v>84</v>
      </c>
      <c r="G2149" s="9">
        <v>1044</v>
      </c>
      <c r="H2149" s="5" t="s">
        <v>21</v>
      </c>
      <c r="I2149" s="5" t="s">
        <v>5622</v>
      </c>
      <c r="J2149" s="12" t="str">
        <f>HYPERLINK("https://www.boe.es/gazeta/dias/1802/10/15/pdfs/GMD-1802-84.pdf#page=12","Abrir facsímil")</f>
        <v>Abrir facsímil</v>
      </c>
      <c r="K2149" s="15" t="s">
        <v>23</v>
      </c>
    </row>
    <row r="2150" spans="1:11" ht="42" customHeight="1">
      <c r="A2150" s="4" t="s">
        <v>5623</v>
      </c>
      <c r="B2150" s="5" t="s">
        <v>5624</v>
      </c>
      <c r="C2150" s="5" t="s">
        <v>29</v>
      </c>
      <c r="D2150" s="5" t="s">
        <v>30</v>
      </c>
      <c r="E2150" s="5" t="s">
        <v>276</v>
      </c>
      <c r="F2150" s="9">
        <v>75</v>
      </c>
      <c r="G2150" s="9">
        <v>928</v>
      </c>
      <c r="H2150" s="5" t="s">
        <v>21</v>
      </c>
      <c r="I2150" s="5" t="s">
        <v>5625</v>
      </c>
      <c r="J2150" s="12" t="str">
        <f>HYPERLINK("https://www.boe.es/gazeta/dias/1802/09/14/pdfs/GMD-1802-75.pdf#page=12","Abrir facsímil")</f>
        <v>Abrir facsímil</v>
      </c>
      <c r="K2150" s="15" t="s">
        <v>23</v>
      </c>
    </row>
    <row r="2151" spans="1:11" ht="42" customHeight="1">
      <c r="A2151" s="4" t="s">
        <v>5626</v>
      </c>
      <c r="B2151" s="5" t="s">
        <v>5627</v>
      </c>
      <c r="C2151" s="5" t="s">
        <v>55</v>
      </c>
      <c r="D2151" s="5" t="s">
        <v>56</v>
      </c>
      <c r="E2151" s="5" t="s">
        <v>443</v>
      </c>
      <c r="F2151" s="9">
        <v>78</v>
      </c>
      <c r="G2151" s="9">
        <v>964</v>
      </c>
      <c r="H2151" s="5" t="s">
        <v>21</v>
      </c>
      <c r="I2151" s="5" t="s">
        <v>5628</v>
      </c>
      <c r="J2151" s="12" t="str">
        <f>HYPERLINK("https://www.boe.es/gazeta/dias/1802/09/24/pdfs/GMD-1802-78.pdf#page=12","Abrir facsímil")</f>
        <v>Abrir facsímil</v>
      </c>
      <c r="K2151" s="15" t="s">
        <v>23</v>
      </c>
    </row>
    <row r="2152" spans="1:11" ht="42" customHeight="1">
      <c r="A2152" s="4" t="s">
        <v>5629</v>
      </c>
      <c r="B2152" s="5" t="s">
        <v>5630</v>
      </c>
      <c r="C2152" s="5" t="s">
        <v>35</v>
      </c>
      <c r="D2152" s="5" t="s">
        <v>36</v>
      </c>
      <c r="E2152" s="5" t="s">
        <v>299</v>
      </c>
      <c r="F2152" s="9">
        <v>19</v>
      </c>
      <c r="G2152" s="9">
        <v>205</v>
      </c>
      <c r="H2152" s="5" t="s">
        <v>21</v>
      </c>
      <c r="I2152" s="5" t="s">
        <v>5631</v>
      </c>
      <c r="J2152" s="12" t="str">
        <f>HYPERLINK("https://www.boe.es/gazeta/dias/1802/03/05/pdfs/GMD-1802-19.pdf#page=5","Abrir facsímil")</f>
        <v>Abrir facsímil</v>
      </c>
      <c r="K2152" s="15" t="s">
        <v>23</v>
      </c>
    </row>
    <row r="2153" spans="1:11" ht="42" customHeight="1">
      <c r="A2153" s="4" t="s">
        <v>5632</v>
      </c>
      <c r="B2153" s="5" t="s">
        <v>5633</v>
      </c>
      <c r="C2153" s="5" t="s">
        <v>55</v>
      </c>
      <c r="D2153" s="5" t="s">
        <v>56</v>
      </c>
      <c r="E2153" s="5" t="s">
        <v>328</v>
      </c>
      <c r="F2153" s="9">
        <v>45</v>
      </c>
      <c r="G2153" s="9">
        <v>546</v>
      </c>
      <c r="H2153" s="5" t="s">
        <v>21</v>
      </c>
      <c r="I2153" s="5" t="s">
        <v>5634</v>
      </c>
      <c r="J2153" s="12" t="str">
        <f>HYPERLINK("https://www.boe.es/gazeta/dias/1802/06/04/pdfs/GMD-1802-45.pdf#page=10","Abrir facsímil")</f>
        <v>Abrir facsímil</v>
      </c>
      <c r="K2153" s="15" t="s">
        <v>23</v>
      </c>
    </row>
    <row r="2154" spans="1:11" ht="42" customHeight="1">
      <c r="A2154" s="4" t="s">
        <v>5635</v>
      </c>
      <c r="B2154" s="5" t="s">
        <v>5636</v>
      </c>
      <c r="C2154" s="5" t="s">
        <v>35</v>
      </c>
      <c r="D2154" s="5" t="s">
        <v>36</v>
      </c>
      <c r="E2154" s="5" t="s">
        <v>102</v>
      </c>
      <c r="F2154" s="9">
        <v>73</v>
      </c>
      <c r="G2154" s="9">
        <v>896</v>
      </c>
      <c r="H2154" s="5" t="s">
        <v>21</v>
      </c>
      <c r="I2154" s="5" t="s">
        <v>5637</v>
      </c>
      <c r="J2154" s="12" t="str">
        <f>HYPERLINK("https://www.boe.es/gazeta/dias/1802/09/07/pdfs/GMD-1802-73.pdf#page=4","Abrir facsímil")</f>
        <v>Abrir facsímil</v>
      </c>
      <c r="K2154" s="15" t="s">
        <v>23</v>
      </c>
    </row>
    <row r="2155" spans="1:11" ht="42" customHeight="1">
      <c r="A2155" s="4" t="s">
        <v>5638</v>
      </c>
      <c r="B2155" s="5" t="s">
        <v>5639</v>
      </c>
      <c r="C2155" s="5" t="s">
        <v>18</v>
      </c>
      <c r="D2155" s="5" t="s">
        <v>19</v>
      </c>
      <c r="E2155" s="5" t="s">
        <v>49</v>
      </c>
      <c r="F2155" s="9">
        <v>83</v>
      </c>
      <c r="G2155" s="9">
        <v>1024</v>
      </c>
      <c r="H2155" s="5" t="s">
        <v>21</v>
      </c>
      <c r="I2155" s="5" t="s">
        <v>5640</v>
      </c>
      <c r="J2155" s="12" t="str">
        <f>HYPERLINK("https://www.boe.es/gazeta/dias/1802/10/12/pdfs/GMD-1802-83.pdf#page=12","Abrir facsímil")</f>
        <v>Abrir facsímil</v>
      </c>
      <c r="K2155" s="15" t="s">
        <v>23</v>
      </c>
    </row>
    <row r="2156" spans="1:11" ht="42" customHeight="1">
      <c r="A2156" s="4" t="s">
        <v>5641</v>
      </c>
      <c r="B2156" s="5" t="s">
        <v>5642</v>
      </c>
      <c r="C2156" s="5" t="s">
        <v>90</v>
      </c>
      <c r="D2156" s="5" t="s">
        <v>91</v>
      </c>
      <c r="E2156" s="5" t="s">
        <v>152</v>
      </c>
      <c r="F2156" s="9">
        <v>25</v>
      </c>
      <c r="G2156" s="9">
        <v>285</v>
      </c>
      <c r="H2156" s="5" t="s">
        <v>21</v>
      </c>
      <c r="I2156" s="5" t="s">
        <v>5643</v>
      </c>
      <c r="J2156" s="12" t="str">
        <f>HYPERLINK("https://www.boe.es/gazeta/dias/1802/03/26/pdfs/GMD-1802-25.pdf#page=9","Abrir facsímil")</f>
        <v>Abrir facsímil</v>
      </c>
      <c r="K2156" s="15" t="s">
        <v>23</v>
      </c>
    </row>
    <row r="2157" spans="1:11" ht="42" customHeight="1">
      <c r="A2157" s="4" t="s">
        <v>5644</v>
      </c>
      <c r="B2157" s="5" t="s">
        <v>5645</v>
      </c>
      <c r="C2157" s="5" t="s">
        <v>29</v>
      </c>
      <c r="D2157" s="5" t="s">
        <v>30</v>
      </c>
      <c r="E2157" s="5" t="s">
        <v>188</v>
      </c>
      <c r="F2157" s="9">
        <v>49</v>
      </c>
      <c r="G2157" s="9">
        <v>599</v>
      </c>
      <c r="H2157" s="5" t="s">
        <v>21</v>
      </c>
      <c r="I2157" s="5" t="s">
        <v>5646</v>
      </c>
      <c r="J2157" s="12" t="str">
        <f>HYPERLINK("https://www.boe.es/gazeta/dias/1802/06/18/pdfs/GMD-1802-49.pdf#page=11","Abrir facsímil")</f>
        <v>Abrir facsímil</v>
      </c>
      <c r="K2157" s="15" t="s">
        <v>23</v>
      </c>
    </row>
    <row r="2158" spans="1:11" ht="42" customHeight="1">
      <c r="A2158" s="4" t="s">
        <v>5647</v>
      </c>
      <c r="B2158" s="5" t="s">
        <v>5648</v>
      </c>
      <c r="C2158" s="5" t="s">
        <v>29</v>
      </c>
      <c r="D2158" s="5" t="s">
        <v>30</v>
      </c>
      <c r="E2158" s="5" t="s">
        <v>1829</v>
      </c>
      <c r="F2158" s="9">
        <v>32</v>
      </c>
      <c r="G2158" s="9">
        <v>378</v>
      </c>
      <c r="H2158" s="5" t="s">
        <v>21</v>
      </c>
      <c r="I2158" s="5" t="s">
        <v>5649</v>
      </c>
      <c r="J2158" s="12" t="str">
        <f>HYPERLINK("https://www.boe.es/gazeta/dias/1802/04/20/pdfs/GMD-1802-32.pdf#page=10","Abrir facsímil")</f>
        <v>Abrir facsímil</v>
      </c>
      <c r="K2158" s="15" t="s">
        <v>23</v>
      </c>
    </row>
    <row r="2159" spans="1:11" ht="42" customHeight="1">
      <c r="A2159" s="4" t="s">
        <v>5650</v>
      </c>
      <c r="B2159" s="5" t="s">
        <v>5651</v>
      </c>
      <c r="C2159" s="5" t="s">
        <v>160</v>
      </c>
      <c r="D2159" s="5" t="s">
        <v>91</v>
      </c>
      <c r="E2159" s="5" t="s">
        <v>710</v>
      </c>
      <c r="F2159" s="9">
        <v>85</v>
      </c>
      <c r="G2159" s="9">
        <v>1058</v>
      </c>
      <c r="H2159" s="5" t="s">
        <v>21</v>
      </c>
      <c r="I2159" s="5" t="s">
        <v>5652</v>
      </c>
      <c r="J2159" s="12" t="str">
        <f>HYPERLINK("https://www.boe.es/gazeta/dias/1802/10/19/pdfs/GMD-1802-85.pdf#page=10","Abrir facsímil")</f>
        <v>Abrir facsímil</v>
      </c>
      <c r="K2159" s="15" t="s">
        <v>23</v>
      </c>
    </row>
    <row r="2160" spans="1:11" ht="42" customHeight="1">
      <c r="A2160" s="4" t="s">
        <v>5653</v>
      </c>
      <c r="B2160" s="5" t="s">
        <v>5654</v>
      </c>
      <c r="C2160" s="5" t="s">
        <v>18</v>
      </c>
      <c r="D2160" s="5" t="s">
        <v>19</v>
      </c>
      <c r="E2160" s="5" t="s">
        <v>31</v>
      </c>
      <c r="F2160" s="9">
        <v>27</v>
      </c>
      <c r="G2160" s="9">
        <v>319</v>
      </c>
      <c r="H2160" s="5" t="s">
        <v>21</v>
      </c>
      <c r="I2160" s="5" t="s">
        <v>5655</v>
      </c>
      <c r="J2160" s="12" t="str">
        <f>HYPERLINK("https://www.boe.es/gazeta/dias/1802/04/02/pdfs/GMD-1802-27.pdf#page=15","Abrir facsímil")</f>
        <v>Abrir facsímil</v>
      </c>
      <c r="K2160" s="15" t="s">
        <v>23</v>
      </c>
    </row>
    <row r="2161" spans="1:11" ht="42" customHeight="1">
      <c r="A2161" s="4" t="s">
        <v>5656</v>
      </c>
      <c r="B2161" s="5" t="s">
        <v>5657</v>
      </c>
      <c r="C2161" s="5" t="s">
        <v>18</v>
      </c>
      <c r="D2161" s="5" t="s">
        <v>19</v>
      </c>
      <c r="E2161" s="5" t="s">
        <v>31</v>
      </c>
      <c r="F2161" s="9">
        <v>27</v>
      </c>
      <c r="G2161" s="9">
        <v>318</v>
      </c>
      <c r="H2161" s="5" t="s">
        <v>21</v>
      </c>
      <c r="I2161" s="5" t="s">
        <v>5658</v>
      </c>
      <c r="J2161" s="12" t="str">
        <f>HYPERLINK("https://www.boe.es/gazeta/dias/1802/04/02/pdfs/GMD-1802-27.pdf#page=14","Abrir facsímil")</f>
        <v>Abrir facsímil</v>
      </c>
      <c r="K2161" s="15" t="s">
        <v>23</v>
      </c>
    </row>
    <row r="2162" spans="1:11" ht="42" customHeight="1">
      <c r="A2162" s="4" t="s">
        <v>5659</v>
      </c>
      <c r="B2162" s="5" t="s">
        <v>5660</v>
      </c>
      <c r="C2162" s="5" t="s">
        <v>29</v>
      </c>
      <c r="D2162" s="5" t="s">
        <v>30</v>
      </c>
      <c r="E2162" s="5" t="s">
        <v>92</v>
      </c>
      <c r="F2162" s="9">
        <v>29</v>
      </c>
      <c r="G2162" s="9">
        <v>343</v>
      </c>
      <c r="H2162" s="5" t="s">
        <v>21</v>
      </c>
      <c r="I2162" s="5" t="s">
        <v>5661</v>
      </c>
      <c r="J2162" s="12" t="str">
        <f>HYPERLINK("https://www.boe.es/gazeta/dias/1802/04/09/pdfs/GMD-1802-29.pdf#page=11","Abrir facsímil")</f>
        <v>Abrir facsímil</v>
      </c>
      <c r="K2162" s="15" t="s">
        <v>23</v>
      </c>
    </row>
    <row r="2163" spans="1:11" ht="42" customHeight="1">
      <c r="A2163" s="4" t="s">
        <v>5662</v>
      </c>
      <c r="B2163" s="5" t="s">
        <v>5663</v>
      </c>
      <c r="C2163" s="5" t="s">
        <v>18</v>
      </c>
      <c r="D2163" s="5" t="s">
        <v>19</v>
      </c>
      <c r="E2163" s="5" t="s">
        <v>631</v>
      </c>
      <c r="F2163" s="9">
        <v>36</v>
      </c>
      <c r="G2163" s="9">
        <v>431</v>
      </c>
      <c r="H2163" s="5" t="s">
        <v>21</v>
      </c>
      <c r="I2163" s="5" t="s">
        <v>5664</v>
      </c>
      <c r="J2163" s="12" t="str">
        <f>HYPERLINK("https://www.boe.es/gazeta/dias/1802/05/04/pdfs/GMD-1802-36.pdf#page=11","Abrir facsímil")</f>
        <v>Abrir facsímil</v>
      </c>
      <c r="K2163" s="15" t="s">
        <v>23</v>
      </c>
    </row>
    <row r="2164" spans="1:11" ht="42" customHeight="1">
      <c r="A2164" s="4" t="s">
        <v>5665</v>
      </c>
      <c r="B2164" s="5" t="s">
        <v>5666</v>
      </c>
      <c r="C2164" s="5" t="s">
        <v>29</v>
      </c>
      <c r="D2164" s="5" t="s">
        <v>30</v>
      </c>
      <c r="E2164" s="5" t="s">
        <v>109</v>
      </c>
      <c r="F2164" s="9">
        <v>10</v>
      </c>
      <c r="G2164" s="9">
        <v>99</v>
      </c>
      <c r="H2164" s="5" t="s">
        <v>21</v>
      </c>
      <c r="I2164" s="5" t="s">
        <v>5667</v>
      </c>
      <c r="J2164" s="12" t="str">
        <f>HYPERLINK("https://www.boe.es/gazeta/dias/1802/02/02/pdfs/GMD-1802-10.pdf#page=7","Abrir facsímil")</f>
        <v>Abrir facsímil</v>
      </c>
      <c r="K2164" s="15" t="s">
        <v>23</v>
      </c>
    </row>
    <row r="2165" spans="1:11" ht="42" customHeight="1">
      <c r="A2165" s="4" t="s">
        <v>5668</v>
      </c>
      <c r="B2165" s="5" t="s">
        <v>5669</v>
      </c>
      <c r="C2165" s="5" t="s">
        <v>90</v>
      </c>
      <c r="D2165" s="5" t="s">
        <v>91</v>
      </c>
      <c r="E2165" s="5" t="s">
        <v>900</v>
      </c>
      <c r="F2165" s="9">
        <v>16</v>
      </c>
      <c r="G2165" s="9">
        <v>169</v>
      </c>
      <c r="H2165" s="5" t="s">
        <v>21</v>
      </c>
      <c r="I2165" s="5" t="s">
        <v>5670</v>
      </c>
      <c r="J2165" s="12" t="str">
        <f>HYPERLINK("https://www.boe.es/gazeta/dias/1802/02/23/pdfs/GMD-1802-16.pdf#page=9","Abrir facsímil")</f>
        <v>Abrir facsímil</v>
      </c>
      <c r="K2165" s="15" t="s">
        <v>23</v>
      </c>
    </row>
    <row r="2166" spans="1:11" ht="42" customHeight="1">
      <c r="A2166" s="4" t="s">
        <v>5671</v>
      </c>
      <c r="B2166" s="5" t="s">
        <v>5672</v>
      </c>
      <c r="C2166" s="5" t="s">
        <v>90</v>
      </c>
      <c r="D2166" s="5" t="s">
        <v>91</v>
      </c>
      <c r="E2166" s="5" t="s">
        <v>183</v>
      </c>
      <c r="F2166" s="9">
        <v>56</v>
      </c>
      <c r="G2166" s="9">
        <v>678</v>
      </c>
      <c r="H2166" s="5" t="s">
        <v>21</v>
      </c>
      <c r="I2166" s="5" t="s">
        <v>5673</v>
      </c>
      <c r="J2166" s="12" t="str">
        <f>HYPERLINK("https://www.boe.es/gazeta/dias/1802/07/13/pdfs/GMD-1802-56.pdf#page=10","Abrir facsímil")</f>
        <v>Abrir facsímil</v>
      </c>
      <c r="K2166" s="15" t="s">
        <v>23</v>
      </c>
    </row>
    <row r="2167" spans="1:11" ht="42" customHeight="1">
      <c r="A2167" s="4" t="s">
        <v>5674</v>
      </c>
      <c r="B2167" s="5" t="s">
        <v>5675</v>
      </c>
      <c r="C2167" s="5" t="s">
        <v>18</v>
      </c>
      <c r="D2167" s="5" t="s">
        <v>19</v>
      </c>
      <c r="E2167" s="5" t="s">
        <v>900</v>
      </c>
      <c r="F2167" s="9">
        <v>16</v>
      </c>
      <c r="G2167" s="9">
        <v>169</v>
      </c>
      <c r="H2167" s="5" t="s">
        <v>21</v>
      </c>
      <c r="I2167" s="5" t="s">
        <v>5676</v>
      </c>
      <c r="J2167" s="12" t="str">
        <f>HYPERLINK("https://www.boe.es/gazeta/dias/1802/02/23/pdfs/GMD-1802-16.pdf#page=9","Abrir facsímil")</f>
        <v>Abrir facsímil</v>
      </c>
      <c r="K2167" s="15" t="s">
        <v>23</v>
      </c>
    </row>
    <row r="2168" spans="1:11" ht="42" customHeight="1">
      <c r="A2168" s="4" t="s">
        <v>5677</v>
      </c>
      <c r="B2168" s="5" t="s">
        <v>5678</v>
      </c>
      <c r="C2168" s="5" t="s">
        <v>90</v>
      </c>
      <c r="D2168" s="5" t="s">
        <v>91</v>
      </c>
      <c r="E2168" s="5" t="s">
        <v>1332</v>
      </c>
      <c r="F2168" s="9">
        <v>4</v>
      </c>
      <c r="G2168" s="9">
        <v>38</v>
      </c>
      <c r="H2168" s="5" t="s">
        <v>21</v>
      </c>
      <c r="I2168" s="5" t="s">
        <v>5679</v>
      </c>
      <c r="J2168" s="12" t="str">
        <f>HYPERLINK("https://www.boe.es/gazeta/dias/1802/01/12/pdfs/GMD-1802-4.pdf#page=10","Abrir facsímil")</f>
        <v>Abrir facsímil</v>
      </c>
      <c r="K2168" s="15" t="s">
        <v>23</v>
      </c>
    </row>
    <row r="2169" spans="1:11" ht="42" customHeight="1">
      <c r="A2169" s="4" t="s">
        <v>5680</v>
      </c>
      <c r="B2169" s="5" t="s">
        <v>5681</v>
      </c>
      <c r="C2169" s="5" t="s">
        <v>160</v>
      </c>
      <c r="D2169" s="5" t="s">
        <v>91</v>
      </c>
      <c r="E2169" s="5" t="s">
        <v>196</v>
      </c>
      <c r="F2169" s="9">
        <v>2</v>
      </c>
      <c r="G2169" s="9">
        <v>19</v>
      </c>
      <c r="H2169" s="5" t="s">
        <v>21</v>
      </c>
      <c r="I2169" s="5" t="s">
        <v>5682</v>
      </c>
      <c r="J2169" s="12" t="str">
        <f>HYPERLINK("https://www.boe.es/gazeta/dias/1802/01/05/pdfs/GMD-1802-2.pdf#page=11","Abrir facsímil")</f>
        <v>Abrir facsímil</v>
      </c>
      <c r="K2169" s="15" t="s">
        <v>23</v>
      </c>
    </row>
    <row r="2170" spans="1:11" ht="42" customHeight="1">
      <c r="A2170" s="4" t="s">
        <v>5683</v>
      </c>
      <c r="B2170" s="5" t="s">
        <v>5684</v>
      </c>
      <c r="C2170" s="5" t="s">
        <v>29</v>
      </c>
      <c r="D2170" s="5" t="s">
        <v>30</v>
      </c>
      <c r="E2170" s="5" t="s">
        <v>491</v>
      </c>
      <c r="F2170" s="9">
        <v>57</v>
      </c>
      <c r="G2170" s="9">
        <v>689</v>
      </c>
      <c r="H2170" s="5" t="s">
        <v>21</v>
      </c>
      <c r="I2170" s="5" t="s">
        <v>5685</v>
      </c>
      <c r="J2170" s="12" t="str">
        <f>HYPERLINK("https://www.boe.es/gazeta/dias/1802/07/16/pdfs/GMD-1802-57.pdf#page=9","Abrir facsímil")</f>
        <v>Abrir facsímil</v>
      </c>
      <c r="K2170" s="15" t="s">
        <v>23</v>
      </c>
    </row>
    <row r="2171" spans="1:11" ht="42" customHeight="1">
      <c r="A2171" s="4" t="s">
        <v>5686</v>
      </c>
      <c r="B2171" s="5" t="s">
        <v>5687</v>
      </c>
      <c r="C2171" s="5" t="s">
        <v>29</v>
      </c>
      <c r="D2171" s="5" t="s">
        <v>30</v>
      </c>
      <c r="E2171" s="5" t="s">
        <v>1749</v>
      </c>
      <c r="F2171" s="9">
        <v>60</v>
      </c>
      <c r="G2171" s="9">
        <v>728</v>
      </c>
      <c r="H2171" s="5" t="s">
        <v>21</v>
      </c>
      <c r="I2171" s="5" t="s">
        <v>5688</v>
      </c>
      <c r="J2171" s="12" t="str">
        <f>HYPERLINK("https://www.boe.es/gazeta/dias/1802/07/23/pdfs/GMD-1802-60.pdf#page=12","Abrir facsímil")</f>
        <v>Abrir facsímil</v>
      </c>
      <c r="K2171" s="15" t="s">
        <v>23</v>
      </c>
    </row>
    <row r="2172" spans="1:11" ht="42" customHeight="1">
      <c r="A2172" s="4" t="s">
        <v>5689</v>
      </c>
      <c r="B2172" s="5" t="s">
        <v>5690</v>
      </c>
      <c r="C2172" s="5" t="s">
        <v>42</v>
      </c>
      <c r="D2172" s="5" t="s">
        <v>43</v>
      </c>
      <c r="E2172" s="5" t="s">
        <v>44</v>
      </c>
      <c r="F2172" s="9">
        <v>99</v>
      </c>
      <c r="G2172" s="9" t="s">
        <v>314</v>
      </c>
      <c r="H2172" s="5" t="s">
        <v>21</v>
      </c>
      <c r="I2172" s="5" t="s">
        <v>5691</v>
      </c>
      <c r="J2172" s="12" t="str">
        <f>HYPERLINK("https://www.boe.es/gazeta/dias/1802/12/07/pdfs/GMD-D-1802-99.pdf#page=2","Abrir facsímil")</f>
        <v>Abrir facsímil</v>
      </c>
      <c r="K2172" s="15" t="s">
        <v>23</v>
      </c>
    </row>
    <row r="2173" spans="1:11" ht="42" customHeight="1">
      <c r="A2173" s="4" t="s">
        <v>5692</v>
      </c>
      <c r="B2173" s="5" t="s">
        <v>5693</v>
      </c>
      <c r="C2173" s="5" t="s">
        <v>18</v>
      </c>
      <c r="D2173" s="5" t="s">
        <v>19</v>
      </c>
      <c r="E2173" s="5" t="s">
        <v>49</v>
      </c>
      <c r="F2173" s="9">
        <v>83</v>
      </c>
      <c r="G2173" s="9">
        <v>1023</v>
      </c>
      <c r="H2173" s="5" t="s">
        <v>21</v>
      </c>
      <c r="I2173" s="5" t="s">
        <v>5694</v>
      </c>
      <c r="J2173" s="12" t="str">
        <f>HYPERLINK("https://www.boe.es/gazeta/dias/1802/10/12/pdfs/GMD-1802-83.pdf#page=11","Abrir facsímil")</f>
        <v>Abrir facsímil</v>
      </c>
      <c r="K2173" s="15" t="s">
        <v>23</v>
      </c>
    </row>
    <row r="2174" spans="1:11" ht="42" customHeight="1">
      <c r="A2174" s="4" t="s">
        <v>5695</v>
      </c>
      <c r="B2174" s="5" t="s">
        <v>5696</v>
      </c>
      <c r="C2174" s="5" t="s">
        <v>18</v>
      </c>
      <c r="D2174" s="5" t="s">
        <v>19</v>
      </c>
      <c r="E2174" s="5" t="s">
        <v>219</v>
      </c>
      <c r="F2174" s="9">
        <v>81</v>
      </c>
      <c r="G2174" s="9">
        <v>998</v>
      </c>
      <c r="H2174" s="5" t="s">
        <v>21</v>
      </c>
      <c r="I2174" s="5" t="s">
        <v>5697</v>
      </c>
      <c r="J2174" s="12" t="str">
        <f>HYPERLINK("https://www.boe.es/gazeta/dias/1802/10/05/pdfs/GMD-1802-81.pdf#page=10","Abrir facsímil")</f>
        <v>Abrir facsímil</v>
      </c>
      <c r="K2174" s="15" t="s">
        <v>23</v>
      </c>
    </row>
    <row r="2175" spans="1:11" ht="42" customHeight="1">
      <c r="A2175" s="4" t="s">
        <v>5698</v>
      </c>
      <c r="B2175" s="5" t="s">
        <v>5699</v>
      </c>
      <c r="C2175" s="5" t="s">
        <v>29</v>
      </c>
      <c r="D2175" s="5" t="s">
        <v>30</v>
      </c>
      <c r="E2175" s="5" t="s">
        <v>1749</v>
      </c>
      <c r="F2175" s="9">
        <v>60</v>
      </c>
      <c r="G2175" s="9">
        <v>728</v>
      </c>
      <c r="H2175" s="5" t="s">
        <v>21</v>
      </c>
      <c r="I2175" s="5" t="s">
        <v>5700</v>
      </c>
      <c r="J2175" s="12" t="str">
        <f>HYPERLINK("https://www.boe.es/gazeta/dias/1802/07/23/pdfs/GMD-1802-60.pdf#page=12","Abrir facsímil")</f>
        <v>Abrir facsímil</v>
      </c>
      <c r="K2175" s="15" t="s">
        <v>23</v>
      </c>
    </row>
    <row r="2176" spans="1:11" ht="42" customHeight="1">
      <c r="A2176" s="4" t="s">
        <v>5701</v>
      </c>
      <c r="B2176" s="5" t="s">
        <v>5702</v>
      </c>
      <c r="C2176" s="5" t="s">
        <v>18</v>
      </c>
      <c r="D2176" s="5" t="s">
        <v>19</v>
      </c>
      <c r="E2176" s="5" t="s">
        <v>163</v>
      </c>
      <c r="F2176" s="9">
        <v>1</v>
      </c>
      <c r="G2176" s="9">
        <v>2</v>
      </c>
      <c r="H2176" s="5" t="s">
        <v>21</v>
      </c>
      <c r="I2176" s="5" t="s">
        <v>5703</v>
      </c>
      <c r="J2176" s="12" t="str">
        <f>HYPERLINK("https://www.boe.es/gazeta/dias/1802/01/01/pdfs/GMD-1802-1.pdf#page=2","Abrir facsímil")</f>
        <v>Abrir facsímil</v>
      </c>
      <c r="K2176" s="15" t="s">
        <v>23</v>
      </c>
    </row>
    <row r="2177" spans="1:11" ht="42" customHeight="1">
      <c r="A2177" s="4" t="s">
        <v>5701</v>
      </c>
      <c r="B2177" s="5" t="s">
        <v>5702</v>
      </c>
      <c r="C2177" s="5" t="s">
        <v>35</v>
      </c>
      <c r="D2177" s="5" t="s">
        <v>36</v>
      </c>
      <c r="E2177" s="5" t="s">
        <v>1407</v>
      </c>
      <c r="F2177" s="9">
        <v>8</v>
      </c>
      <c r="G2177" s="9">
        <v>75</v>
      </c>
      <c r="H2177" s="5" t="s">
        <v>21</v>
      </c>
      <c r="I2177" s="5" t="s">
        <v>5704</v>
      </c>
      <c r="J2177" s="12" t="str">
        <f>HYPERLINK("https://www.boe.es/gazeta/dias/1802/01/26/pdfs/GMD-1802-8.pdf#page=3","Abrir facsímil")</f>
        <v>Abrir facsímil</v>
      </c>
      <c r="K2177" s="15" t="s">
        <v>23</v>
      </c>
    </row>
    <row r="2178" spans="1:11" ht="42" customHeight="1">
      <c r="A2178" s="4" t="s">
        <v>5701</v>
      </c>
      <c r="B2178" s="5" t="s">
        <v>5702</v>
      </c>
      <c r="C2178" s="5" t="s">
        <v>29</v>
      </c>
      <c r="D2178" s="5" t="s">
        <v>30</v>
      </c>
      <c r="E2178" s="5" t="s">
        <v>1374</v>
      </c>
      <c r="F2178" s="9">
        <v>71</v>
      </c>
      <c r="G2178" s="9">
        <v>867</v>
      </c>
      <c r="H2178" s="5" t="s">
        <v>21</v>
      </c>
      <c r="I2178" s="5" t="s">
        <v>5705</v>
      </c>
      <c r="J2178" s="12" t="str">
        <f>HYPERLINK("https://www.boe.es/gazeta/dias/1802/08/31/pdfs/GMD-1802-71.pdf#page=3","Abrir facsímil")</f>
        <v>Abrir facsímil</v>
      </c>
      <c r="K2178" s="15" t="s">
        <v>23</v>
      </c>
    </row>
    <row r="2179" spans="1:11" ht="42" customHeight="1">
      <c r="A2179" s="4" t="s">
        <v>5706</v>
      </c>
      <c r="B2179" s="5" t="s">
        <v>5707</v>
      </c>
      <c r="C2179" s="5" t="s">
        <v>18</v>
      </c>
      <c r="D2179" s="5" t="s">
        <v>19</v>
      </c>
      <c r="E2179" s="5" t="s">
        <v>25</v>
      </c>
      <c r="F2179" s="9">
        <v>44</v>
      </c>
      <c r="G2179" s="9">
        <v>527</v>
      </c>
      <c r="H2179" s="5" t="s">
        <v>21</v>
      </c>
      <c r="I2179" s="5" t="s">
        <v>5708</v>
      </c>
      <c r="J2179" s="12" t="str">
        <f>HYPERLINK("https://www.boe.es/gazeta/dias/1802/06/01/pdfs/GMD-1802-44.pdf#page=3","Abrir facsímil")</f>
        <v>Abrir facsímil</v>
      </c>
      <c r="K2179" s="15" t="s">
        <v>23</v>
      </c>
    </row>
    <row r="2180" spans="1:11" ht="42" customHeight="1">
      <c r="A2180" s="4" t="s">
        <v>5709</v>
      </c>
      <c r="B2180" s="5" t="s">
        <v>5710</v>
      </c>
      <c r="C2180" s="5" t="s">
        <v>35</v>
      </c>
      <c r="D2180" s="5" t="s">
        <v>36</v>
      </c>
      <c r="E2180" s="5" t="s">
        <v>453</v>
      </c>
      <c r="F2180" s="9">
        <v>52</v>
      </c>
      <c r="G2180" s="9">
        <v>628</v>
      </c>
      <c r="H2180" s="5" t="s">
        <v>21</v>
      </c>
      <c r="I2180" s="5" t="s">
        <v>5711</v>
      </c>
      <c r="J2180" s="12" t="str">
        <f>HYPERLINK("https://www.boe.es/gazeta/dias/1802/06/29/pdfs/GMD-1802-52.pdf#page=4","Abrir facsímil")</f>
        <v>Abrir facsímil</v>
      </c>
      <c r="K2180" s="15" t="s">
        <v>23</v>
      </c>
    </row>
    <row r="2181" spans="1:11" ht="42" customHeight="1">
      <c r="A2181" s="4" t="s">
        <v>5712</v>
      </c>
      <c r="B2181" s="5" t="s">
        <v>5713</v>
      </c>
      <c r="C2181" s="5" t="s">
        <v>35</v>
      </c>
      <c r="D2181" s="5" t="s">
        <v>36</v>
      </c>
      <c r="E2181" s="5" t="s">
        <v>175</v>
      </c>
      <c r="F2181" s="9">
        <v>37</v>
      </c>
      <c r="G2181" s="9">
        <v>434</v>
      </c>
      <c r="H2181" s="5" t="s">
        <v>21</v>
      </c>
      <c r="I2181" s="5" t="s">
        <v>5714</v>
      </c>
      <c r="J2181" s="12" t="str">
        <f>HYPERLINK("https://www.boe.es/gazeta/dias/1802/05/07/pdfs/GMD-1802-37.pdf#page=2","Abrir facsímil")</f>
        <v>Abrir facsímil</v>
      </c>
      <c r="K2181" s="15" t="s">
        <v>23</v>
      </c>
    </row>
    <row r="2182" spans="1:11" ht="42" customHeight="1">
      <c r="A2182" s="4" t="s">
        <v>5715</v>
      </c>
      <c r="B2182" s="5" t="s">
        <v>5716</v>
      </c>
      <c r="C2182" s="5" t="s">
        <v>90</v>
      </c>
      <c r="D2182" s="5" t="s">
        <v>91</v>
      </c>
      <c r="E2182" s="5" t="s">
        <v>900</v>
      </c>
      <c r="F2182" s="9">
        <v>16</v>
      </c>
      <c r="G2182" s="9">
        <v>170</v>
      </c>
      <c r="H2182" s="5" t="s">
        <v>21</v>
      </c>
      <c r="I2182" s="5" t="s">
        <v>5717</v>
      </c>
      <c r="J2182" s="12" t="str">
        <f>HYPERLINK("https://www.boe.es/gazeta/dias/1802/02/23/pdfs/GMD-1802-16.pdf#page=10","Abrir facsímil")</f>
        <v>Abrir facsímil</v>
      </c>
      <c r="K2182" s="15" t="s">
        <v>23</v>
      </c>
    </row>
    <row r="2183" spans="1:11" ht="42" customHeight="1">
      <c r="A2183" s="4" t="s">
        <v>5718</v>
      </c>
      <c r="B2183" s="5" t="s">
        <v>5719</v>
      </c>
      <c r="C2183" s="5" t="s">
        <v>18</v>
      </c>
      <c r="D2183" s="5" t="s">
        <v>19</v>
      </c>
      <c r="E2183" s="5" t="s">
        <v>206</v>
      </c>
      <c r="F2183" s="9">
        <v>22</v>
      </c>
      <c r="G2183" s="9">
        <v>243</v>
      </c>
      <c r="H2183" s="5" t="s">
        <v>21</v>
      </c>
      <c r="I2183" s="5" t="s">
        <v>5720</v>
      </c>
      <c r="J2183" s="12" t="str">
        <f>HYPERLINK("https://www.boe.es/gazeta/dias/1802/03/16/pdfs/GMD-1802-22.pdf#page=11","Abrir facsímil")</f>
        <v>Abrir facsímil</v>
      </c>
      <c r="K2183" s="15" t="s">
        <v>23</v>
      </c>
    </row>
    <row r="2184" spans="1:11" ht="42" customHeight="1">
      <c r="A2184" s="4" t="s">
        <v>5721</v>
      </c>
      <c r="B2184" s="5" t="s">
        <v>5722</v>
      </c>
      <c r="C2184" s="5" t="s">
        <v>29</v>
      </c>
      <c r="D2184" s="5" t="s">
        <v>30</v>
      </c>
      <c r="E2184" s="5" t="s">
        <v>49</v>
      </c>
      <c r="F2184" s="9">
        <v>83</v>
      </c>
      <c r="G2184" s="9">
        <v>1026</v>
      </c>
      <c r="H2184" s="5" t="s">
        <v>21</v>
      </c>
      <c r="I2184" s="5" t="s">
        <v>5723</v>
      </c>
      <c r="J2184" s="12" t="str">
        <f>HYPERLINK("https://www.boe.es/gazeta/dias/1802/10/12/pdfs/GMD-1802-83.pdf#page=14","Abrir facsímil")</f>
        <v>Abrir facsímil</v>
      </c>
      <c r="K2184" s="15" t="s">
        <v>23</v>
      </c>
    </row>
    <row r="2185" spans="1:11" ht="42" customHeight="1">
      <c r="A2185" s="4" t="s">
        <v>5724</v>
      </c>
      <c r="B2185" s="5" t="s">
        <v>5725</v>
      </c>
      <c r="C2185" s="5" t="s">
        <v>160</v>
      </c>
      <c r="D2185" s="5" t="s">
        <v>91</v>
      </c>
      <c r="E2185" s="5" t="s">
        <v>491</v>
      </c>
      <c r="F2185" s="9">
        <v>57</v>
      </c>
      <c r="G2185" s="9">
        <v>688</v>
      </c>
      <c r="H2185" s="5" t="s">
        <v>21</v>
      </c>
      <c r="I2185" s="5" t="s">
        <v>5726</v>
      </c>
      <c r="J2185" s="12" t="str">
        <f>HYPERLINK("https://www.boe.es/gazeta/dias/1802/07/16/pdfs/GMD-1802-57.pdf#page=8","Abrir facsímil")</f>
        <v>Abrir facsímil</v>
      </c>
      <c r="K2185" s="15" t="s">
        <v>23</v>
      </c>
    </row>
    <row r="2186" spans="1:11" ht="42" customHeight="1">
      <c r="A2186" s="4" t="s">
        <v>5727</v>
      </c>
      <c r="B2186" s="5" t="s">
        <v>5728</v>
      </c>
      <c r="C2186" s="5" t="s">
        <v>18</v>
      </c>
      <c r="D2186" s="5" t="s">
        <v>19</v>
      </c>
      <c r="E2186" s="5" t="s">
        <v>49</v>
      </c>
      <c r="F2186" s="9">
        <v>83</v>
      </c>
      <c r="G2186" s="9">
        <v>1022</v>
      </c>
      <c r="H2186" s="5" t="s">
        <v>21</v>
      </c>
      <c r="I2186" s="5" t="s">
        <v>5729</v>
      </c>
      <c r="J2186" s="12" t="str">
        <f>HYPERLINK("https://www.boe.es/gazeta/dias/1802/10/12/pdfs/GMD-1802-83.pdf#page=10","Abrir facsímil")</f>
        <v>Abrir facsímil</v>
      </c>
      <c r="K2186" s="15" t="s">
        <v>23</v>
      </c>
    </row>
    <row r="2187" spans="1:11" ht="42" customHeight="1">
      <c r="A2187" s="4" t="s">
        <v>5730</v>
      </c>
      <c r="B2187" s="5" t="s">
        <v>5731</v>
      </c>
      <c r="C2187" s="5" t="s">
        <v>18</v>
      </c>
      <c r="D2187" s="5" t="s">
        <v>19</v>
      </c>
      <c r="E2187" s="5" t="s">
        <v>49</v>
      </c>
      <c r="F2187" s="9">
        <v>83</v>
      </c>
      <c r="G2187" s="9">
        <v>1025</v>
      </c>
      <c r="H2187" s="5" t="s">
        <v>21</v>
      </c>
      <c r="I2187" s="5" t="s">
        <v>5732</v>
      </c>
      <c r="J2187" s="12" t="str">
        <f>HYPERLINK("https://www.boe.es/gazeta/dias/1802/10/12/pdfs/GMD-1802-83.pdf#page=13","Abrir facsímil")</f>
        <v>Abrir facsímil</v>
      </c>
      <c r="K2187" s="15" t="s">
        <v>23</v>
      </c>
    </row>
    <row r="2188" spans="1:11" ht="42" customHeight="1">
      <c r="A2188" s="4" t="s">
        <v>5733</v>
      </c>
      <c r="B2188" s="5" t="s">
        <v>5734</v>
      </c>
      <c r="C2188" s="5" t="s">
        <v>29</v>
      </c>
      <c r="D2188" s="5" t="s">
        <v>30</v>
      </c>
      <c r="E2188" s="5" t="s">
        <v>146</v>
      </c>
      <c r="F2188" s="9">
        <v>42</v>
      </c>
      <c r="G2188" s="9">
        <v>504</v>
      </c>
      <c r="H2188" s="5" t="s">
        <v>21</v>
      </c>
      <c r="I2188" s="5" t="s">
        <v>5735</v>
      </c>
      <c r="J2188" s="12" t="str">
        <f>HYPERLINK("https://www.boe.es/gazeta/dias/1802/05/25/pdfs/GMD-1802-42.pdf#page=8","Abrir facsímil")</f>
        <v>Abrir facsímil</v>
      </c>
      <c r="K2188" s="15" t="s">
        <v>23</v>
      </c>
    </row>
    <row r="2189" spans="1:11" ht="42" customHeight="1">
      <c r="A2189" s="4" t="s">
        <v>5736</v>
      </c>
      <c r="B2189" s="5" t="s">
        <v>5737</v>
      </c>
      <c r="C2189" s="5" t="s">
        <v>29</v>
      </c>
      <c r="D2189" s="5" t="s">
        <v>30</v>
      </c>
      <c r="E2189" s="5" t="s">
        <v>1113</v>
      </c>
      <c r="F2189" s="9">
        <v>6</v>
      </c>
      <c r="G2189" s="9">
        <v>58</v>
      </c>
      <c r="H2189" s="5" t="s">
        <v>21</v>
      </c>
      <c r="I2189" s="5" t="s">
        <v>5738</v>
      </c>
      <c r="J2189" s="12" t="str">
        <f>HYPERLINK("https://www.boe.es/gazeta/dias/1802/01/19/pdfs/GMD-1802-6.pdf#page=6","Abrir facsímil")</f>
        <v>Abrir facsímil</v>
      </c>
      <c r="K2189" s="15" t="s">
        <v>23</v>
      </c>
    </row>
    <row r="2190" spans="1:11" ht="42" customHeight="1">
      <c r="A2190" s="4" t="s">
        <v>5739</v>
      </c>
      <c r="B2190" s="5" t="s">
        <v>5740</v>
      </c>
      <c r="C2190" s="5" t="s">
        <v>18</v>
      </c>
      <c r="D2190" s="5" t="s">
        <v>19</v>
      </c>
      <c r="E2190" s="5" t="s">
        <v>20</v>
      </c>
      <c r="F2190" s="9">
        <v>84</v>
      </c>
      <c r="G2190" s="9">
        <v>1046</v>
      </c>
      <c r="H2190" s="5" t="s">
        <v>21</v>
      </c>
      <c r="I2190" s="5" t="s">
        <v>5741</v>
      </c>
      <c r="J2190" s="12" t="str">
        <f>HYPERLINK("https://www.boe.es/gazeta/dias/1802/10/15/pdfs/GMD-1802-84.pdf#page=14","Abrir facsímil")</f>
        <v>Abrir facsímil</v>
      </c>
      <c r="K2190" s="15" t="s">
        <v>23</v>
      </c>
    </row>
    <row r="2191" spans="1:11" ht="42" customHeight="1">
      <c r="A2191" s="4" t="s">
        <v>5742</v>
      </c>
      <c r="B2191" s="5" t="s">
        <v>5743</v>
      </c>
      <c r="C2191" s="5" t="s">
        <v>29</v>
      </c>
      <c r="D2191" s="5" t="s">
        <v>30</v>
      </c>
      <c r="E2191" s="5" t="s">
        <v>1381</v>
      </c>
      <c r="F2191" s="9">
        <v>17</v>
      </c>
      <c r="G2191" s="9">
        <v>185</v>
      </c>
      <c r="H2191" s="5" t="s">
        <v>21</v>
      </c>
      <c r="I2191" s="5" t="s">
        <v>5744</v>
      </c>
      <c r="J2191" s="12" t="str">
        <f>HYPERLINK("https://www.boe.es/gazeta/dias/1802/02/26/pdfs/GMD-1802-17.pdf#page=9","Abrir facsímil")</f>
        <v>Abrir facsímil</v>
      </c>
      <c r="K2191" s="15" t="s">
        <v>23</v>
      </c>
    </row>
    <row r="2192" spans="1:11" ht="42" customHeight="1">
      <c r="A2192" s="4" t="s">
        <v>5745</v>
      </c>
      <c r="B2192" s="5" t="s">
        <v>5746</v>
      </c>
      <c r="C2192" s="5" t="s">
        <v>29</v>
      </c>
      <c r="D2192" s="5" t="s">
        <v>30</v>
      </c>
      <c r="E2192" s="5" t="s">
        <v>167</v>
      </c>
      <c r="F2192" s="9">
        <v>23</v>
      </c>
      <c r="G2192" s="9">
        <v>259</v>
      </c>
      <c r="H2192" s="5" t="s">
        <v>21</v>
      </c>
      <c r="I2192" s="5" t="s">
        <v>5747</v>
      </c>
      <c r="J2192" s="12" t="str">
        <f>HYPERLINK("https://www.boe.es/gazeta/dias/1802/03/19/pdfs/GMD-1802-23.pdf#page=7","Abrir facsímil")</f>
        <v>Abrir facsímil</v>
      </c>
      <c r="K2192" s="15" t="s">
        <v>23</v>
      </c>
    </row>
    <row r="2193" spans="1:11" ht="42" customHeight="1">
      <c r="A2193" s="4" t="s">
        <v>5748</v>
      </c>
      <c r="B2193" s="5" t="s">
        <v>5749</v>
      </c>
      <c r="C2193" s="5" t="s">
        <v>18</v>
      </c>
      <c r="D2193" s="5" t="s">
        <v>19</v>
      </c>
      <c r="E2193" s="5" t="s">
        <v>20</v>
      </c>
      <c r="F2193" s="9">
        <v>84</v>
      </c>
      <c r="G2193" s="9">
        <v>1047</v>
      </c>
      <c r="H2193" s="5" t="s">
        <v>21</v>
      </c>
      <c r="I2193" s="5" t="s">
        <v>5750</v>
      </c>
      <c r="J2193" s="12" t="str">
        <f>HYPERLINK("https://www.boe.es/gazeta/dias/1802/10/15/pdfs/GMD-1802-84.pdf#page=15","Abrir facsímil")</f>
        <v>Abrir facsímil</v>
      </c>
      <c r="K2193" s="15" t="s">
        <v>23</v>
      </c>
    </row>
    <row r="2194" spans="1:11" ht="42" customHeight="1">
      <c r="A2194" s="4" t="s">
        <v>5751</v>
      </c>
      <c r="B2194" s="5" t="s">
        <v>5752</v>
      </c>
      <c r="C2194" s="5" t="s">
        <v>18</v>
      </c>
      <c r="D2194" s="5" t="s">
        <v>19</v>
      </c>
      <c r="E2194" s="5" t="s">
        <v>20</v>
      </c>
      <c r="F2194" s="9">
        <v>84</v>
      </c>
      <c r="G2194" s="9">
        <v>1041</v>
      </c>
      <c r="H2194" s="5" t="s">
        <v>21</v>
      </c>
      <c r="I2194" s="5" t="s">
        <v>5753</v>
      </c>
      <c r="J2194" s="12" t="str">
        <f>HYPERLINK("https://www.boe.es/gazeta/dias/1802/10/15/pdfs/GMD-1802-84.pdf#page=9","Abrir facsímil")</f>
        <v>Abrir facsímil</v>
      </c>
      <c r="K2194" s="15" t="s">
        <v>23</v>
      </c>
    </row>
    <row r="2195" spans="1:11" ht="42" customHeight="1">
      <c r="A2195" s="4" t="s">
        <v>5754</v>
      </c>
      <c r="B2195" s="5" t="s">
        <v>5755</v>
      </c>
      <c r="C2195" s="5" t="s">
        <v>18</v>
      </c>
      <c r="D2195" s="5" t="s">
        <v>19</v>
      </c>
      <c r="E2195" s="5" t="s">
        <v>20</v>
      </c>
      <c r="F2195" s="9">
        <v>84</v>
      </c>
      <c r="G2195" s="9">
        <v>1041</v>
      </c>
      <c r="H2195" s="5" t="s">
        <v>21</v>
      </c>
      <c r="I2195" s="5" t="s">
        <v>5756</v>
      </c>
      <c r="J2195" s="12" t="str">
        <f>HYPERLINK("https://www.boe.es/gazeta/dias/1802/10/15/pdfs/GMD-1802-84.pdf#page=9","Abrir facsímil")</f>
        <v>Abrir facsímil</v>
      </c>
      <c r="K2195" s="15" t="s">
        <v>23</v>
      </c>
    </row>
    <row r="2196" spans="1:11" ht="42" customHeight="1">
      <c r="A2196" s="4" t="s">
        <v>5757</v>
      </c>
      <c r="B2196" s="5" t="s">
        <v>5758</v>
      </c>
      <c r="C2196" s="5" t="s">
        <v>90</v>
      </c>
      <c r="D2196" s="5" t="s">
        <v>91</v>
      </c>
      <c r="E2196" s="5" t="s">
        <v>183</v>
      </c>
      <c r="F2196" s="9">
        <v>56</v>
      </c>
      <c r="G2196" s="9">
        <v>678</v>
      </c>
      <c r="H2196" s="5" t="s">
        <v>21</v>
      </c>
      <c r="I2196" s="5" t="s">
        <v>5759</v>
      </c>
      <c r="J2196" s="12" t="str">
        <f>HYPERLINK("https://www.boe.es/gazeta/dias/1802/07/13/pdfs/GMD-1802-56.pdf#page=10","Abrir facsímil")</f>
        <v>Abrir facsímil</v>
      </c>
      <c r="K2196" s="15" t="s">
        <v>23</v>
      </c>
    </row>
    <row r="2197" spans="1:11" ht="42" customHeight="1">
      <c r="A2197" s="4" t="s">
        <v>5760</v>
      </c>
      <c r="B2197" s="5" t="s">
        <v>5761</v>
      </c>
      <c r="C2197" s="5" t="s">
        <v>29</v>
      </c>
      <c r="D2197" s="5" t="s">
        <v>30</v>
      </c>
      <c r="E2197" s="5" t="s">
        <v>109</v>
      </c>
      <c r="F2197" s="9">
        <v>10</v>
      </c>
      <c r="G2197" s="9">
        <v>98</v>
      </c>
      <c r="H2197" s="5" t="s">
        <v>21</v>
      </c>
      <c r="I2197" s="5" t="s">
        <v>5762</v>
      </c>
      <c r="J2197" s="12" t="str">
        <f>HYPERLINK("https://www.boe.es/gazeta/dias/1802/02/02/pdfs/GMD-1802-10.pdf#page=6","Abrir facsímil")</f>
        <v>Abrir facsímil</v>
      </c>
      <c r="K2197" s="15" t="s">
        <v>23</v>
      </c>
    </row>
    <row r="2198" spans="1:11" ht="42" customHeight="1">
      <c r="A2198" s="4" t="s">
        <v>5763</v>
      </c>
      <c r="B2198" s="5" t="s">
        <v>5764</v>
      </c>
      <c r="C2198" s="5" t="s">
        <v>29</v>
      </c>
      <c r="D2198" s="5" t="s">
        <v>30</v>
      </c>
      <c r="E2198" s="5" t="s">
        <v>86</v>
      </c>
      <c r="F2198" s="9">
        <v>26</v>
      </c>
      <c r="G2198" s="9">
        <v>298</v>
      </c>
      <c r="H2198" s="5" t="s">
        <v>21</v>
      </c>
      <c r="I2198" s="5" t="s">
        <v>5765</v>
      </c>
      <c r="J2198" s="12" t="str">
        <f>HYPERLINK("https://www.boe.es/gazeta/dias/1802/03/30/pdfs/GMD-1802-26.pdf#page=10","Abrir facsímil")</f>
        <v>Abrir facsímil</v>
      </c>
      <c r="K2198" s="15" t="s">
        <v>23</v>
      </c>
    </row>
    <row r="2199" spans="1:11" ht="42" customHeight="1">
      <c r="A2199" s="4" t="s">
        <v>5766</v>
      </c>
      <c r="B2199" s="5" t="s">
        <v>5767</v>
      </c>
      <c r="C2199" s="5" t="s">
        <v>29</v>
      </c>
      <c r="D2199" s="5" t="s">
        <v>30</v>
      </c>
      <c r="E2199" s="5" t="s">
        <v>73</v>
      </c>
      <c r="F2199" s="9">
        <v>102</v>
      </c>
      <c r="G2199" s="9">
        <v>1254</v>
      </c>
      <c r="H2199" s="5" t="s">
        <v>21</v>
      </c>
      <c r="I2199" s="5" t="s">
        <v>5768</v>
      </c>
      <c r="J2199" s="12" t="str">
        <f>HYPERLINK("https://www.boe.es/gazeta/dias/1802/12/17/pdfs/GMD-1802-102.pdf#page=10","Abrir facsímil")</f>
        <v>Abrir facsímil</v>
      </c>
      <c r="K2199" s="15" t="s">
        <v>23</v>
      </c>
    </row>
    <row r="2200" spans="1:11" ht="42" customHeight="1">
      <c r="A2200" s="4" t="s">
        <v>5769</v>
      </c>
      <c r="B2200" s="5" t="s">
        <v>5770</v>
      </c>
      <c r="C2200" s="5" t="s">
        <v>90</v>
      </c>
      <c r="D2200" s="5" t="s">
        <v>91</v>
      </c>
      <c r="E2200" s="5" t="s">
        <v>247</v>
      </c>
      <c r="F2200" s="9">
        <v>14</v>
      </c>
      <c r="G2200" s="9">
        <v>147</v>
      </c>
      <c r="H2200" s="5" t="s">
        <v>21</v>
      </c>
      <c r="I2200" s="5" t="s">
        <v>5771</v>
      </c>
      <c r="J2200" s="12" t="str">
        <f>HYPERLINK("https://www.boe.es/gazeta/dias/1802/02/16/pdfs/GMD-1802-14.pdf#page=11","Abrir facsímil")</f>
        <v>Abrir facsímil</v>
      </c>
      <c r="K2200" s="15" t="s">
        <v>23</v>
      </c>
    </row>
    <row r="2201" spans="1:11" ht="42" customHeight="1">
      <c r="A2201" s="4" t="s">
        <v>5769</v>
      </c>
      <c r="B2201" s="5" t="s">
        <v>5770</v>
      </c>
      <c r="C2201" s="5" t="s">
        <v>29</v>
      </c>
      <c r="D2201" s="5" t="s">
        <v>30</v>
      </c>
      <c r="E2201" s="5" t="s">
        <v>900</v>
      </c>
      <c r="F2201" s="9">
        <v>16</v>
      </c>
      <c r="G2201" s="9">
        <v>171</v>
      </c>
      <c r="H2201" s="5" t="s">
        <v>21</v>
      </c>
      <c r="I2201" s="5" t="s">
        <v>5772</v>
      </c>
      <c r="J2201" s="12" t="str">
        <f>HYPERLINK("https://www.boe.es/gazeta/dias/1802/02/23/pdfs/GMD-1802-16.pdf#page=11","Abrir facsímil")</f>
        <v>Abrir facsímil</v>
      </c>
      <c r="K2201" s="15" t="s">
        <v>23</v>
      </c>
    </row>
    <row r="2202" spans="1:11" ht="42" customHeight="1">
      <c r="A2202" s="4" t="s">
        <v>5769</v>
      </c>
      <c r="B2202" s="5" t="s">
        <v>5770</v>
      </c>
      <c r="C2202" s="5" t="s">
        <v>29</v>
      </c>
      <c r="D2202" s="5" t="s">
        <v>30</v>
      </c>
      <c r="E2202" s="5" t="s">
        <v>299</v>
      </c>
      <c r="F2202" s="9">
        <v>19</v>
      </c>
      <c r="G2202" s="9">
        <v>211</v>
      </c>
      <c r="H2202" s="5" t="s">
        <v>21</v>
      </c>
      <c r="I2202" s="5" t="s">
        <v>5773</v>
      </c>
      <c r="J2202" s="12" t="str">
        <f>HYPERLINK("https://www.boe.es/gazeta/dias/1802/03/05/pdfs/GMD-1802-19.pdf#page=11","Abrir facsímil")</f>
        <v>Abrir facsímil</v>
      </c>
      <c r="K2202" s="15" t="s">
        <v>23</v>
      </c>
    </row>
    <row r="2203" spans="1:11" ht="42" customHeight="1">
      <c r="A2203" s="4" t="s">
        <v>5769</v>
      </c>
      <c r="B2203" s="5" t="s">
        <v>5770</v>
      </c>
      <c r="C2203" s="5" t="s">
        <v>29</v>
      </c>
      <c r="D2203" s="5" t="s">
        <v>30</v>
      </c>
      <c r="E2203" s="5" t="s">
        <v>232</v>
      </c>
      <c r="F2203" s="9">
        <v>30</v>
      </c>
      <c r="G2203" s="9">
        <v>352</v>
      </c>
      <c r="H2203" s="5" t="s">
        <v>21</v>
      </c>
      <c r="I2203" s="5" t="s">
        <v>5774</v>
      </c>
      <c r="J2203" s="12" t="str">
        <f>HYPERLINK("https://www.boe.es/gazeta/dias/1802/04/13/pdfs/GMD-1802-30.pdf#page=8","Abrir facsímil")</f>
        <v>Abrir facsímil</v>
      </c>
      <c r="K2203" s="15" t="s">
        <v>23</v>
      </c>
    </row>
    <row r="2204" spans="1:11" ht="42" customHeight="1">
      <c r="A2204" s="4" t="s">
        <v>5775</v>
      </c>
      <c r="B2204" s="5" t="s">
        <v>5776</v>
      </c>
      <c r="C2204" s="5" t="s">
        <v>29</v>
      </c>
      <c r="D2204" s="5" t="s">
        <v>30</v>
      </c>
      <c r="E2204" s="5" t="s">
        <v>1289</v>
      </c>
      <c r="F2204" s="9">
        <v>72</v>
      </c>
      <c r="G2204" s="9">
        <v>890</v>
      </c>
      <c r="H2204" s="5" t="s">
        <v>21</v>
      </c>
      <c r="I2204" s="5" t="s">
        <v>5777</v>
      </c>
      <c r="J2204" s="12" t="str">
        <f>HYPERLINK("https://www.boe.es/gazeta/dias/1802/09/03/pdfs/GMD-1802-72.pdf#page=10","Abrir facsímil")</f>
        <v>Abrir facsímil</v>
      </c>
      <c r="K2204" s="15" t="s">
        <v>23</v>
      </c>
    </row>
    <row r="2205" spans="1:11" ht="42" customHeight="1">
      <c r="A2205" s="4" t="s">
        <v>5775</v>
      </c>
      <c r="B2205" s="5" t="s">
        <v>5776</v>
      </c>
      <c r="C2205" s="5" t="s">
        <v>29</v>
      </c>
      <c r="D2205" s="5" t="s">
        <v>30</v>
      </c>
      <c r="E2205" s="5" t="s">
        <v>907</v>
      </c>
      <c r="F2205" s="9">
        <v>77</v>
      </c>
      <c r="G2205" s="9">
        <v>950</v>
      </c>
      <c r="H2205" s="5" t="s">
        <v>21</v>
      </c>
      <c r="I2205" s="5" t="s">
        <v>5778</v>
      </c>
      <c r="J2205" s="12" t="str">
        <f>HYPERLINK("https://www.boe.es/gazeta/dias/1802/09/21/pdfs/GMD-1802-77.pdf#page=10","Abrir facsímil")</f>
        <v>Abrir facsímil</v>
      </c>
      <c r="K2205" s="15" t="s">
        <v>23</v>
      </c>
    </row>
    <row r="2206" spans="1:11" ht="42" customHeight="1">
      <c r="A2206" s="4" t="s">
        <v>5775</v>
      </c>
      <c r="B2206" s="5" t="s">
        <v>5776</v>
      </c>
      <c r="C2206" s="5" t="s">
        <v>29</v>
      </c>
      <c r="D2206" s="5" t="s">
        <v>30</v>
      </c>
      <c r="E2206" s="5" t="s">
        <v>745</v>
      </c>
      <c r="F2206" s="9">
        <v>92</v>
      </c>
      <c r="G2206" s="9">
        <v>1139</v>
      </c>
      <c r="H2206" s="5" t="s">
        <v>21</v>
      </c>
      <c r="I2206" s="5" t="s">
        <v>5779</v>
      </c>
      <c r="J2206" s="12" t="str">
        <f>HYPERLINK("https://www.boe.es/gazeta/dias/1802/11/12/pdfs/GMD-1802-92.pdf#page=7","Abrir facsímil")</f>
        <v>Abrir facsímil</v>
      </c>
      <c r="K2206" s="15" t="s">
        <v>23</v>
      </c>
    </row>
    <row r="2207" spans="1:11" ht="42" customHeight="1">
      <c r="A2207" s="4" t="s">
        <v>5780</v>
      </c>
      <c r="B2207" s="5" t="s">
        <v>5781</v>
      </c>
      <c r="C2207" s="5" t="s">
        <v>160</v>
      </c>
      <c r="D2207" s="5" t="s">
        <v>91</v>
      </c>
      <c r="E2207" s="5" t="s">
        <v>247</v>
      </c>
      <c r="F2207" s="9">
        <v>14</v>
      </c>
      <c r="G2207" s="9">
        <v>146</v>
      </c>
      <c r="H2207" s="5" t="s">
        <v>21</v>
      </c>
      <c r="I2207" s="5" t="s">
        <v>5782</v>
      </c>
      <c r="J2207" s="12" t="str">
        <f>HYPERLINK("https://www.boe.es/gazeta/dias/1802/02/16/pdfs/GMD-1802-14.pdf#page=10","Abrir facsímil")</f>
        <v>Abrir facsímil</v>
      </c>
      <c r="K2207" s="15" t="s">
        <v>23</v>
      </c>
    </row>
    <row r="2208" spans="1:11" ht="42" customHeight="1">
      <c r="A2208" s="4" t="s">
        <v>5783</v>
      </c>
      <c r="B2208" s="5" t="s">
        <v>5784</v>
      </c>
      <c r="C2208" s="5" t="s">
        <v>29</v>
      </c>
      <c r="D2208" s="5" t="s">
        <v>30</v>
      </c>
      <c r="E2208" s="5" t="s">
        <v>1097</v>
      </c>
      <c r="F2208" s="9">
        <v>20</v>
      </c>
      <c r="G2208" s="9">
        <v>223</v>
      </c>
      <c r="H2208" s="5" t="s">
        <v>21</v>
      </c>
      <c r="I2208" s="5" t="s">
        <v>5785</v>
      </c>
      <c r="J2208" s="12" t="str">
        <f>HYPERLINK("https://www.boe.es/gazeta/dias/1802/03/09/pdfs/GMD-1802-20.pdf#page=11","Abrir facsímil")</f>
        <v>Abrir facsímil</v>
      </c>
      <c r="K2208" s="15" t="s">
        <v>23</v>
      </c>
    </row>
    <row r="2209" spans="1:11" ht="42" customHeight="1">
      <c r="A2209" s="4" t="s">
        <v>5786</v>
      </c>
      <c r="B2209" s="5" t="s">
        <v>5787</v>
      </c>
      <c r="C2209" s="5" t="s">
        <v>29</v>
      </c>
      <c r="D2209" s="5" t="s">
        <v>30</v>
      </c>
      <c r="E2209" s="5" t="s">
        <v>75</v>
      </c>
      <c r="F2209" s="9">
        <v>103</v>
      </c>
      <c r="G2209" s="9">
        <v>1262</v>
      </c>
      <c r="H2209" s="5" t="s">
        <v>21</v>
      </c>
      <c r="I2209" s="5" t="s">
        <v>5788</v>
      </c>
      <c r="J2209" s="12" t="str">
        <f>HYPERLINK("https://www.boe.es/gazeta/dias/1802/12/21/pdfs/GMD-1802-103.pdf#page=6","Abrir facsímil")</f>
        <v>Abrir facsímil</v>
      </c>
      <c r="K2209" s="15" t="s">
        <v>23</v>
      </c>
    </row>
    <row r="2210" spans="1:11" ht="42" customHeight="1">
      <c r="A2210" s="4" t="s">
        <v>5789</v>
      </c>
      <c r="B2210" s="5" t="s">
        <v>5790</v>
      </c>
      <c r="C2210" s="5" t="s">
        <v>29</v>
      </c>
      <c r="D2210" s="5" t="s">
        <v>30</v>
      </c>
      <c r="E2210" s="5" t="s">
        <v>37</v>
      </c>
      <c r="F2210" s="9">
        <v>106</v>
      </c>
      <c r="G2210" s="9">
        <v>1295</v>
      </c>
      <c r="H2210" s="5" t="s">
        <v>21</v>
      </c>
      <c r="I2210" s="5" t="s">
        <v>5791</v>
      </c>
      <c r="J2210" s="12" t="str">
        <f>HYPERLINK("https://www.boe.es/gazeta/dias/1802/12/31/pdfs/GMD-1802-106.pdf#page=7","Abrir facsímil")</f>
        <v>Abrir facsímil</v>
      </c>
      <c r="K2210" s="15" t="s">
        <v>23</v>
      </c>
    </row>
    <row r="2211" spans="1:11" ht="42" customHeight="1">
      <c r="A2211" s="4" t="s">
        <v>5792</v>
      </c>
      <c r="B2211" s="5" t="s">
        <v>5793</v>
      </c>
      <c r="C2211" s="5" t="s">
        <v>29</v>
      </c>
      <c r="D2211" s="5" t="s">
        <v>30</v>
      </c>
      <c r="E2211" s="5" t="s">
        <v>900</v>
      </c>
      <c r="F2211" s="9">
        <v>16</v>
      </c>
      <c r="G2211" s="9">
        <v>169</v>
      </c>
      <c r="H2211" s="5" t="s">
        <v>21</v>
      </c>
      <c r="I2211" s="5" t="s">
        <v>5794</v>
      </c>
      <c r="J2211" s="12" t="str">
        <f>HYPERLINK("https://www.boe.es/gazeta/dias/1802/02/23/pdfs/GMD-1802-16.pdf#page=9","Abrir facsímil")</f>
        <v>Abrir facsímil</v>
      </c>
      <c r="K2211" s="15" t="s">
        <v>23</v>
      </c>
    </row>
    <row r="2212" spans="1:11" ht="42" customHeight="1">
      <c r="A2212" s="4" t="s">
        <v>5795</v>
      </c>
      <c r="B2212" s="5" t="s">
        <v>5796</v>
      </c>
      <c r="C2212" s="5" t="s">
        <v>18</v>
      </c>
      <c r="D2212" s="5" t="s">
        <v>19</v>
      </c>
      <c r="E2212" s="5" t="s">
        <v>49</v>
      </c>
      <c r="F2212" s="9">
        <v>83</v>
      </c>
      <c r="G2212" s="9">
        <v>1023</v>
      </c>
      <c r="H2212" s="5" t="s">
        <v>21</v>
      </c>
      <c r="I2212" s="5" t="s">
        <v>5797</v>
      </c>
      <c r="J2212" s="12" t="str">
        <f>HYPERLINK("https://www.boe.es/gazeta/dias/1802/10/12/pdfs/GMD-1802-83.pdf#page=11","Abrir facsímil")</f>
        <v>Abrir facsímil</v>
      </c>
      <c r="K2212" s="15" t="s">
        <v>23</v>
      </c>
    </row>
    <row r="2213" spans="1:11" ht="42" customHeight="1">
      <c r="A2213" s="4" t="s">
        <v>5798</v>
      </c>
      <c r="B2213" s="5" t="s">
        <v>5799</v>
      </c>
      <c r="C2213" s="5" t="s">
        <v>18</v>
      </c>
      <c r="D2213" s="5" t="s">
        <v>19</v>
      </c>
      <c r="E2213" s="5" t="s">
        <v>152</v>
      </c>
      <c r="F2213" s="9">
        <v>25</v>
      </c>
      <c r="G2213" s="9">
        <v>284</v>
      </c>
      <c r="H2213" s="5" t="s">
        <v>21</v>
      </c>
      <c r="I2213" s="5" t="s">
        <v>5800</v>
      </c>
      <c r="J2213" s="12" t="str">
        <f>HYPERLINK("https://www.boe.es/gazeta/dias/1802/03/26/pdfs/GMD-1802-25.pdf#page=8","Abrir facsímil")</f>
        <v>Abrir facsímil</v>
      </c>
      <c r="K2213" s="15" t="s">
        <v>23</v>
      </c>
    </row>
    <row r="2214" spans="1:11" ht="42" customHeight="1">
      <c r="A2214" s="4" t="s">
        <v>5798</v>
      </c>
      <c r="B2214" s="5" t="s">
        <v>5799</v>
      </c>
      <c r="C2214" s="5" t="s">
        <v>18</v>
      </c>
      <c r="D2214" s="5" t="s">
        <v>19</v>
      </c>
      <c r="E2214" s="5" t="s">
        <v>152</v>
      </c>
      <c r="F2214" s="9">
        <v>25</v>
      </c>
      <c r="G2214" s="9">
        <v>285</v>
      </c>
      <c r="H2214" s="5" t="s">
        <v>21</v>
      </c>
      <c r="I2214" s="5" t="s">
        <v>5801</v>
      </c>
      <c r="J2214" s="12" t="str">
        <f>HYPERLINK("https://www.boe.es/gazeta/dias/1802/03/26/pdfs/GMD-1802-25.pdf#page=9","Abrir facsímil")</f>
        <v>Abrir facsímil</v>
      </c>
      <c r="K2214" s="15" t="s">
        <v>23</v>
      </c>
    </row>
    <row r="2215" spans="1:11" ht="42" customHeight="1">
      <c r="A2215" s="4" t="s">
        <v>5802</v>
      </c>
      <c r="B2215" s="5" t="s">
        <v>5803</v>
      </c>
      <c r="C2215" s="5" t="s">
        <v>29</v>
      </c>
      <c r="D2215" s="5" t="s">
        <v>30</v>
      </c>
      <c r="E2215" s="5" t="s">
        <v>31</v>
      </c>
      <c r="F2215" s="9">
        <v>27</v>
      </c>
      <c r="G2215" s="9">
        <v>318</v>
      </c>
      <c r="H2215" s="5" t="s">
        <v>21</v>
      </c>
      <c r="I2215" s="5" t="s">
        <v>5804</v>
      </c>
      <c r="J2215" s="12" t="str">
        <f>HYPERLINK("https://www.boe.es/gazeta/dias/1802/04/02/pdfs/GMD-1802-27.pdf#page=14","Abrir facsímil")</f>
        <v>Abrir facsímil</v>
      </c>
      <c r="K2215" s="15" t="s">
        <v>23</v>
      </c>
    </row>
    <row r="2216" spans="1:11" ht="42" customHeight="1">
      <c r="A2216" s="4" t="s">
        <v>5805</v>
      </c>
      <c r="B2216" s="5" t="s">
        <v>5806</v>
      </c>
      <c r="C2216" s="5" t="s">
        <v>29</v>
      </c>
      <c r="D2216" s="5" t="s">
        <v>30</v>
      </c>
      <c r="E2216" s="5" t="s">
        <v>206</v>
      </c>
      <c r="F2216" s="9">
        <v>22</v>
      </c>
      <c r="G2216" s="9">
        <v>241</v>
      </c>
      <c r="H2216" s="5" t="s">
        <v>21</v>
      </c>
      <c r="I2216" s="5" t="s">
        <v>5807</v>
      </c>
      <c r="J2216" s="12" t="str">
        <f>HYPERLINK("https://www.boe.es/gazeta/dias/1802/03/16/pdfs/GMD-1802-22.pdf#page=9","Abrir facsímil")</f>
        <v>Abrir facsímil</v>
      </c>
      <c r="K2216" s="15" t="s">
        <v>23</v>
      </c>
    </row>
    <row r="2217" spans="1:11" ht="42" customHeight="1">
      <c r="A2217" s="4" t="s">
        <v>5808</v>
      </c>
      <c r="B2217" s="5" t="s">
        <v>5809</v>
      </c>
      <c r="C2217" s="5" t="s">
        <v>29</v>
      </c>
      <c r="D2217" s="5" t="s">
        <v>30</v>
      </c>
      <c r="E2217" s="5" t="s">
        <v>175</v>
      </c>
      <c r="F2217" s="9">
        <v>37</v>
      </c>
      <c r="G2217" s="9">
        <v>442</v>
      </c>
      <c r="H2217" s="5" t="s">
        <v>21</v>
      </c>
      <c r="I2217" s="5" t="s">
        <v>5810</v>
      </c>
      <c r="J2217" s="12" t="str">
        <f>HYPERLINK("https://www.boe.es/gazeta/dias/1802/05/07/pdfs/GMD-1802-37.pdf#page=10","Abrir facsímil")</f>
        <v>Abrir facsímil</v>
      </c>
      <c r="K2217" s="15" t="s">
        <v>23</v>
      </c>
    </row>
    <row r="2218" spans="1:11" ht="42" customHeight="1">
      <c r="A2218" s="4" t="s">
        <v>5808</v>
      </c>
      <c r="B2218" s="5" t="s">
        <v>5809</v>
      </c>
      <c r="C2218" s="5" t="s">
        <v>29</v>
      </c>
      <c r="D2218" s="5" t="s">
        <v>30</v>
      </c>
      <c r="E2218" s="5" t="s">
        <v>175</v>
      </c>
      <c r="F2218" s="9">
        <v>37</v>
      </c>
      <c r="G2218" s="9">
        <v>443</v>
      </c>
      <c r="H2218" s="5" t="s">
        <v>21</v>
      </c>
      <c r="I2218" s="5" t="s">
        <v>5811</v>
      </c>
      <c r="J2218" s="12" t="str">
        <f>HYPERLINK("https://www.boe.es/gazeta/dias/1802/05/07/pdfs/GMD-1802-37.pdf#page=11","Abrir facsímil")</f>
        <v>Abrir facsímil</v>
      </c>
      <c r="K2218" s="15" t="s">
        <v>23</v>
      </c>
    </row>
    <row r="2219" spans="1:11" ht="42" customHeight="1">
      <c r="A2219" s="4" t="s">
        <v>5808</v>
      </c>
      <c r="B2219" s="5" t="s">
        <v>5809</v>
      </c>
      <c r="C2219" s="5" t="s">
        <v>29</v>
      </c>
      <c r="D2219" s="5" t="s">
        <v>30</v>
      </c>
      <c r="E2219" s="5" t="s">
        <v>590</v>
      </c>
      <c r="F2219" s="9">
        <v>38</v>
      </c>
      <c r="G2219" s="9">
        <v>455</v>
      </c>
      <c r="H2219" s="5" t="s">
        <v>21</v>
      </c>
      <c r="I2219" s="5" t="s">
        <v>5812</v>
      </c>
      <c r="J2219" s="12" t="str">
        <f>HYPERLINK("https://www.boe.es/gazeta/dias/1802/05/11/pdfs/GMD-1802-38.pdf#page=11","Abrir facsímil")</f>
        <v>Abrir facsímil</v>
      </c>
      <c r="K2219" s="15" t="s">
        <v>23</v>
      </c>
    </row>
    <row r="2220" spans="1:11" ht="42" customHeight="1">
      <c r="A2220" s="4" t="s">
        <v>5808</v>
      </c>
      <c r="B2220" s="5" t="s">
        <v>5809</v>
      </c>
      <c r="C2220" s="5" t="s">
        <v>29</v>
      </c>
      <c r="D2220" s="5" t="s">
        <v>30</v>
      </c>
      <c r="E2220" s="5" t="s">
        <v>181</v>
      </c>
      <c r="F2220" s="9">
        <v>55</v>
      </c>
      <c r="G2220" s="9">
        <v>668</v>
      </c>
      <c r="H2220" s="5" t="s">
        <v>21</v>
      </c>
      <c r="I2220" s="5" t="s">
        <v>5813</v>
      </c>
      <c r="J2220" s="12" t="str">
        <f>HYPERLINK("https://www.boe.es/gazeta/dias/1802/07/09/pdfs/GMD-1802-55.pdf#page=12","Abrir facsímil")</f>
        <v>Abrir facsímil</v>
      </c>
      <c r="K2220" s="15" t="s">
        <v>23</v>
      </c>
    </row>
    <row r="2221" spans="1:11" ht="42" customHeight="1">
      <c r="A2221" s="4" t="s">
        <v>5808</v>
      </c>
      <c r="B2221" s="5" t="s">
        <v>5809</v>
      </c>
      <c r="C2221" s="5" t="s">
        <v>90</v>
      </c>
      <c r="D2221" s="5" t="s">
        <v>91</v>
      </c>
      <c r="E2221" s="5" t="s">
        <v>1749</v>
      </c>
      <c r="F2221" s="9">
        <v>60</v>
      </c>
      <c r="G2221" s="9">
        <v>731</v>
      </c>
      <c r="H2221" s="5" t="s">
        <v>21</v>
      </c>
      <c r="I2221" s="5" t="s">
        <v>5814</v>
      </c>
      <c r="J2221" s="12" t="str">
        <f>HYPERLINK("https://www.boe.es/gazeta/dias/1802/07/23/pdfs/GMD-1802-60.pdf#page=15","Abrir facsímil")</f>
        <v>Abrir facsímil</v>
      </c>
      <c r="K2221" s="15" t="s">
        <v>23</v>
      </c>
    </row>
    <row r="2222" spans="1:11" ht="42" customHeight="1">
      <c r="A2222" s="4" t="s">
        <v>5808</v>
      </c>
      <c r="B2222" s="5" t="s">
        <v>5809</v>
      </c>
      <c r="C2222" s="5" t="s">
        <v>29</v>
      </c>
      <c r="D2222" s="5" t="s">
        <v>30</v>
      </c>
      <c r="E2222" s="5" t="s">
        <v>1289</v>
      </c>
      <c r="F2222" s="9">
        <v>72</v>
      </c>
      <c r="G2222" s="9">
        <v>891</v>
      </c>
      <c r="H2222" s="5" t="s">
        <v>21</v>
      </c>
      <c r="I2222" s="5" t="s">
        <v>5815</v>
      </c>
      <c r="J2222" s="12" t="str">
        <f>HYPERLINK("https://www.boe.es/gazeta/dias/1802/09/03/pdfs/GMD-1802-72.pdf#page=11","Abrir facsímil")</f>
        <v>Abrir facsímil</v>
      </c>
      <c r="K2222" s="15" t="s">
        <v>23</v>
      </c>
    </row>
    <row r="2223" spans="1:11" ht="42" customHeight="1">
      <c r="A2223" s="4" t="s">
        <v>5808</v>
      </c>
      <c r="B2223" s="5" t="s">
        <v>5809</v>
      </c>
      <c r="C2223" s="5" t="s">
        <v>160</v>
      </c>
      <c r="D2223" s="5" t="s">
        <v>91</v>
      </c>
      <c r="E2223" s="5" t="s">
        <v>907</v>
      </c>
      <c r="F2223" s="9">
        <v>77</v>
      </c>
      <c r="G2223" s="9">
        <v>951</v>
      </c>
      <c r="H2223" s="5" t="s">
        <v>21</v>
      </c>
      <c r="I2223" s="5" t="s">
        <v>5816</v>
      </c>
      <c r="J2223" s="12" t="str">
        <f>HYPERLINK("https://www.boe.es/gazeta/dias/1802/09/21/pdfs/GMD-1802-77.pdf#page=11","Abrir facsímil")</f>
        <v>Abrir facsímil</v>
      </c>
      <c r="K2223" s="15" t="s">
        <v>23</v>
      </c>
    </row>
    <row r="2224" spans="1:11" ht="42" customHeight="1">
      <c r="A2224" s="4" t="s">
        <v>5808</v>
      </c>
      <c r="B2224" s="5" t="s">
        <v>5809</v>
      </c>
      <c r="C2224" s="5" t="s">
        <v>29</v>
      </c>
      <c r="D2224" s="5" t="s">
        <v>30</v>
      </c>
      <c r="E2224" s="5" t="s">
        <v>443</v>
      </c>
      <c r="F2224" s="9">
        <v>78</v>
      </c>
      <c r="G2224" s="9">
        <v>964</v>
      </c>
      <c r="H2224" s="5" t="s">
        <v>21</v>
      </c>
      <c r="I2224" s="5" t="s">
        <v>5817</v>
      </c>
      <c r="J2224" s="12" t="str">
        <f>HYPERLINK("https://www.boe.es/gazeta/dias/1802/09/24/pdfs/GMD-1802-78.pdf#page=12","Abrir facsímil")</f>
        <v>Abrir facsímil</v>
      </c>
      <c r="K2224" s="15" t="s">
        <v>23</v>
      </c>
    </row>
    <row r="2225" spans="1:11" ht="42" customHeight="1">
      <c r="A2225" s="4" t="s">
        <v>5808</v>
      </c>
      <c r="B2225" s="5" t="s">
        <v>5809</v>
      </c>
      <c r="C2225" s="5" t="s">
        <v>29</v>
      </c>
      <c r="D2225" s="5" t="s">
        <v>30</v>
      </c>
      <c r="E2225" s="5" t="s">
        <v>219</v>
      </c>
      <c r="F2225" s="9">
        <v>81</v>
      </c>
      <c r="G2225" s="9">
        <v>999</v>
      </c>
      <c r="H2225" s="5" t="s">
        <v>21</v>
      </c>
      <c r="I2225" s="5" t="s">
        <v>5818</v>
      </c>
      <c r="J2225" s="12" t="str">
        <f>HYPERLINK("https://www.boe.es/gazeta/dias/1802/10/05/pdfs/GMD-1802-81.pdf#page=11","Abrir facsímil")</f>
        <v>Abrir facsímil</v>
      </c>
      <c r="K2225" s="15" t="s">
        <v>23</v>
      </c>
    </row>
    <row r="2226" spans="1:11" ht="42" customHeight="1">
      <c r="A2226" s="4" t="s">
        <v>5808</v>
      </c>
      <c r="B2226" s="5" t="s">
        <v>5809</v>
      </c>
      <c r="C2226" s="5" t="s">
        <v>29</v>
      </c>
      <c r="D2226" s="5" t="s">
        <v>30</v>
      </c>
      <c r="E2226" s="5" t="s">
        <v>114</v>
      </c>
      <c r="F2226" s="9">
        <v>82</v>
      </c>
      <c r="G2226" s="9">
        <v>1011</v>
      </c>
      <c r="H2226" s="5" t="s">
        <v>21</v>
      </c>
      <c r="I2226" s="5" t="s">
        <v>5819</v>
      </c>
      <c r="J2226" s="12" t="str">
        <f>HYPERLINK("https://www.boe.es/gazeta/dias/1802/10/08/pdfs/GMD-1802-82.pdf#page=11","Abrir facsímil")</f>
        <v>Abrir facsímil</v>
      </c>
      <c r="K2226" s="15" t="s">
        <v>23</v>
      </c>
    </row>
    <row r="2227" spans="1:11" ht="42" customHeight="1">
      <c r="A2227" s="4" t="s">
        <v>5808</v>
      </c>
      <c r="B2227" s="5" t="s">
        <v>5809</v>
      </c>
      <c r="C2227" s="5" t="s">
        <v>160</v>
      </c>
      <c r="D2227" s="5" t="s">
        <v>91</v>
      </c>
      <c r="E2227" s="5" t="s">
        <v>121</v>
      </c>
      <c r="F2227" s="9">
        <v>87</v>
      </c>
      <c r="G2227" s="9">
        <v>1083</v>
      </c>
      <c r="H2227" s="5" t="s">
        <v>21</v>
      </c>
      <c r="I2227" s="5" t="s">
        <v>5820</v>
      </c>
      <c r="J2227" s="12" t="str">
        <f>HYPERLINK("https://www.boe.es/gazeta/dias/1802/10/26/pdfs/GMD-1802-87.pdf#page=11","Abrir facsímil")</f>
        <v>Abrir facsímil</v>
      </c>
      <c r="K2227" s="15" t="s">
        <v>23</v>
      </c>
    </row>
    <row r="2228" spans="1:11" ht="42" customHeight="1">
      <c r="A2228" s="4" t="s">
        <v>5808</v>
      </c>
      <c r="B2228" s="5" t="s">
        <v>5809</v>
      </c>
      <c r="C2228" s="5" t="s">
        <v>29</v>
      </c>
      <c r="D2228" s="5" t="s">
        <v>30</v>
      </c>
      <c r="E2228" s="5" t="s">
        <v>311</v>
      </c>
      <c r="F2228" s="9">
        <v>88</v>
      </c>
      <c r="G2228" s="9">
        <v>1094</v>
      </c>
      <c r="H2228" s="5" t="s">
        <v>21</v>
      </c>
      <c r="I2228" s="5" t="s">
        <v>5821</v>
      </c>
      <c r="J2228" s="12" t="str">
        <f>HYPERLINK("https://www.boe.es/gazeta/dias/1802/10/29/pdfs/GMD-1802-88.pdf#page=10","Abrir facsímil")</f>
        <v>Abrir facsímil</v>
      </c>
      <c r="K2228" s="15" t="s">
        <v>23</v>
      </c>
    </row>
    <row r="2229" spans="1:11" ht="42" customHeight="1">
      <c r="A2229" s="4" t="s">
        <v>5808</v>
      </c>
      <c r="B2229" s="5" t="s">
        <v>5809</v>
      </c>
      <c r="C2229" s="5" t="s">
        <v>29</v>
      </c>
      <c r="D2229" s="5" t="s">
        <v>30</v>
      </c>
      <c r="E2229" s="5" t="s">
        <v>429</v>
      </c>
      <c r="F2229" s="9">
        <v>91</v>
      </c>
      <c r="G2229" s="9">
        <v>1130</v>
      </c>
      <c r="H2229" s="5" t="s">
        <v>21</v>
      </c>
      <c r="I2229" s="5" t="s">
        <v>5822</v>
      </c>
      <c r="J2229" s="12" t="str">
        <f>HYPERLINK("https://www.boe.es/gazeta/dias/1802/11/09/pdfs/GMD-1802-91.pdf#page=10","Abrir facsímil")</f>
        <v>Abrir facsímil</v>
      </c>
      <c r="K2229" s="15" t="s">
        <v>23</v>
      </c>
    </row>
    <row r="2230" spans="1:11" ht="42" customHeight="1">
      <c r="A2230" s="4" t="s">
        <v>5808</v>
      </c>
      <c r="B2230" s="5" t="s">
        <v>5809</v>
      </c>
      <c r="C2230" s="5" t="s">
        <v>160</v>
      </c>
      <c r="D2230" s="5" t="s">
        <v>91</v>
      </c>
      <c r="E2230" s="5" t="s">
        <v>745</v>
      </c>
      <c r="F2230" s="9">
        <v>92</v>
      </c>
      <c r="G2230" s="9">
        <v>1139</v>
      </c>
      <c r="H2230" s="5" t="s">
        <v>21</v>
      </c>
      <c r="I2230" s="5" t="s">
        <v>5823</v>
      </c>
      <c r="J2230" s="12" t="str">
        <f>HYPERLINK("https://www.boe.es/gazeta/dias/1802/11/12/pdfs/GMD-1802-92.pdf#page=7","Abrir facsímil")</f>
        <v>Abrir facsímil</v>
      </c>
      <c r="K2230" s="15" t="s">
        <v>23</v>
      </c>
    </row>
    <row r="2231" spans="1:11" ht="42" customHeight="1">
      <c r="A2231" s="4" t="s">
        <v>5808</v>
      </c>
      <c r="B2231" s="5" t="s">
        <v>5809</v>
      </c>
      <c r="C2231" s="5" t="s">
        <v>29</v>
      </c>
      <c r="D2231" s="5" t="s">
        <v>30</v>
      </c>
      <c r="E2231" s="5" t="s">
        <v>73</v>
      </c>
      <c r="F2231" s="9">
        <v>102</v>
      </c>
      <c r="G2231" s="9">
        <v>1255</v>
      </c>
      <c r="H2231" s="5" t="s">
        <v>21</v>
      </c>
      <c r="I2231" s="5" t="s">
        <v>5824</v>
      </c>
      <c r="J2231" s="12" t="str">
        <f>HYPERLINK("https://www.boe.es/gazeta/dias/1802/12/17/pdfs/GMD-1802-102.pdf#page=11","Abrir facsímil")</f>
        <v>Abrir facsímil</v>
      </c>
      <c r="K2231" s="15" t="s">
        <v>23</v>
      </c>
    </row>
    <row r="2232" spans="1:11" ht="42" customHeight="1">
      <c r="A2232" s="4" t="s">
        <v>5808</v>
      </c>
      <c r="B2232" s="5" t="s">
        <v>5809</v>
      </c>
      <c r="C2232" s="5" t="s">
        <v>29</v>
      </c>
      <c r="D2232" s="5" t="s">
        <v>30</v>
      </c>
      <c r="E2232" s="5" t="s">
        <v>757</v>
      </c>
      <c r="F2232" s="9">
        <v>104</v>
      </c>
      <c r="G2232" s="9">
        <v>1271</v>
      </c>
      <c r="H2232" s="5" t="s">
        <v>21</v>
      </c>
      <c r="I2232" s="5" t="s">
        <v>5825</v>
      </c>
      <c r="J2232" s="12" t="str">
        <f>HYPERLINK("https://www.boe.es/gazeta/dias/1802/12/24/pdfs/GMD-1802-104.pdf#page=7","Abrir facsímil")</f>
        <v>Abrir facsímil</v>
      </c>
      <c r="K2232" s="15" t="s">
        <v>23</v>
      </c>
    </row>
    <row r="2233" spans="1:11" ht="42" customHeight="1">
      <c r="A2233" s="4" t="s">
        <v>5826</v>
      </c>
      <c r="B2233" s="5" t="s">
        <v>5827</v>
      </c>
      <c r="C2233" s="5" t="s">
        <v>29</v>
      </c>
      <c r="D2233" s="5" t="s">
        <v>30</v>
      </c>
      <c r="E2233" s="5" t="s">
        <v>206</v>
      </c>
      <c r="F2233" s="9">
        <v>22</v>
      </c>
      <c r="G2233" s="9">
        <v>252</v>
      </c>
      <c r="H2233" s="5" t="s">
        <v>21</v>
      </c>
      <c r="I2233" s="5" t="s">
        <v>5828</v>
      </c>
      <c r="J2233" s="12" t="str">
        <f>HYPERLINK("https://www.boe.es/gazeta/dias/1802/03/16/pdfs/GMD-C-1802-22.pdf#page=8","Abrir facsímil")</f>
        <v>Abrir facsímil</v>
      </c>
      <c r="K2233" s="15" t="s">
        <v>23</v>
      </c>
    </row>
    <row r="2234" spans="1:11" ht="42" customHeight="1">
      <c r="A2234" s="4" t="s">
        <v>5826</v>
      </c>
      <c r="B2234" s="5" t="s">
        <v>5827</v>
      </c>
      <c r="C2234" s="5" t="s">
        <v>29</v>
      </c>
      <c r="D2234" s="5" t="s">
        <v>30</v>
      </c>
      <c r="E2234" s="5" t="s">
        <v>631</v>
      </c>
      <c r="F2234" s="9">
        <v>36</v>
      </c>
      <c r="G2234" s="9">
        <v>431</v>
      </c>
      <c r="H2234" s="5" t="s">
        <v>21</v>
      </c>
      <c r="I2234" s="5" t="s">
        <v>5829</v>
      </c>
      <c r="J2234" s="12" t="str">
        <f>HYPERLINK("https://www.boe.es/gazeta/dias/1802/05/04/pdfs/GMD-1802-36.pdf#page=11","Abrir facsímil")</f>
        <v>Abrir facsímil</v>
      </c>
      <c r="K2234" s="15" t="s">
        <v>23</v>
      </c>
    </row>
    <row r="2235" spans="1:11" ht="42" customHeight="1">
      <c r="A2235" s="4" t="s">
        <v>5826</v>
      </c>
      <c r="B2235" s="5" t="s">
        <v>5827</v>
      </c>
      <c r="C2235" s="5" t="s">
        <v>29</v>
      </c>
      <c r="D2235" s="5" t="s">
        <v>30</v>
      </c>
      <c r="E2235" s="5" t="s">
        <v>642</v>
      </c>
      <c r="F2235" s="9">
        <v>51</v>
      </c>
      <c r="G2235" s="9">
        <v>623</v>
      </c>
      <c r="H2235" s="5" t="s">
        <v>21</v>
      </c>
      <c r="I2235" s="5" t="s">
        <v>5830</v>
      </c>
      <c r="J2235" s="12" t="str">
        <f>HYPERLINK("https://www.boe.es/gazeta/dias/1802/06/25/pdfs/GMD-1802-51.pdf#page=11","Abrir facsímil")</f>
        <v>Abrir facsímil</v>
      </c>
      <c r="K2235" s="15" t="s">
        <v>23</v>
      </c>
    </row>
    <row r="2236" spans="1:11" ht="42" customHeight="1">
      <c r="A2236" s="4" t="s">
        <v>5826</v>
      </c>
      <c r="B2236" s="5" t="s">
        <v>5827</v>
      </c>
      <c r="C2236" s="5" t="s">
        <v>29</v>
      </c>
      <c r="D2236" s="5" t="s">
        <v>30</v>
      </c>
      <c r="E2236" s="5" t="s">
        <v>436</v>
      </c>
      <c r="F2236" s="9">
        <v>58</v>
      </c>
      <c r="G2236" s="9">
        <v>703</v>
      </c>
      <c r="H2236" s="5" t="s">
        <v>21</v>
      </c>
      <c r="I2236" s="5" t="s">
        <v>5831</v>
      </c>
      <c r="J2236" s="12" t="str">
        <f>HYPERLINK("https://www.boe.es/gazeta/dias/1802/07/20/pdfs/GMD-1802-58.pdf#page=11","Abrir facsímil")</f>
        <v>Abrir facsímil</v>
      </c>
      <c r="K2236" s="15" t="s">
        <v>23</v>
      </c>
    </row>
    <row r="2237" spans="1:11" ht="42" customHeight="1">
      <c r="A2237" s="4" t="s">
        <v>5826</v>
      </c>
      <c r="B2237" s="5" t="s">
        <v>5827</v>
      </c>
      <c r="C2237" s="5" t="s">
        <v>29</v>
      </c>
      <c r="D2237" s="5" t="s">
        <v>30</v>
      </c>
      <c r="E2237" s="5" t="s">
        <v>1749</v>
      </c>
      <c r="F2237" s="9">
        <v>60</v>
      </c>
      <c r="G2237" s="9">
        <v>731</v>
      </c>
      <c r="H2237" s="5" t="s">
        <v>21</v>
      </c>
      <c r="I2237" s="5" t="s">
        <v>5832</v>
      </c>
      <c r="J2237" s="12" t="str">
        <f>HYPERLINK("https://www.boe.es/gazeta/dias/1802/07/23/pdfs/GMD-1802-60.pdf#page=15","Abrir facsímil")</f>
        <v>Abrir facsímil</v>
      </c>
      <c r="K2237" s="15" t="s">
        <v>23</v>
      </c>
    </row>
    <row r="2238" spans="1:11" ht="42" customHeight="1">
      <c r="A2238" s="4" t="s">
        <v>5826</v>
      </c>
      <c r="B2238" s="5" t="s">
        <v>5827</v>
      </c>
      <c r="C2238" s="5" t="s">
        <v>29</v>
      </c>
      <c r="D2238" s="5" t="s">
        <v>30</v>
      </c>
      <c r="E2238" s="5" t="s">
        <v>481</v>
      </c>
      <c r="F2238" s="9">
        <v>79</v>
      </c>
      <c r="G2238" s="9">
        <v>975</v>
      </c>
      <c r="H2238" s="5" t="s">
        <v>21</v>
      </c>
      <c r="I2238" s="5" t="s">
        <v>5833</v>
      </c>
      <c r="J2238" s="12" t="str">
        <f>HYPERLINK("https://www.boe.es/gazeta/dias/1802/09/28/pdfs/GMD-1802-79.pdf#page=11","Abrir facsímil")</f>
        <v>Abrir facsímil</v>
      </c>
      <c r="K2238" s="15" t="s">
        <v>23</v>
      </c>
    </row>
    <row r="2239" spans="1:11" ht="42" customHeight="1">
      <c r="A2239" s="4" t="s">
        <v>5826</v>
      </c>
      <c r="B2239" s="5" t="s">
        <v>5827</v>
      </c>
      <c r="C2239" s="5" t="s">
        <v>29</v>
      </c>
      <c r="D2239" s="5" t="s">
        <v>30</v>
      </c>
      <c r="E2239" s="5" t="s">
        <v>121</v>
      </c>
      <c r="F2239" s="9">
        <v>87</v>
      </c>
      <c r="G2239" s="9">
        <v>1083</v>
      </c>
      <c r="H2239" s="5" t="s">
        <v>21</v>
      </c>
      <c r="I2239" s="5" t="s">
        <v>5834</v>
      </c>
      <c r="J2239" s="12" t="str">
        <f>HYPERLINK("https://www.boe.es/gazeta/dias/1802/10/26/pdfs/GMD-1802-87.pdf#page=11","Abrir facsímil")</f>
        <v>Abrir facsímil</v>
      </c>
      <c r="K2239" s="15" t="s">
        <v>23</v>
      </c>
    </row>
    <row r="2240" spans="1:11" ht="42" customHeight="1">
      <c r="A2240" s="4" t="s">
        <v>5826</v>
      </c>
      <c r="B2240" s="5" t="s">
        <v>5827</v>
      </c>
      <c r="C2240" s="5" t="s">
        <v>29</v>
      </c>
      <c r="D2240" s="5" t="s">
        <v>30</v>
      </c>
      <c r="E2240" s="5" t="s">
        <v>311</v>
      </c>
      <c r="F2240" s="9">
        <v>88</v>
      </c>
      <c r="G2240" s="9">
        <v>1094</v>
      </c>
      <c r="H2240" s="5" t="s">
        <v>21</v>
      </c>
      <c r="I2240" s="5" t="s">
        <v>5835</v>
      </c>
      <c r="J2240" s="12" t="str">
        <f>HYPERLINK("https://www.boe.es/gazeta/dias/1802/10/29/pdfs/GMD-1802-88.pdf#page=10","Abrir facsímil")</f>
        <v>Abrir facsímil</v>
      </c>
      <c r="K2240" s="15" t="s">
        <v>23</v>
      </c>
    </row>
    <row r="2241" spans="1:11" ht="42" customHeight="1">
      <c r="A2241" s="4" t="s">
        <v>5826</v>
      </c>
      <c r="B2241" s="5" t="s">
        <v>5827</v>
      </c>
      <c r="C2241" s="5" t="s">
        <v>29</v>
      </c>
      <c r="D2241" s="5" t="s">
        <v>30</v>
      </c>
      <c r="E2241" s="5" t="s">
        <v>311</v>
      </c>
      <c r="F2241" s="9">
        <v>88</v>
      </c>
      <c r="G2241" s="9">
        <v>1095</v>
      </c>
      <c r="H2241" s="5" t="s">
        <v>21</v>
      </c>
      <c r="I2241" s="5" t="s">
        <v>5836</v>
      </c>
      <c r="J2241" s="12" t="str">
        <f>HYPERLINK("https://www.boe.es/gazeta/dias/1802/10/29/pdfs/GMD-1802-88.pdf#page=11","Abrir facsímil")</f>
        <v>Abrir facsímil</v>
      </c>
      <c r="K2241" s="15" t="s">
        <v>23</v>
      </c>
    </row>
    <row r="2242" spans="1:11" ht="42" customHeight="1">
      <c r="A2242" s="4" t="s">
        <v>5826</v>
      </c>
      <c r="B2242" s="5" t="s">
        <v>5827</v>
      </c>
      <c r="C2242" s="5" t="s">
        <v>29</v>
      </c>
      <c r="D2242" s="5" t="s">
        <v>30</v>
      </c>
      <c r="E2242" s="5" t="s">
        <v>749</v>
      </c>
      <c r="F2242" s="9">
        <v>97</v>
      </c>
      <c r="G2242" s="9">
        <v>1203</v>
      </c>
      <c r="H2242" s="5" t="s">
        <v>21</v>
      </c>
      <c r="I2242" s="5" t="s">
        <v>5837</v>
      </c>
      <c r="J2242" s="12" t="str">
        <f>HYPERLINK("https://www.boe.es/gazeta/dias/1802/11/30/pdfs/GMD-1802-97.pdf#page=11","Abrir facsímil")</f>
        <v>Abrir facsímil</v>
      </c>
      <c r="K2242" s="15" t="s">
        <v>23</v>
      </c>
    </row>
    <row r="2243" spans="1:11" ht="42" customHeight="1">
      <c r="A2243" s="4" t="s">
        <v>5826</v>
      </c>
      <c r="B2243" s="5" t="s">
        <v>5827</v>
      </c>
      <c r="C2243" s="5" t="s">
        <v>29</v>
      </c>
      <c r="D2243" s="5" t="s">
        <v>30</v>
      </c>
      <c r="E2243" s="5" t="s">
        <v>751</v>
      </c>
      <c r="F2243" s="9">
        <v>98</v>
      </c>
      <c r="G2243" s="9">
        <v>1215</v>
      </c>
      <c r="H2243" s="5" t="s">
        <v>21</v>
      </c>
      <c r="I2243" s="5" t="s">
        <v>5838</v>
      </c>
      <c r="J2243" s="12" t="str">
        <f>HYPERLINK("https://www.boe.es/gazeta/dias/1802/12/03/pdfs/GMD-1802-98.pdf#page=11","Abrir facsímil")</f>
        <v>Abrir facsímil</v>
      </c>
      <c r="K2243" s="15" t="s">
        <v>23</v>
      </c>
    </row>
    <row r="2244" spans="1:11" ht="42" customHeight="1">
      <c r="A2244" s="4" t="s">
        <v>5839</v>
      </c>
      <c r="B2244" s="5" t="s">
        <v>5840</v>
      </c>
      <c r="C2244" s="5" t="s">
        <v>90</v>
      </c>
      <c r="D2244" s="5" t="s">
        <v>91</v>
      </c>
      <c r="E2244" s="5" t="s">
        <v>172</v>
      </c>
      <c r="F2244" s="9">
        <v>35</v>
      </c>
      <c r="G2244" s="9">
        <v>413</v>
      </c>
      <c r="H2244" s="5" t="s">
        <v>21</v>
      </c>
      <c r="I2244" s="5" t="s">
        <v>5841</v>
      </c>
      <c r="J2244" s="12" t="str">
        <f>HYPERLINK("https://www.boe.es/gazeta/dias/1802/04/30/pdfs/GMD-1802-35.pdf#page=13","Abrir facsímil")</f>
        <v>Abrir facsímil</v>
      </c>
      <c r="K2244" s="15" t="s">
        <v>23</v>
      </c>
    </row>
    <row r="2245" spans="1:11" ht="42" customHeight="1">
      <c r="A2245" s="4" t="s">
        <v>5842</v>
      </c>
      <c r="B2245" s="5" t="s">
        <v>5843</v>
      </c>
      <c r="C2245" s="5" t="s">
        <v>55</v>
      </c>
      <c r="D2245" s="5" t="s">
        <v>56</v>
      </c>
      <c r="E2245" s="5" t="s">
        <v>232</v>
      </c>
      <c r="F2245" s="9">
        <v>30</v>
      </c>
      <c r="G2245" s="9">
        <v>351</v>
      </c>
      <c r="H2245" s="5" t="s">
        <v>21</v>
      </c>
      <c r="I2245" s="5" t="s">
        <v>5844</v>
      </c>
      <c r="J2245" s="12" t="str">
        <f>HYPERLINK("https://www.boe.es/gazeta/dias/1802/04/13/pdfs/GMD-1802-30.pdf#page=7","Abrir facsímil")</f>
        <v>Abrir facsímil</v>
      </c>
      <c r="K2245" s="15" t="s">
        <v>23</v>
      </c>
    </row>
    <row r="2246" spans="1:11" ht="42" customHeight="1">
      <c r="A2246" s="4" t="s">
        <v>5845</v>
      </c>
      <c r="B2246" s="5" t="s">
        <v>5846</v>
      </c>
      <c r="C2246" s="5" t="s">
        <v>29</v>
      </c>
      <c r="D2246" s="5" t="s">
        <v>30</v>
      </c>
      <c r="E2246" s="5" t="s">
        <v>146</v>
      </c>
      <c r="F2246" s="9">
        <v>42</v>
      </c>
      <c r="G2246" s="9">
        <v>504</v>
      </c>
      <c r="H2246" s="5" t="s">
        <v>21</v>
      </c>
      <c r="I2246" s="5" t="s">
        <v>5847</v>
      </c>
      <c r="J2246" s="12" t="str">
        <f>HYPERLINK("https://www.boe.es/gazeta/dias/1802/05/25/pdfs/GMD-1802-42.pdf#page=8","Abrir facsímil")</f>
        <v>Abrir facsímil</v>
      </c>
      <c r="K2246" s="15" t="s">
        <v>23</v>
      </c>
    </row>
    <row r="2247" spans="1:11" ht="42" customHeight="1">
      <c r="A2247" s="4" t="s">
        <v>5848</v>
      </c>
      <c r="B2247" s="5" t="s">
        <v>5849</v>
      </c>
      <c r="C2247" s="5" t="s">
        <v>42</v>
      </c>
      <c r="D2247" s="5" t="s">
        <v>43</v>
      </c>
      <c r="E2247" s="5" t="s">
        <v>44</v>
      </c>
      <c r="F2247" s="9">
        <v>99</v>
      </c>
      <c r="G2247" s="9" t="s">
        <v>251</v>
      </c>
      <c r="H2247" s="5" t="s">
        <v>21</v>
      </c>
      <c r="I2247" s="5" t="s">
        <v>5850</v>
      </c>
      <c r="J2247" s="12" t="str">
        <f>HYPERLINK("https://www.boe.es/gazeta/dias/1802/12/07/pdfs/GMD-D-1802-99.pdf#page=6","Abrir facsímil")</f>
        <v>Abrir facsímil</v>
      </c>
      <c r="K2247" s="15" t="s">
        <v>23</v>
      </c>
    </row>
    <row r="2248" spans="1:11" ht="42" customHeight="1">
      <c r="A2248" s="4" t="s">
        <v>5851</v>
      </c>
      <c r="B2248" s="5" t="s">
        <v>5852</v>
      </c>
      <c r="C2248" s="5" t="s">
        <v>90</v>
      </c>
      <c r="D2248" s="5" t="s">
        <v>91</v>
      </c>
      <c r="E2248" s="5" t="s">
        <v>1407</v>
      </c>
      <c r="F2248" s="9">
        <v>8</v>
      </c>
      <c r="G2248" s="9">
        <v>78</v>
      </c>
      <c r="H2248" s="5" t="s">
        <v>21</v>
      </c>
      <c r="I2248" s="5" t="s">
        <v>5853</v>
      </c>
      <c r="J2248" s="12" t="str">
        <f>HYPERLINK("https://www.boe.es/gazeta/dias/1802/01/26/pdfs/GMD-1802-8.pdf#page=6","Abrir facsímil")</f>
        <v>Abrir facsímil</v>
      </c>
      <c r="K2248" s="15" t="s">
        <v>23</v>
      </c>
    </row>
    <row r="2249" spans="1:11" ht="42" customHeight="1">
      <c r="A2249" s="4" t="s">
        <v>5851</v>
      </c>
      <c r="B2249" s="5" t="s">
        <v>5852</v>
      </c>
      <c r="C2249" s="5" t="s">
        <v>29</v>
      </c>
      <c r="D2249" s="5" t="s">
        <v>30</v>
      </c>
      <c r="E2249" s="5" t="s">
        <v>389</v>
      </c>
      <c r="F2249" s="9">
        <v>96</v>
      </c>
      <c r="G2249" s="9">
        <v>1189</v>
      </c>
      <c r="H2249" s="5" t="s">
        <v>21</v>
      </c>
      <c r="I2249" s="5" t="s">
        <v>5854</v>
      </c>
      <c r="J2249" s="12" t="str">
        <f>HYPERLINK("https://www.boe.es/gazeta/dias/1802/11/26/pdfs/GMD-1802-96.pdf#page=9","Abrir facsímil")</f>
        <v>Abrir facsímil</v>
      </c>
      <c r="K2249" s="15" t="s">
        <v>23</v>
      </c>
    </row>
    <row r="2250" spans="1:11" ht="42" customHeight="1">
      <c r="A2250" s="4" t="s">
        <v>5855</v>
      </c>
      <c r="B2250" s="5" t="s">
        <v>5856</v>
      </c>
      <c r="C2250" s="5" t="s">
        <v>18</v>
      </c>
      <c r="D2250" s="5" t="s">
        <v>19</v>
      </c>
      <c r="E2250" s="5" t="s">
        <v>206</v>
      </c>
      <c r="F2250" s="9">
        <v>22</v>
      </c>
      <c r="G2250" s="9">
        <v>241</v>
      </c>
      <c r="H2250" s="5" t="s">
        <v>21</v>
      </c>
      <c r="I2250" s="5" t="s">
        <v>5857</v>
      </c>
      <c r="J2250" s="12" t="str">
        <f>HYPERLINK("https://www.boe.es/gazeta/dias/1802/03/16/pdfs/GMD-1802-22.pdf#page=9","Abrir facsímil")</f>
        <v>Abrir facsímil</v>
      </c>
      <c r="K2250" s="15" t="s">
        <v>23</v>
      </c>
    </row>
    <row r="2251" spans="1:11" ht="42" customHeight="1">
      <c r="A2251" s="4" t="s">
        <v>5858</v>
      </c>
      <c r="B2251" s="5" t="s">
        <v>5859</v>
      </c>
      <c r="C2251" s="5" t="s">
        <v>29</v>
      </c>
      <c r="D2251" s="5" t="s">
        <v>30</v>
      </c>
      <c r="E2251" s="5" t="s">
        <v>517</v>
      </c>
      <c r="F2251" s="9">
        <v>61</v>
      </c>
      <c r="G2251" s="9">
        <v>744</v>
      </c>
      <c r="H2251" s="5" t="s">
        <v>21</v>
      </c>
      <c r="I2251" s="5" t="s">
        <v>5860</v>
      </c>
      <c r="J2251" s="12" t="str">
        <f>HYPERLINK("https://www.boe.es/gazeta/dias/1802/07/27/pdfs/GMD-1802-61.pdf#page=12","Abrir facsímil")</f>
        <v>Abrir facsímil</v>
      </c>
      <c r="K2251" s="15" t="s">
        <v>23</v>
      </c>
    </row>
    <row r="2252" spans="1:11" ht="42" customHeight="1">
      <c r="A2252" s="4" t="s">
        <v>5861</v>
      </c>
      <c r="B2252" s="5" t="s">
        <v>5862</v>
      </c>
      <c r="C2252" s="5" t="s">
        <v>29</v>
      </c>
      <c r="D2252" s="5" t="s">
        <v>30</v>
      </c>
      <c r="E2252" s="5" t="s">
        <v>146</v>
      </c>
      <c r="F2252" s="9">
        <v>42</v>
      </c>
      <c r="G2252" s="9">
        <v>504</v>
      </c>
      <c r="H2252" s="5" t="s">
        <v>21</v>
      </c>
      <c r="I2252" s="5" t="s">
        <v>5863</v>
      </c>
      <c r="J2252" s="12" t="str">
        <f>HYPERLINK("https://www.boe.es/gazeta/dias/1802/05/25/pdfs/GMD-1802-42.pdf#page=8","Abrir facsímil")</f>
        <v>Abrir facsímil</v>
      </c>
      <c r="K2252" s="15" t="s">
        <v>23</v>
      </c>
    </row>
    <row r="2253" spans="1:11" ht="42" customHeight="1">
      <c r="A2253" s="4" t="s">
        <v>5864</v>
      </c>
      <c r="B2253" s="5" t="s">
        <v>5865</v>
      </c>
      <c r="C2253" s="5" t="s">
        <v>18</v>
      </c>
      <c r="D2253" s="5" t="s">
        <v>19</v>
      </c>
      <c r="E2253" s="5" t="s">
        <v>152</v>
      </c>
      <c r="F2253" s="9">
        <v>25</v>
      </c>
      <c r="G2253" s="9">
        <v>284</v>
      </c>
      <c r="H2253" s="5" t="s">
        <v>21</v>
      </c>
      <c r="I2253" s="5" t="s">
        <v>5866</v>
      </c>
      <c r="J2253" s="12" t="str">
        <f>HYPERLINK("https://www.boe.es/gazeta/dias/1802/03/26/pdfs/GMD-1802-25.pdf#page=8","Abrir facsímil")</f>
        <v>Abrir facsímil</v>
      </c>
      <c r="K2253" s="15" t="s">
        <v>23</v>
      </c>
    </row>
    <row r="2254" spans="1:11" ht="42" customHeight="1">
      <c r="A2254" s="4" t="s">
        <v>5867</v>
      </c>
      <c r="B2254" s="5" t="s">
        <v>5868</v>
      </c>
      <c r="C2254" s="5" t="s">
        <v>18</v>
      </c>
      <c r="D2254" s="5" t="s">
        <v>19</v>
      </c>
      <c r="E2254" s="5" t="s">
        <v>49</v>
      </c>
      <c r="F2254" s="9">
        <v>83</v>
      </c>
      <c r="G2254" s="9">
        <v>1019</v>
      </c>
      <c r="H2254" s="5" t="s">
        <v>21</v>
      </c>
      <c r="I2254" s="5" t="s">
        <v>5869</v>
      </c>
      <c r="J2254" s="12" t="str">
        <f>HYPERLINK("https://www.boe.es/gazeta/dias/1802/10/12/pdfs/GMD-1802-83.pdf#page=7","Abrir facsímil")</f>
        <v>Abrir facsímil</v>
      </c>
      <c r="K2254" s="15" t="s">
        <v>23</v>
      </c>
    </row>
    <row r="2255" spans="1:11" ht="42" customHeight="1">
      <c r="A2255" s="4" t="s">
        <v>5870</v>
      </c>
      <c r="B2255" s="5" t="s">
        <v>5871</v>
      </c>
      <c r="C2255" s="5" t="s">
        <v>18</v>
      </c>
      <c r="D2255" s="5" t="s">
        <v>19</v>
      </c>
      <c r="E2255" s="5" t="s">
        <v>75</v>
      </c>
      <c r="F2255" s="9">
        <v>103</v>
      </c>
      <c r="G2255" s="9">
        <v>1263</v>
      </c>
      <c r="H2255" s="5" t="s">
        <v>21</v>
      </c>
      <c r="I2255" s="5" t="s">
        <v>5872</v>
      </c>
      <c r="J2255" s="12" t="str">
        <f>HYPERLINK("https://www.boe.es/gazeta/dias/1802/12/21/pdfs/GMD-1802-103.pdf#page=7","Abrir facsímil")</f>
        <v>Abrir facsímil</v>
      </c>
      <c r="K2255" s="15" t="s">
        <v>23</v>
      </c>
    </row>
    <row r="2256" spans="1:11" ht="42" customHeight="1">
      <c r="A2256" s="4" t="s">
        <v>5873</v>
      </c>
      <c r="B2256" s="5" t="s">
        <v>5874</v>
      </c>
      <c r="C2256" s="5" t="s">
        <v>29</v>
      </c>
      <c r="D2256" s="5" t="s">
        <v>30</v>
      </c>
      <c r="E2256" s="5" t="s">
        <v>128</v>
      </c>
      <c r="F2256" s="9">
        <v>9</v>
      </c>
      <c r="G2256" s="9">
        <v>87</v>
      </c>
      <c r="H2256" s="5" t="s">
        <v>21</v>
      </c>
      <c r="I2256" s="5" t="s">
        <v>5875</v>
      </c>
      <c r="J2256" s="12" t="str">
        <f>HYPERLINK("https://www.boe.es/gazeta/dias/1802/01/29/pdfs/GMD-1802-9.pdf#page=7","Abrir facsímil")</f>
        <v>Abrir facsímil</v>
      </c>
      <c r="K2256" s="15" t="s">
        <v>23</v>
      </c>
    </row>
    <row r="2257" spans="1:11" ht="42" customHeight="1">
      <c r="A2257" s="4" t="s">
        <v>5876</v>
      </c>
      <c r="B2257" s="5" t="s">
        <v>5877</v>
      </c>
      <c r="C2257" s="5" t="s">
        <v>29</v>
      </c>
      <c r="D2257" s="5" t="s">
        <v>30</v>
      </c>
      <c r="E2257" s="5" t="s">
        <v>706</v>
      </c>
      <c r="F2257" s="9">
        <v>80</v>
      </c>
      <c r="G2257" s="9">
        <v>988</v>
      </c>
      <c r="H2257" s="5" t="s">
        <v>21</v>
      </c>
      <c r="I2257" s="5" t="s">
        <v>5878</v>
      </c>
      <c r="J2257" s="12" t="str">
        <f>HYPERLINK("https://www.boe.es/gazeta/dias/1802/10/01/pdfs/GMD-1802-80.pdf#page=12","Abrir facsímil")</f>
        <v>Abrir facsímil</v>
      </c>
      <c r="K2257" s="15" t="s">
        <v>23</v>
      </c>
    </row>
    <row r="2258" spans="1:11" ht="42" customHeight="1">
      <c r="A2258" s="4" t="s">
        <v>5879</v>
      </c>
      <c r="B2258" s="5" t="s">
        <v>5880</v>
      </c>
      <c r="C2258" s="5" t="s">
        <v>42</v>
      </c>
      <c r="D2258" s="5" t="s">
        <v>43</v>
      </c>
      <c r="E2258" s="5" t="s">
        <v>44</v>
      </c>
      <c r="F2258" s="9">
        <v>99</v>
      </c>
      <c r="G2258" s="9" t="s">
        <v>537</v>
      </c>
      <c r="H2258" s="5" t="s">
        <v>21</v>
      </c>
      <c r="I2258" s="5" t="s">
        <v>5881</v>
      </c>
      <c r="J2258" s="12" t="str">
        <f>HYPERLINK("https://www.boe.es/gazeta/dias/1802/12/07/pdfs/GMD-D-1802-99.pdf#page=9","Abrir facsímil")</f>
        <v>Abrir facsímil</v>
      </c>
      <c r="K2258" s="15" t="s">
        <v>23</v>
      </c>
    </row>
    <row r="2259" spans="1:11" ht="42" customHeight="1">
      <c r="A2259" s="4" t="s">
        <v>5882</v>
      </c>
      <c r="B2259" s="5" t="s">
        <v>5883</v>
      </c>
      <c r="C2259" s="5" t="s">
        <v>90</v>
      </c>
      <c r="D2259" s="5" t="s">
        <v>91</v>
      </c>
      <c r="E2259" s="5" t="s">
        <v>1264</v>
      </c>
      <c r="F2259" s="9">
        <v>105</v>
      </c>
      <c r="G2259" s="9">
        <v>1286</v>
      </c>
      <c r="H2259" s="5" t="s">
        <v>21</v>
      </c>
      <c r="I2259" s="5" t="s">
        <v>5884</v>
      </c>
      <c r="J2259" s="12" t="str">
        <f>HYPERLINK("https://www.boe.es/gazeta/dias/1802/12/28/pdfs/GMD-1802-105.pdf#page=10","Abrir facsímil")</f>
        <v>Abrir facsímil</v>
      </c>
      <c r="K2259" s="15" t="s">
        <v>23</v>
      </c>
    </row>
    <row r="2260" spans="1:11" ht="42" customHeight="1">
      <c r="A2260" s="4" t="s">
        <v>5885</v>
      </c>
      <c r="B2260" s="5" t="s">
        <v>5886</v>
      </c>
      <c r="C2260" s="5" t="s">
        <v>29</v>
      </c>
      <c r="D2260" s="5" t="s">
        <v>30</v>
      </c>
      <c r="E2260" s="5" t="s">
        <v>311</v>
      </c>
      <c r="F2260" s="9">
        <v>88</v>
      </c>
      <c r="G2260" s="9">
        <v>1094</v>
      </c>
      <c r="H2260" s="5" t="s">
        <v>21</v>
      </c>
      <c r="I2260" s="5" t="s">
        <v>5887</v>
      </c>
      <c r="J2260" s="12" t="str">
        <f>HYPERLINK("https://www.boe.es/gazeta/dias/1802/10/29/pdfs/GMD-1802-88.pdf#page=10","Abrir facsímil")</f>
        <v>Abrir facsímil</v>
      </c>
      <c r="K2260" s="15" t="s">
        <v>23</v>
      </c>
    </row>
    <row r="2261" spans="1:11" ht="42" customHeight="1">
      <c r="A2261" s="4" t="s">
        <v>5888</v>
      </c>
      <c r="B2261" s="5" t="s">
        <v>5889</v>
      </c>
      <c r="C2261" s="5" t="s">
        <v>572</v>
      </c>
      <c r="D2261" s="5" t="s">
        <v>573</v>
      </c>
      <c r="E2261" s="5" t="s">
        <v>574</v>
      </c>
      <c r="F2261" s="9" t="s">
        <v>575</v>
      </c>
      <c r="G2261" s="9">
        <v>710</v>
      </c>
      <c r="H2261" s="5" t="s">
        <v>21</v>
      </c>
      <c r="I2261" s="5" t="s">
        <v>5890</v>
      </c>
      <c r="J2261" s="12" t="str">
        <f>HYPERLINK("https://www.boe.es/gazeta/dias/1802/07/21/pdfs/GMD-1802-59E.pdf#page=6","Abrir facsímil")</f>
        <v>Abrir facsímil</v>
      </c>
      <c r="K2261" s="15" t="s">
        <v>23</v>
      </c>
    </row>
    <row r="2262" spans="1:11" ht="42" customHeight="1">
      <c r="A2262" s="4" t="s">
        <v>5891</v>
      </c>
      <c r="B2262" s="5" t="s">
        <v>5892</v>
      </c>
      <c r="C2262" s="5" t="s">
        <v>90</v>
      </c>
      <c r="D2262" s="5" t="s">
        <v>91</v>
      </c>
      <c r="E2262" s="5" t="s">
        <v>247</v>
      </c>
      <c r="F2262" s="9">
        <v>14</v>
      </c>
      <c r="G2262" s="9">
        <v>146</v>
      </c>
      <c r="H2262" s="5" t="s">
        <v>21</v>
      </c>
      <c r="I2262" s="5" t="s">
        <v>5893</v>
      </c>
      <c r="J2262" s="12" t="str">
        <f>HYPERLINK("https://www.boe.es/gazeta/dias/1802/02/16/pdfs/GMD-1802-14.pdf#page=10","Abrir facsímil")</f>
        <v>Abrir facsímil</v>
      </c>
      <c r="K2262" s="15" t="s">
        <v>23</v>
      </c>
    </row>
    <row r="2263" spans="1:11" ht="42" customHeight="1">
      <c r="A2263" s="4" t="s">
        <v>5894</v>
      </c>
      <c r="B2263" s="5" t="s">
        <v>5895</v>
      </c>
      <c r="C2263" s="5" t="s">
        <v>29</v>
      </c>
      <c r="D2263" s="5" t="s">
        <v>30</v>
      </c>
      <c r="E2263" s="5" t="s">
        <v>1381</v>
      </c>
      <c r="F2263" s="9">
        <v>17</v>
      </c>
      <c r="G2263" s="9">
        <v>185</v>
      </c>
      <c r="H2263" s="5" t="s">
        <v>21</v>
      </c>
      <c r="I2263" s="5" t="s">
        <v>5896</v>
      </c>
      <c r="J2263" s="12" t="str">
        <f>HYPERLINK("https://www.boe.es/gazeta/dias/1802/02/26/pdfs/GMD-1802-17.pdf#page=9","Abrir facsímil")</f>
        <v>Abrir facsímil</v>
      </c>
      <c r="K2263" s="15" t="s">
        <v>23</v>
      </c>
    </row>
    <row r="2264" spans="1:11" ht="42" customHeight="1">
      <c r="A2264" s="4" t="s">
        <v>5894</v>
      </c>
      <c r="B2264" s="5" t="s">
        <v>5895</v>
      </c>
      <c r="C2264" s="5" t="s">
        <v>90</v>
      </c>
      <c r="D2264" s="5" t="s">
        <v>91</v>
      </c>
      <c r="E2264" s="5" t="s">
        <v>71</v>
      </c>
      <c r="F2264" s="9">
        <v>21</v>
      </c>
      <c r="G2264" s="9">
        <v>233</v>
      </c>
      <c r="H2264" s="5" t="s">
        <v>21</v>
      </c>
      <c r="I2264" s="5" t="s">
        <v>5897</v>
      </c>
      <c r="J2264" s="12" t="str">
        <f>HYPERLINK("https://www.boe.es/gazeta/dias/1802/03/12/pdfs/GMD-1802-21.pdf#page=9","Abrir facsímil")</f>
        <v>Abrir facsímil</v>
      </c>
      <c r="K2264" s="15" t="s">
        <v>23</v>
      </c>
    </row>
    <row r="2265" spans="1:11" ht="42" customHeight="1">
      <c r="A2265" s="4" t="s">
        <v>5898</v>
      </c>
      <c r="B2265" s="5" t="s">
        <v>5899</v>
      </c>
      <c r="C2265" s="5" t="s">
        <v>18</v>
      </c>
      <c r="D2265" s="5" t="s">
        <v>19</v>
      </c>
      <c r="E2265" s="5" t="s">
        <v>148</v>
      </c>
      <c r="F2265" s="9">
        <v>66</v>
      </c>
      <c r="G2265" s="9">
        <v>811</v>
      </c>
      <c r="H2265" s="5" t="s">
        <v>21</v>
      </c>
      <c r="I2265" s="5" t="s">
        <v>5900</v>
      </c>
      <c r="J2265" s="12" t="str">
        <f>HYPERLINK("https://www.boe.es/gazeta/dias/1802/08/13/pdfs/GMD-1802-66.pdf#page=15","Abrir facsímil")</f>
        <v>Abrir facsímil</v>
      </c>
      <c r="K2265" s="15" t="s">
        <v>23</v>
      </c>
    </row>
    <row r="2266" spans="1:11" ht="42" customHeight="1">
      <c r="A2266" s="4" t="s">
        <v>5901</v>
      </c>
      <c r="B2266" s="5" t="s">
        <v>5902</v>
      </c>
      <c r="C2266" s="5" t="s">
        <v>90</v>
      </c>
      <c r="D2266" s="5" t="s">
        <v>91</v>
      </c>
      <c r="E2266" s="5" t="s">
        <v>631</v>
      </c>
      <c r="F2266" s="9">
        <v>36</v>
      </c>
      <c r="G2266" s="9">
        <v>431</v>
      </c>
      <c r="H2266" s="5" t="s">
        <v>21</v>
      </c>
      <c r="I2266" s="5" t="s">
        <v>5903</v>
      </c>
      <c r="J2266" s="12" t="str">
        <f>HYPERLINK("https://www.boe.es/gazeta/dias/1802/05/04/pdfs/GMD-1802-36.pdf#page=11","Abrir facsímil")</f>
        <v>Abrir facsímil</v>
      </c>
      <c r="K2266" s="15" t="s">
        <v>23</v>
      </c>
    </row>
    <row r="2267" spans="1:11" ht="42" customHeight="1">
      <c r="A2267" s="4" t="s">
        <v>5904</v>
      </c>
      <c r="B2267" s="5" t="s">
        <v>5905</v>
      </c>
      <c r="C2267" s="5" t="s">
        <v>18</v>
      </c>
      <c r="D2267" s="5" t="s">
        <v>19</v>
      </c>
      <c r="E2267" s="5" t="s">
        <v>49</v>
      </c>
      <c r="F2267" s="9">
        <v>83</v>
      </c>
      <c r="G2267" s="9">
        <v>1025</v>
      </c>
      <c r="H2267" s="5" t="s">
        <v>21</v>
      </c>
      <c r="I2267" s="5" t="s">
        <v>5906</v>
      </c>
      <c r="J2267" s="12" t="str">
        <f>HYPERLINK("https://www.boe.es/gazeta/dias/1802/10/12/pdfs/GMD-1802-83.pdf#page=13","Abrir facsímil")</f>
        <v>Abrir facsímil</v>
      </c>
      <c r="K2267" s="15" t="s">
        <v>23</v>
      </c>
    </row>
    <row r="2268" spans="1:11" ht="42" customHeight="1">
      <c r="A2268" s="4" t="s">
        <v>5907</v>
      </c>
      <c r="B2268" s="5" t="s">
        <v>5908</v>
      </c>
      <c r="C2268" s="5" t="s">
        <v>29</v>
      </c>
      <c r="D2268" s="5" t="s">
        <v>30</v>
      </c>
      <c r="E2268" s="5" t="s">
        <v>99</v>
      </c>
      <c r="F2268" s="9">
        <v>86</v>
      </c>
      <c r="G2268" s="9">
        <v>1070</v>
      </c>
      <c r="H2268" s="5" t="s">
        <v>21</v>
      </c>
      <c r="I2268" s="5" t="s">
        <v>5909</v>
      </c>
      <c r="J2268" s="12" t="str">
        <f>HYPERLINK("https://www.boe.es/gazeta/dias/1802/10/22/pdfs/GMD-1802-86.pdf#page=10","Abrir facsímil")</f>
        <v>Abrir facsímil</v>
      </c>
      <c r="K2268" s="15" t="s">
        <v>23</v>
      </c>
    </row>
    <row r="2269" spans="1:11" ht="42" customHeight="1">
      <c r="A2269" s="4" t="s">
        <v>5910</v>
      </c>
      <c r="B2269" s="5" t="s">
        <v>5911</v>
      </c>
      <c r="C2269" s="5" t="s">
        <v>35</v>
      </c>
      <c r="D2269" s="5" t="s">
        <v>36</v>
      </c>
      <c r="E2269" s="5" t="s">
        <v>1051</v>
      </c>
      <c r="F2269" s="9">
        <v>43</v>
      </c>
      <c r="G2269" s="9">
        <v>510</v>
      </c>
      <c r="H2269" s="5" t="s">
        <v>21</v>
      </c>
      <c r="I2269" s="5" t="s">
        <v>5912</v>
      </c>
      <c r="J2269" s="12" t="str">
        <f>HYPERLINK("https://www.boe.es/gazeta/dias/1802/05/28/pdfs/GMD-1802-43.pdf#page=2","Abrir facsímil")</f>
        <v>Abrir facsímil</v>
      </c>
      <c r="K2269" s="15" t="s">
        <v>23</v>
      </c>
    </row>
    <row r="2270" spans="1:11" ht="42" customHeight="1">
      <c r="A2270" s="4" t="s">
        <v>5913</v>
      </c>
      <c r="B2270" s="5" t="s">
        <v>5914</v>
      </c>
      <c r="C2270" s="5" t="s">
        <v>35</v>
      </c>
      <c r="D2270" s="5" t="s">
        <v>36</v>
      </c>
      <c r="E2270" s="5" t="s">
        <v>865</v>
      </c>
      <c r="F2270" s="9">
        <v>12</v>
      </c>
      <c r="G2270" s="9">
        <v>121</v>
      </c>
      <c r="H2270" s="5" t="s">
        <v>21</v>
      </c>
      <c r="I2270" s="5" t="s">
        <v>5915</v>
      </c>
      <c r="J2270" s="12" t="str">
        <f>HYPERLINK("https://www.boe.es/gazeta/dias/1802/02/09/pdfs/GMD-1802-12.pdf#page=5","Abrir facsímil")</f>
        <v>Abrir facsímil</v>
      </c>
      <c r="K2270" s="15" t="s">
        <v>23</v>
      </c>
    </row>
    <row r="2271" spans="1:11" ht="42" customHeight="1">
      <c r="A2271" s="4" t="s">
        <v>5916</v>
      </c>
      <c r="B2271" s="5" t="s">
        <v>5917</v>
      </c>
      <c r="C2271" s="5" t="s">
        <v>18</v>
      </c>
      <c r="D2271" s="5" t="s">
        <v>19</v>
      </c>
      <c r="E2271" s="5" t="s">
        <v>517</v>
      </c>
      <c r="F2271" s="9">
        <v>61</v>
      </c>
      <c r="G2271" s="9">
        <v>742</v>
      </c>
      <c r="H2271" s="5" t="s">
        <v>21</v>
      </c>
      <c r="I2271" s="5" t="s">
        <v>5918</v>
      </c>
      <c r="J2271" s="12" t="str">
        <f>HYPERLINK("https://www.boe.es/gazeta/dias/1802/07/27/pdfs/GMD-1802-61.pdf#page=10","Abrir facsímil")</f>
        <v>Abrir facsímil</v>
      </c>
      <c r="K2271" s="15" t="s">
        <v>23</v>
      </c>
    </row>
    <row r="2272" spans="1:11" ht="42" customHeight="1">
      <c r="A2272" s="4" t="s">
        <v>5916</v>
      </c>
      <c r="B2272" s="5" t="s">
        <v>5917</v>
      </c>
      <c r="C2272" s="5" t="s">
        <v>18</v>
      </c>
      <c r="D2272" s="5" t="s">
        <v>19</v>
      </c>
      <c r="E2272" s="5" t="s">
        <v>292</v>
      </c>
      <c r="F2272" s="9">
        <v>62</v>
      </c>
      <c r="G2272" s="9">
        <v>754</v>
      </c>
      <c r="H2272" s="5" t="s">
        <v>21</v>
      </c>
      <c r="I2272" s="5" t="s">
        <v>5919</v>
      </c>
      <c r="J2272" s="12" t="str">
        <f>HYPERLINK("https://www.boe.es/gazeta/dias/1802/07/30/pdfs/GMD-1802-62.pdf#page=10","Abrir facsímil")</f>
        <v>Abrir facsímil</v>
      </c>
      <c r="K2272" s="15" t="s">
        <v>23</v>
      </c>
    </row>
    <row r="2273" spans="1:11" ht="42" customHeight="1">
      <c r="A2273" s="4" t="s">
        <v>5916</v>
      </c>
      <c r="B2273" s="5" t="s">
        <v>5917</v>
      </c>
      <c r="C2273" s="5" t="s">
        <v>18</v>
      </c>
      <c r="D2273" s="5" t="s">
        <v>19</v>
      </c>
      <c r="E2273" s="5" t="s">
        <v>1185</v>
      </c>
      <c r="F2273" s="9">
        <v>93</v>
      </c>
      <c r="G2273" s="9">
        <v>1150</v>
      </c>
      <c r="H2273" s="5" t="s">
        <v>21</v>
      </c>
      <c r="I2273" s="5" t="s">
        <v>5920</v>
      </c>
      <c r="J2273" s="12" t="str">
        <f>HYPERLINK("https://www.boe.es/gazeta/dias/1802/11/16/pdfs/GMD-1802-93.pdf#page=10","Abrir facsímil")</f>
        <v>Abrir facsímil</v>
      </c>
      <c r="K2273" s="15" t="s">
        <v>23</v>
      </c>
    </row>
    <row r="2274" spans="1:11" ht="42" customHeight="1">
      <c r="A2274" s="4" t="s">
        <v>5921</v>
      </c>
      <c r="B2274" s="5" t="s">
        <v>5922</v>
      </c>
      <c r="C2274" s="5" t="s">
        <v>29</v>
      </c>
      <c r="D2274" s="5" t="s">
        <v>30</v>
      </c>
      <c r="E2274" s="5" t="s">
        <v>299</v>
      </c>
      <c r="F2274" s="9">
        <v>19</v>
      </c>
      <c r="G2274" s="9">
        <v>211</v>
      </c>
      <c r="H2274" s="5" t="s">
        <v>21</v>
      </c>
      <c r="I2274" s="5" t="s">
        <v>5923</v>
      </c>
      <c r="J2274" s="12" t="str">
        <f>HYPERLINK("https://www.boe.es/gazeta/dias/1802/03/05/pdfs/GMD-1802-19.pdf#page=11","Abrir facsímil")</f>
        <v>Abrir facsímil</v>
      </c>
      <c r="K2274" s="15" t="s">
        <v>23</v>
      </c>
    </row>
    <row r="2275" spans="1:11" ht="42" customHeight="1">
      <c r="A2275" s="4" t="s">
        <v>5924</v>
      </c>
      <c r="B2275" s="5" t="s">
        <v>5925</v>
      </c>
      <c r="C2275" s="5" t="s">
        <v>90</v>
      </c>
      <c r="D2275" s="5" t="s">
        <v>91</v>
      </c>
      <c r="E2275" s="5" t="s">
        <v>1618</v>
      </c>
      <c r="F2275" s="9">
        <v>31</v>
      </c>
      <c r="G2275" s="9">
        <v>366</v>
      </c>
      <c r="H2275" s="5" t="s">
        <v>21</v>
      </c>
      <c r="I2275" s="5" t="s">
        <v>5926</v>
      </c>
      <c r="J2275" s="12" t="str">
        <f>HYPERLINK("https://www.boe.es/gazeta/dias/1802/04/16/pdfs/GMD-1802-31.pdf#page=10","Abrir facsímil")</f>
        <v>Abrir facsímil</v>
      </c>
      <c r="K2275" s="15" t="s">
        <v>23</v>
      </c>
    </row>
    <row r="2276" spans="1:11" ht="42" customHeight="1">
      <c r="A2276" s="4" t="s">
        <v>5927</v>
      </c>
      <c r="B2276" s="5" t="s">
        <v>5928</v>
      </c>
      <c r="C2276" s="5" t="s">
        <v>90</v>
      </c>
      <c r="D2276" s="5" t="s">
        <v>91</v>
      </c>
      <c r="E2276" s="5" t="s">
        <v>1381</v>
      </c>
      <c r="F2276" s="9">
        <v>17</v>
      </c>
      <c r="G2276" s="9">
        <v>187</v>
      </c>
      <c r="H2276" s="5" t="s">
        <v>21</v>
      </c>
      <c r="I2276" s="5" t="s">
        <v>5929</v>
      </c>
      <c r="J2276" s="12" t="str">
        <f>HYPERLINK("https://www.boe.es/gazeta/dias/1802/02/26/pdfs/GMD-1802-17.pdf#page=11","Abrir facsímil")</f>
        <v>Abrir facsímil</v>
      </c>
      <c r="K2276" s="15" t="s">
        <v>23</v>
      </c>
    </row>
    <row r="2277" spans="1:11" ht="42" customHeight="1">
      <c r="A2277" s="4" t="s">
        <v>5927</v>
      </c>
      <c r="B2277" s="5" t="s">
        <v>5928</v>
      </c>
      <c r="C2277" s="5" t="s">
        <v>160</v>
      </c>
      <c r="D2277" s="5" t="s">
        <v>91</v>
      </c>
      <c r="E2277" s="5" t="s">
        <v>92</v>
      </c>
      <c r="F2277" s="9">
        <v>29</v>
      </c>
      <c r="G2277" s="9">
        <v>343</v>
      </c>
      <c r="H2277" s="5" t="s">
        <v>21</v>
      </c>
      <c r="I2277" s="5" t="s">
        <v>5930</v>
      </c>
      <c r="J2277" s="12" t="str">
        <f>HYPERLINK("https://www.boe.es/gazeta/dias/1802/04/09/pdfs/GMD-1802-29.pdf#page=11","Abrir facsímil")</f>
        <v>Abrir facsímil</v>
      </c>
      <c r="K2277" s="15" t="s">
        <v>23</v>
      </c>
    </row>
    <row r="2278" spans="1:11" ht="42" customHeight="1">
      <c r="A2278" s="4" t="s">
        <v>5927</v>
      </c>
      <c r="B2278" s="5" t="s">
        <v>5928</v>
      </c>
      <c r="C2278" s="5" t="s">
        <v>160</v>
      </c>
      <c r="D2278" s="5" t="s">
        <v>91</v>
      </c>
      <c r="E2278" s="5" t="s">
        <v>655</v>
      </c>
      <c r="F2278" s="9">
        <v>46</v>
      </c>
      <c r="G2278" s="9">
        <v>562</v>
      </c>
      <c r="H2278" s="5" t="s">
        <v>21</v>
      </c>
      <c r="I2278" s="5" t="s">
        <v>5931</v>
      </c>
      <c r="J2278" s="12" t="str">
        <f>HYPERLINK("https://www.boe.es/gazeta/dias/1802/06/08/pdfs/GMD-1802-46.pdf#page=14","Abrir facsímil")</f>
        <v>Abrir facsímil</v>
      </c>
      <c r="K2278" s="15" t="s">
        <v>23</v>
      </c>
    </row>
    <row r="2279" spans="1:11" ht="42" customHeight="1">
      <c r="A2279" s="4" t="s">
        <v>5932</v>
      </c>
      <c r="B2279" s="5" t="s">
        <v>5933</v>
      </c>
      <c r="C2279" s="5" t="s">
        <v>55</v>
      </c>
      <c r="D2279" s="5" t="s">
        <v>56</v>
      </c>
      <c r="E2279" s="5" t="s">
        <v>57</v>
      </c>
      <c r="F2279" s="9">
        <v>54</v>
      </c>
      <c r="G2279" s="9">
        <v>655</v>
      </c>
      <c r="H2279" s="5" t="s">
        <v>21</v>
      </c>
      <c r="I2279" s="5" t="s">
        <v>5934</v>
      </c>
      <c r="J2279" s="12" t="str">
        <f>HYPERLINK("https://www.boe.es/gazeta/dias/1802/07/06/pdfs/GMD-1802-54.pdf#page=11","Abrir facsímil")</f>
        <v>Abrir facsímil</v>
      </c>
      <c r="K2279" s="15" t="s">
        <v>23</v>
      </c>
    </row>
    <row r="2280" spans="1:11" ht="42" customHeight="1">
      <c r="A2280" s="4" t="s">
        <v>5935</v>
      </c>
      <c r="B2280" s="5" t="s">
        <v>5936</v>
      </c>
      <c r="C2280" s="5" t="s">
        <v>55</v>
      </c>
      <c r="D2280" s="5" t="s">
        <v>56</v>
      </c>
      <c r="E2280" s="5" t="s">
        <v>131</v>
      </c>
      <c r="F2280" s="9">
        <v>11</v>
      </c>
      <c r="G2280" s="9">
        <v>105</v>
      </c>
      <c r="H2280" s="5" t="s">
        <v>21</v>
      </c>
      <c r="I2280" s="5" t="s">
        <v>5937</v>
      </c>
      <c r="J2280" s="12" t="str">
        <f>HYPERLINK("https://www.boe.es/gazeta/dias/1802/02/05/pdfs/GMD-1802-11.pdf#page=1","Abrir facsímil")</f>
        <v>Abrir facsímil</v>
      </c>
      <c r="K2280" s="15" t="s">
        <v>23</v>
      </c>
    </row>
    <row r="2281" spans="1:11" ht="42" customHeight="1">
      <c r="A2281" s="4" t="s">
        <v>5938</v>
      </c>
      <c r="B2281" s="5" t="s">
        <v>5939</v>
      </c>
      <c r="C2281" s="5" t="s">
        <v>18</v>
      </c>
      <c r="D2281" s="5" t="s">
        <v>19</v>
      </c>
      <c r="E2281" s="5" t="s">
        <v>20</v>
      </c>
      <c r="F2281" s="9">
        <v>84</v>
      </c>
      <c r="G2281" s="9">
        <v>1041</v>
      </c>
      <c r="H2281" s="5" t="s">
        <v>21</v>
      </c>
      <c r="I2281" s="5" t="s">
        <v>5940</v>
      </c>
      <c r="J2281" s="12" t="str">
        <f>HYPERLINK("https://www.boe.es/gazeta/dias/1802/10/15/pdfs/GMD-1802-84.pdf#page=9","Abrir facsímil")</f>
        <v>Abrir facsímil</v>
      </c>
      <c r="K2281" s="15" t="s">
        <v>23</v>
      </c>
    </row>
    <row r="2282" spans="1:11" ht="42" customHeight="1">
      <c r="A2282" s="4" t="s">
        <v>5941</v>
      </c>
      <c r="B2282" s="5" t="s">
        <v>5942</v>
      </c>
      <c r="C2282" s="5" t="s">
        <v>18</v>
      </c>
      <c r="D2282" s="5" t="s">
        <v>19</v>
      </c>
      <c r="E2282" s="5" t="s">
        <v>20</v>
      </c>
      <c r="F2282" s="9">
        <v>84</v>
      </c>
      <c r="G2282" s="9">
        <v>1040</v>
      </c>
      <c r="H2282" s="5" t="s">
        <v>21</v>
      </c>
      <c r="I2282" s="5" t="s">
        <v>5943</v>
      </c>
      <c r="J2282" s="12" t="str">
        <f>HYPERLINK("https://www.boe.es/gazeta/dias/1802/10/15/pdfs/GMD-1802-84.pdf#page=8","Abrir facsímil")</f>
        <v>Abrir facsímil</v>
      </c>
      <c r="K2282" s="15" t="s">
        <v>23</v>
      </c>
    </row>
    <row r="2283" spans="1:11" ht="42" customHeight="1">
      <c r="A2283" s="4" t="s">
        <v>5944</v>
      </c>
      <c r="B2283" s="5" t="s">
        <v>5945</v>
      </c>
      <c r="C2283" s="5" t="s">
        <v>55</v>
      </c>
      <c r="D2283" s="5" t="s">
        <v>56</v>
      </c>
      <c r="E2283" s="5" t="s">
        <v>165</v>
      </c>
      <c r="F2283" s="9">
        <v>3</v>
      </c>
      <c r="G2283" s="9">
        <v>28</v>
      </c>
      <c r="H2283" s="5" t="s">
        <v>21</v>
      </c>
      <c r="I2283" s="5" t="s">
        <v>5946</v>
      </c>
      <c r="J2283" s="12" t="str">
        <f>HYPERLINK("https://www.boe.es/gazeta/dias/1802/01/08/pdfs/GMD-1802-3.pdf#page=8","Abrir facsímil")</f>
        <v>Abrir facsímil</v>
      </c>
      <c r="K2283" s="15" t="s">
        <v>23</v>
      </c>
    </row>
    <row r="2284" spans="1:11" ht="42" customHeight="1">
      <c r="A2284" s="4" t="s">
        <v>5947</v>
      </c>
      <c r="B2284" s="5" t="s">
        <v>5948</v>
      </c>
      <c r="C2284" s="5" t="s">
        <v>18</v>
      </c>
      <c r="D2284" s="5" t="s">
        <v>19</v>
      </c>
      <c r="E2284" s="5" t="s">
        <v>49</v>
      </c>
      <c r="F2284" s="9">
        <v>83</v>
      </c>
      <c r="G2284" s="9">
        <v>1022</v>
      </c>
      <c r="H2284" s="5" t="s">
        <v>21</v>
      </c>
      <c r="I2284" s="5" t="s">
        <v>5949</v>
      </c>
      <c r="J2284" s="12" t="str">
        <f>HYPERLINK("https://www.boe.es/gazeta/dias/1802/10/12/pdfs/GMD-1802-83.pdf#page=10","Abrir facsímil")</f>
        <v>Abrir facsímil</v>
      </c>
      <c r="K2284" s="15" t="s">
        <v>23</v>
      </c>
    </row>
    <row r="2285" spans="1:11" ht="42" customHeight="1">
      <c r="A2285" s="4" t="s">
        <v>5950</v>
      </c>
      <c r="B2285" s="5" t="s">
        <v>5951</v>
      </c>
      <c r="C2285" s="5" t="s">
        <v>90</v>
      </c>
      <c r="D2285" s="5" t="s">
        <v>91</v>
      </c>
      <c r="E2285" s="5" t="s">
        <v>71</v>
      </c>
      <c r="F2285" s="9">
        <v>21</v>
      </c>
      <c r="G2285" s="9">
        <v>233</v>
      </c>
      <c r="H2285" s="5" t="s">
        <v>21</v>
      </c>
      <c r="I2285" s="5" t="s">
        <v>5952</v>
      </c>
      <c r="J2285" s="12" t="str">
        <f>HYPERLINK("https://www.boe.es/gazeta/dias/1802/03/12/pdfs/GMD-1802-21.pdf#page=9","Abrir facsímil")</f>
        <v>Abrir facsímil</v>
      </c>
      <c r="K2285" s="15" t="s">
        <v>23</v>
      </c>
    </row>
    <row r="2286" spans="1:11" ht="42" customHeight="1">
      <c r="A2286" s="4" t="s">
        <v>5953</v>
      </c>
      <c r="B2286" s="5" t="s">
        <v>5954</v>
      </c>
      <c r="C2286" s="5" t="s">
        <v>55</v>
      </c>
      <c r="D2286" s="5" t="s">
        <v>56</v>
      </c>
      <c r="E2286" s="5" t="s">
        <v>152</v>
      </c>
      <c r="F2286" s="9">
        <v>25</v>
      </c>
      <c r="G2286" s="9">
        <v>287</v>
      </c>
      <c r="H2286" s="5" t="s">
        <v>21</v>
      </c>
      <c r="I2286" s="5" t="s">
        <v>5955</v>
      </c>
      <c r="J2286" s="12" t="str">
        <f>HYPERLINK("https://www.boe.es/gazeta/dias/1802/03/26/pdfs/GMD-1802-25.pdf#page=11","Abrir facsímil")</f>
        <v>Abrir facsímil</v>
      </c>
      <c r="K2286" s="15" t="s">
        <v>23</v>
      </c>
    </row>
    <row r="2287" spans="1:11" ht="42" customHeight="1">
      <c r="A2287" s="4" t="s">
        <v>5956</v>
      </c>
      <c r="B2287" s="5" t="s">
        <v>5957</v>
      </c>
      <c r="C2287" s="5" t="s">
        <v>55</v>
      </c>
      <c r="D2287" s="5" t="s">
        <v>56</v>
      </c>
      <c r="E2287" s="5" t="s">
        <v>1113</v>
      </c>
      <c r="F2287" s="9">
        <v>6</v>
      </c>
      <c r="G2287" s="9">
        <v>60</v>
      </c>
      <c r="H2287" s="5" t="s">
        <v>21</v>
      </c>
      <c r="I2287" s="5" t="s">
        <v>5958</v>
      </c>
      <c r="J2287" s="12" t="str">
        <f>HYPERLINK("https://www.boe.es/gazeta/dias/1802/01/19/pdfs/GMD-1802-6.pdf#page=8","Abrir facsímil")</f>
        <v>Abrir facsímil</v>
      </c>
      <c r="K2287" s="15" t="s">
        <v>23</v>
      </c>
    </row>
    <row r="2288" spans="1:11" ht="42" customHeight="1">
      <c r="A2288" s="4" t="s">
        <v>5959</v>
      </c>
      <c r="B2288" s="5" t="s">
        <v>5960</v>
      </c>
      <c r="C2288" s="5" t="s">
        <v>55</v>
      </c>
      <c r="D2288" s="5" t="s">
        <v>56</v>
      </c>
      <c r="E2288" s="5" t="s">
        <v>196</v>
      </c>
      <c r="F2288" s="9">
        <v>2</v>
      </c>
      <c r="G2288" s="9">
        <v>16</v>
      </c>
      <c r="H2288" s="5" t="s">
        <v>21</v>
      </c>
      <c r="I2288" s="5" t="s">
        <v>5961</v>
      </c>
      <c r="J2288" s="12" t="str">
        <f>HYPERLINK("https://www.boe.es/gazeta/dias/1802/01/05/pdfs/GMD-1802-2.pdf#page=8","Abrir facsímil")</f>
        <v>Abrir facsímil</v>
      </c>
      <c r="K2288" s="15" t="s">
        <v>23</v>
      </c>
    </row>
    <row r="2289" spans="1:11" ht="42" customHeight="1">
      <c r="A2289" s="4" t="s">
        <v>5962</v>
      </c>
      <c r="B2289" s="5" t="s">
        <v>5963</v>
      </c>
      <c r="C2289" s="5" t="s">
        <v>160</v>
      </c>
      <c r="D2289" s="5" t="s">
        <v>91</v>
      </c>
      <c r="E2289" s="5" t="s">
        <v>196</v>
      </c>
      <c r="F2289" s="9">
        <v>2</v>
      </c>
      <c r="G2289" s="9">
        <v>17</v>
      </c>
      <c r="H2289" s="5" t="s">
        <v>21</v>
      </c>
      <c r="I2289" s="5" t="s">
        <v>5964</v>
      </c>
      <c r="J2289" s="12" t="str">
        <f>HYPERLINK("https://www.boe.es/gazeta/dias/1802/01/05/pdfs/GMD-1802-2.pdf#page=9","Abrir facsímil")</f>
        <v>Abrir facsímil</v>
      </c>
      <c r="K2289" s="15" t="s">
        <v>23</v>
      </c>
    </row>
    <row r="2290" spans="1:11" ht="42" customHeight="1">
      <c r="A2290" s="4" t="s">
        <v>5959</v>
      </c>
      <c r="B2290" s="5" t="s">
        <v>5960</v>
      </c>
      <c r="C2290" s="5" t="s">
        <v>160</v>
      </c>
      <c r="D2290" s="5" t="s">
        <v>91</v>
      </c>
      <c r="E2290" s="5" t="s">
        <v>1097</v>
      </c>
      <c r="F2290" s="9">
        <v>20</v>
      </c>
      <c r="G2290" s="9">
        <v>220</v>
      </c>
      <c r="H2290" s="5" t="s">
        <v>21</v>
      </c>
      <c r="I2290" s="5" t="s">
        <v>5965</v>
      </c>
      <c r="J2290" s="12" t="str">
        <f>HYPERLINK("https://www.boe.es/gazeta/dias/1802/03/09/pdfs/GMD-1802-20.pdf#page=8","Abrir facsímil")</f>
        <v>Abrir facsímil</v>
      </c>
      <c r="K2290" s="15" t="s">
        <v>23</v>
      </c>
    </row>
    <row r="2291" spans="1:11" ht="42" customHeight="1">
      <c r="A2291" s="4" t="s">
        <v>5959</v>
      </c>
      <c r="B2291" s="5" t="s">
        <v>5960</v>
      </c>
      <c r="C2291" s="5" t="s">
        <v>35</v>
      </c>
      <c r="D2291" s="5" t="s">
        <v>36</v>
      </c>
      <c r="E2291" s="5" t="s">
        <v>71</v>
      </c>
      <c r="F2291" s="9">
        <v>21</v>
      </c>
      <c r="G2291" s="9">
        <v>231</v>
      </c>
      <c r="H2291" s="5" t="s">
        <v>21</v>
      </c>
      <c r="I2291" s="5" t="s">
        <v>5966</v>
      </c>
      <c r="J2291" s="12" t="str">
        <f>HYPERLINK("https://www.boe.es/gazeta/dias/1802/03/12/pdfs/GMD-1802-21.pdf#page=7","Abrir facsímil")</f>
        <v>Abrir facsímil</v>
      </c>
      <c r="K2291" s="15" t="s">
        <v>23</v>
      </c>
    </row>
    <row r="2292" spans="1:11" ht="42" customHeight="1">
      <c r="A2292" s="4" t="s">
        <v>5959</v>
      </c>
      <c r="B2292" s="5" t="s">
        <v>5960</v>
      </c>
      <c r="C2292" s="5" t="s">
        <v>160</v>
      </c>
      <c r="D2292" s="5" t="s">
        <v>91</v>
      </c>
      <c r="E2292" s="5" t="s">
        <v>92</v>
      </c>
      <c r="F2292" s="9">
        <v>29</v>
      </c>
      <c r="G2292" s="9">
        <v>344</v>
      </c>
      <c r="H2292" s="5" t="s">
        <v>21</v>
      </c>
      <c r="I2292" s="5" t="s">
        <v>5967</v>
      </c>
      <c r="J2292" s="12" t="str">
        <f>HYPERLINK("https://www.boe.es/gazeta/dias/1802/04/09/pdfs/GMD-1802-29.pdf#page=12","Abrir facsímil")</f>
        <v>Abrir facsímil</v>
      </c>
      <c r="K2292" s="15" t="s">
        <v>23</v>
      </c>
    </row>
    <row r="2293" spans="1:11" ht="42" customHeight="1">
      <c r="A2293" s="4" t="s">
        <v>5968</v>
      </c>
      <c r="B2293" s="5" t="s">
        <v>5969</v>
      </c>
      <c r="C2293" s="5" t="s">
        <v>18</v>
      </c>
      <c r="D2293" s="5" t="s">
        <v>19</v>
      </c>
      <c r="E2293" s="5" t="s">
        <v>142</v>
      </c>
      <c r="F2293" s="9">
        <v>64</v>
      </c>
      <c r="G2293" s="9">
        <v>784</v>
      </c>
      <c r="H2293" s="5" t="s">
        <v>21</v>
      </c>
      <c r="I2293" s="5" t="s">
        <v>5970</v>
      </c>
      <c r="J2293" s="12" t="str">
        <f>HYPERLINK("https://www.boe.es/gazeta/dias/1802/08/06/pdfs/GMD-1802-64.pdf#page=12","Abrir facsímil")</f>
        <v>Abrir facsímil</v>
      </c>
      <c r="K2293" s="15" t="s">
        <v>23</v>
      </c>
    </row>
    <row r="2294" spans="1:11" ht="42" customHeight="1">
      <c r="A2294" s="4" t="s">
        <v>5971</v>
      </c>
      <c r="B2294" s="5" t="s">
        <v>5972</v>
      </c>
      <c r="C2294" s="5" t="s">
        <v>160</v>
      </c>
      <c r="D2294" s="5" t="s">
        <v>91</v>
      </c>
      <c r="E2294" s="5" t="s">
        <v>886</v>
      </c>
      <c r="F2294" s="9">
        <v>7</v>
      </c>
      <c r="G2294" s="9">
        <v>67</v>
      </c>
      <c r="H2294" s="5" t="s">
        <v>21</v>
      </c>
      <c r="I2294" s="5" t="s">
        <v>5973</v>
      </c>
      <c r="J2294" s="12" t="str">
        <f>HYPERLINK("https://www.boe.es/gazeta/dias/1802/01/22/pdfs/GMD-1802-7.pdf#page=7","Abrir facsímil")</f>
        <v>Abrir facsímil</v>
      </c>
      <c r="K2294" s="15" t="s">
        <v>23</v>
      </c>
    </row>
    <row r="2295" spans="1:11" ht="42" customHeight="1">
      <c r="A2295" s="4" t="s">
        <v>5974</v>
      </c>
      <c r="B2295" s="5" t="s">
        <v>5975</v>
      </c>
      <c r="C2295" s="5" t="s">
        <v>29</v>
      </c>
      <c r="D2295" s="5" t="s">
        <v>30</v>
      </c>
      <c r="E2295" s="5" t="s">
        <v>1264</v>
      </c>
      <c r="F2295" s="9">
        <v>105</v>
      </c>
      <c r="G2295" s="9">
        <v>1286</v>
      </c>
      <c r="H2295" s="5" t="s">
        <v>21</v>
      </c>
      <c r="I2295" s="5" t="s">
        <v>5976</v>
      </c>
      <c r="J2295" s="12" t="str">
        <f>HYPERLINK("https://www.boe.es/gazeta/dias/1802/12/28/pdfs/GMD-1802-105.pdf#page=10","Abrir facsímil")</f>
        <v>Abrir facsímil</v>
      </c>
      <c r="K2295" s="15" t="s">
        <v>23</v>
      </c>
    </row>
    <row r="2296" spans="1:11" ht="42" customHeight="1">
      <c r="A2296" s="4" t="s">
        <v>5977</v>
      </c>
      <c r="B2296" s="5" t="s">
        <v>5978</v>
      </c>
      <c r="C2296" s="5" t="s">
        <v>29</v>
      </c>
      <c r="D2296" s="5" t="s">
        <v>30</v>
      </c>
      <c r="E2296" s="5" t="s">
        <v>1618</v>
      </c>
      <c r="F2296" s="9">
        <v>31</v>
      </c>
      <c r="G2296" s="9">
        <v>366</v>
      </c>
      <c r="H2296" s="5" t="s">
        <v>21</v>
      </c>
      <c r="I2296" s="5" t="s">
        <v>5979</v>
      </c>
      <c r="J2296" s="12" t="str">
        <f>HYPERLINK("https://www.boe.es/gazeta/dias/1802/04/16/pdfs/GMD-1802-31.pdf#page=10","Abrir facsímil")</f>
        <v>Abrir facsímil</v>
      </c>
      <c r="K2296" s="15" t="s">
        <v>23</v>
      </c>
    </row>
    <row r="2297" spans="1:11" ht="42" customHeight="1">
      <c r="A2297" s="4" t="s">
        <v>5980</v>
      </c>
      <c r="B2297" s="5" t="s">
        <v>5981</v>
      </c>
      <c r="C2297" s="5" t="s">
        <v>90</v>
      </c>
      <c r="D2297" s="5" t="s">
        <v>91</v>
      </c>
      <c r="E2297" s="5" t="s">
        <v>900</v>
      </c>
      <c r="F2297" s="9">
        <v>16</v>
      </c>
      <c r="G2297" s="9">
        <v>170</v>
      </c>
      <c r="H2297" s="5" t="s">
        <v>21</v>
      </c>
      <c r="I2297" s="5" t="s">
        <v>5982</v>
      </c>
      <c r="J2297" s="12" t="str">
        <f>HYPERLINK("https://www.boe.es/gazeta/dias/1802/02/23/pdfs/GMD-1802-16.pdf#page=10","Abrir facsímil")</f>
        <v>Abrir facsímil</v>
      </c>
      <c r="K2297" s="15" t="s">
        <v>23</v>
      </c>
    </row>
    <row r="2298" spans="1:11" ht="42" customHeight="1">
      <c r="A2298" s="4" t="s">
        <v>5983</v>
      </c>
      <c r="B2298" s="5" t="s">
        <v>5984</v>
      </c>
      <c r="C2298" s="5" t="s">
        <v>29</v>
      </c>
      <c r="D2298" s="5" t="s">
        <v>30</v>
      </c>
      <c r="E2298" s="5" t="s">
        <v>299</v>
      </c>
      <c r="F2298" s="9">
        <v>19</v>
      </c>
      <c r="G2298" s="9">
        <v>209</v>
      </c>
      <c r="H2298" s="5" t="s">
        <v>21</v>
      </c>
      <c r="I2298" s="5" t="s">
        <v>5985</v>
      </c>
      <c r="J2298" s="12" t="str">
        <f>HYPERLINK("https://www.boe.es/gazeta/dias/1802/03/05/pdfs/GMD-1802-19.pdf#page=9","Abrir facsímil")</f>
        <v>Abrir facsímil</v>
      </c>
      <c r="K2298" s="15" t="s">
        <v>23</v>
      </c>
    </row>
    <row r="2299" spans="1:11" ht="42" customHeight="1">
      <c r="A2299" s="4" t="s">
        <v>5986</v>
      </c>
      <c r="B2299" s="5" t="s">
        <v>5987</v>
      </c>
      <c r="C2299" s="5" t="s">
        <v>29</v>
      </c>
      <c r="D2299" s="5" t="s">
        <v>30</v>
      </c>
      <c r="E2299" s="5" t="s">
        <v>1749</v>
      </c>
      <c r="F2299" s="9">
        <v>60</v>
      </c>
      <c r="G2299" s="9">
        <v>732</v>
      </c>
      <c r="H2299" s="5" t="s">
        <v>21</v>
      </c>
      <c r="I2299" s="5" t="s">
        <v>5988</v>
      </c>
      <c r="J2299" s="12" t="str">
        <f>HYPERLINK("https://www.boe.es/gazeta/dias/1802/07/23/pdfs/GMD-1802-60.pdf#page=16","Abrir facsímil")</f>
        <v>Abrir facsímil</v>
      </c>
      <c r="K2299" s="15" t="s">
        <v>23</v>
      </c>
    </row>
    <row r="2300" spans="1:11" ht="42" customHeight="1">
      <c r="A2300" s="4" t="s">
        <v>5989</v>
      </c>
      <c r="B2300" s="5" t="s">
        <v>5990</v>
      </c>
      <c r="C2300" s="5" t="s">
        <v>42</v>
      </c>
      <c r="D2300" s="5" t="s">
        <v>43</v>
      </c>
      <c r="E2300" s="5" t="s">
        <v>44</v>
      </c>
      <c r="F2300" s="9">
        <v>99</v>
      </c>
      <c r="G2300" s="9" t="s">
        <v>78</v>
      </c>
      <c r="H2300" s="5" t="s">
        <v>21</v>
      </c>
      <c r="I2300" s="5" t="s">
        <v>5991</v>
      </c>
      <c r="J2300" s="12" t="str">
        <f>HYPERLINK("https://www.boe.es/gazeta/dias/1802/12/07/pdfs/GMD-D-1802-99.pdf#page=15","Abrir facsímil")</f>
        <v>Abrir facsímil</v>
      </c>
      <c r="K2300" s="15" t="s">
        <v>23</v>
      </c>
    </row>
    <row r="2301" spans="1:11" ht="42" customHeight="1">
      <c r="A2301" s="4" t="s">
        <v>5992</v>
      </c>
      <c r="B2301" s="5" t="s">
        <v>5993</v>
      </c>
      <c r="C2301" s="5" t="s">
        <v>18</v>
      </c>
      <c r="D2301" s="5" t="s">
        <v>19</v>
      </c>
      <c r="E2301" s="5" t="s">
        <v>328</v>
      </c>
      <c r="F2301" s="9">
        <v>45</v>
      </c>
      <c r="G2301" s="9">
        <v>544</v>
      </c>
      <c r="H2301" s="5" t="s">
        <v>21</v>
      </c>
      <c r="I2301" s="5" t="s">
        <v>5994</v>
      </c>
      <c r="J2301" s="12" t="str">
        <f>HYPERLINK("https://www.boe.es/gazeta/dias/1802/06/04/pdfs/GMD-1802-45.pdf#page=8","Abrir facsímil")</f>
        <v>Abrir facsímil</v>
      </c>
      <c r="K2301" s="15" t="s">
        <v>23</v>
      </c>
    </row>
    <row r="2302" spans="1:11" ht="42" customHeight="1">
      <c r="A2302" s="4" t="s">
        <v>5995</v>
      </c>
      <c r="B2302" s="5" t="s">
        <v>5996</v>
      </c>
      <c r="C2302" s="5" t="s">
        <v>29</v>
      </c>
      <c r="D2302" s="5" t="s">
        <v>30</v>
      </c>
      <c r="E2302" s="5" t="s">
        <v>670</v>
      </c>
      <c r="F2302" s="9">
        <v>40</v>
      </c>
      <c r="G2302" s="9">
        <v>481</v>
      </c>
      <c r="H2302" s="5" t="s">
        <v>21</v>
      </c>
      <c r="I2302" s="5" t="s">
        <v>5997</v>
      </c>
      <c r="J2302" s="12" t="str">
        <f>HYPERLINK("https://www.boe.es/gazeta/dias/1802/05/18/pdfs/GMD-1802-40.pdf#page=9","Abrir facsímil")</f>
        <v>Abrir facsímil</v>
      </c>
      <c r="K2302" s="15" t="s">
        <v>23</v>
      </c>
    </row>
    <row r="2303" spans="1:11" ht="42" customHeight="1">
      <c r="A2303" s="4" t="s">
        <v>5998</v>
      </c>
      <c r="B2303" s="5" t="s">
        <v>5999</v>
      </c>
      <c r="C2303" s="5" t="s">
        <v>160</v>
      </c>
      <c r="D2303" s="5" t="s">
        <v>91</v>
      </c>
      <c r="E2303" s="5" t="s">
        <v>751</v>
      </c>
      <c r="F2303" s="9">
        <v>98</v>
      </c>
      <c r="G2303" s="9">
        <v>1213</v>
      </c>
      <c r="H2303" s="5" t="s">
        <v>21</v>
      </c>
      <c r="I2303" s="5" t="s">
        <v>6000</v>
      </c>
      <c r="J2303" s="12" t="str">
        <f>HYPERLINK("https://www.boe.es/gazeta/dias/1802/12/03/pdfs/GMD-1802-98.pdf#page=9","Abrir facsímil")</f>
        <v>Abrir facsímil</v>
      </c>
      <c r="K2303" s="15" t="s">
        <v>23</v>
      </c>
    </row>
    <row r="2304" spans="1:11" ht="42" customHeight="1">
      <c r="A2304" s="4" t="s">
        <v>6001</v>
      </c>
      <c r="B2304" s="5" t="s">
        <v>6002</v>
      </c>
      <c r="C2304" s="5" t="s">
        <v>29</v>
      </c>
      <c r="D2304" s="5" t="s">
        <v>30</v>
      </c>
      <c r="E2304" s="5" t="s">
        <v>1289</v>
      </c>
      <c r="F2304" s="9">
        <v>72</v>
      </c>
      <c r="G2304" s="9">
        <v>888</v>
      </c>
      <c r="H2304" s="5" t="s">
        <v>21</v>
      </c>
      <c r="I2304" s="5" t="s">
        <v>6003</v>
      </c>
      <c r="J2304" s="12" t="str">
        <f>HYPERLINK("https://www.boe.es/gazeta/dias/1802/09/03/pdfs/GMD-1802-72.pdf#page=8","Abrir facsímil")</f>
        <v>Abrir facsímil</v>
      </c>
      <c r="K2304" s="15" t="s">
        <v>23</v>
      </c>
    </row>
    <row r="2305" spans="1:11" ht="42" customHeight="1">
      <c r="A2305" s="4" t="s">
        <v>6004</v>
      </c>
      <c r="B2305" s="5" t="s">
        <v>6005</v>
      </c>
      <c r="C2305" s="5" t="s">
        <v>18</v>
      </c>
      <c r="D2305" s="5" t="s">
        <v>19</v>
      </c>
      <c r="E2305" s="5" t="s">
        <v>517</v>
      </c>
      <c r="F2305" s="9">
        <v>61</v>
      </c>
      <c r="G2305" s="9">
        <v>741</v>
      </c>
      <c r="H2305" s="5" t="s">
        <v>21</v>
      </c>
      <c r="I2305" s="5" t="s">
        <v>6006</v>
      </c>
      <c r="J2305" s="12" t="str">
        <f>HYPERLINK("https://www.boe.es/gazeta/dias/1802/07/27/pdfs/GMD-1802-61.pdf#page=9","Abrir facsímil")</f>
        <v>Abrir facsímil</v>
      </c>
      <c r="K2305" s="15" t="s">
        <v>23</v>
      </c>
    </row>
    <row r="2306" spans="1:11" ht="42" customHeight="1">
      <c r="A2306" s="4" t="s">
        <v>6007</v>
      </c>
      <c r="B2306" s="5" t="s">
        <v>6008</v>
      </c>
      <c r="C2306" s="5" t="s">
        <v>18</v>
      </c>
      <c r="D2306" s="5" t="s">
        <v>19</v>
      </c>
      <c r="E2306" s="5" t="s">
        <v>49</v>
      </c>
      <c r="F2306" s="9">
        <v>83</v>
      </c>
      <c r="G2306" s="9">
        <v>1022</v>
      </c>
      <c r="H2306" s="5" t="s">
        <v>21</v>
      </c>
      <c r="I2306" s="5" t="s">
        <v>6009</v>
      </c>
      <c r="J2306" s="12" t="str">
        <f>HYPERLINK("https://www.boe.es/gazeta/dias/1802/10/12/pdfs/GMD-1802-83.pdf#page=10","Abrir facsímil")</f>
        <v>Abrir facsímil</v>
      </c>
      <c r="K2306" s="15" t="s">
        <v>23</v>
      </c>
    </row>
    <row r="2307" spans="1:11" ht="42" customHeight="1">
      <c r="A2307" s="4" t="s">
        <v>6010</v>
      </c>
      <c r="B2307" s="5" t="s">
        <v>6011</v>
      </c>
      <c r="C2307" s="5" t="s">
        <v>55</v>
      </c>
      <c r="D2307" s="5" t="s">
        <v>56</v>
      </c>
      <c r="E2307" s="5" t="s">
        <v>826</v>
      </c>
      <c r="F2307" s="9">
        <v>67</v>
      </c>
      <c r="G2307" s="9">
        <v>824</v>
      </c>
      <c r="H2307" s="5" t="s">
        <v>21</v>
      </c>
      <c r="I2307" s="5" t="s">
        <v>6012</v>
      </c>
      <c r="J2307" s="12" t="str">
        <f>HYPERLINK("https://www.boe.es/gazeta/dias/1802/08/17/pdfs/GMD-1802-67.pdf#page=12","Abrir facsímil")</f>
        <v>Abrir facsímil</v>
      </c>
      <c r="K2307" s="15" t="s">
        <v>23</v>
      </c>
    </row>
    <row r="2308" spans="1:11" ht="42" customHeight="1">
      <c r="A2308" s="4" t="s">
        <v>6013</v>
      </c>
      <c r="B2308" s="5" t="s">
        <v>6014</v>
      </c>
      <c r="C2308" s="5" t="s">
        <v>18</v>
      </c>
      <c r="D2308" s="5" t="s">
        <v>19</v>
      </c>
      <c r="E2308" s="5" t="s">
        <v>20</v>
      </c>
      <c r="F2308" s="9">
        <v>84</v>
      </c>
      <c r="G2308" s="9">
        <v>1044</v>
      </c>
      <c r="H2308" s="5" t="s">
        <v>21</v>
      </c>
      <c r="I2308" s="5" t="s">
        <v>6015</v>
      </c>
      <c r="J2308" s="12" t="str">
        <f>HYPERLINK("https://www.boe.es/gazeta/dias/1802/10/15/pdfs/GMD-1802-84.pdf#page=12","Abrir facsímil")</f>
        <v>Abrir facsímil</v>
      </c>
      <c r="K2308" s="15" t="s">
        <v>23</v>
      </c>
    </row>
    <row r="2309" spans="1:11" ht="42" customHeight="1">
      <c r="A2309" s="4" t="s">
        <v>6016</v>
      </c>
      <c r="B2309" s="5" t="s">
        <v>6017</v>
      </c>
      <c r="C2309" s="5" t="s">
        <v>90</v>
      </c>
      <c r="D2309" s="5" t="s">
        <v>91</v>
      </c>
      <c r="E2309" s="5" t="s">
        <v>590</v>
      </c>
      <c r="F2309" s="9">
        <v>38</v>
      </c>
      <c r="G2309" s="9">
        <v>454</v>
      </c>
      <c r="H2309" s="5" t="s">
        <v>21</v>
      </c>
      <c r="I2309" s="5" t="s">
        <v>6018</v>
      </c>
      <c r="J2309" s="12" t="str">
        <f>HYPERLINK("https://www.boe.es/gazeta/dias/1802/05/11/pdfs/GMD-1802-38.pdf#page=10","Abrir facsímil")</f>
        <v>Abrir facsímil</v>
      </c>
      <c r="K2309" s="15" t="s">
        <v>23</v>
      </c>
    </row>
    <row r="2310" spans="1:11" ht="42" customHeight="1">
      <c r="A2310" s="4" t="s">
        <v>6019</v>
      </c>
      <c r="B2310" s="5" t="s">
        <v>6020</v>
      </c>
      <c r="C2310" s="5" t="s">
        <v>90</v>
      </c>
      <c r="D2310" s="5" t="s">
        <v>91</v>
      </c>
      <c r="E2310" s="5" t="s">
        <v>900</v>
      </c>
      <c r="F2310" s="9">
        <v>16</v>
      </c>
      <c r="G2310" s="9">
        <v>169</v>
      </c>
      <c r="H2310" s="5" t="s">
        <v>21</v>
      </c>
      <c r="I2310" s="5" t="s">
        <v>6021</v>
      </c>
      <c r="J2310" s="12" t="str">
        <f>HYPERLINK("https://www.boe.es/gazeta/dias/1802/02/23/pdfs/GMD-1802-16.pdf#page=9","Abrir facsímil")</f>
        <v>Abrir facsímil</v>
      </c>
      <c r="K2310" s="15" t="s">
        <v>23</v>
      </c>
    </row>
    <row r="2311" spans="1:11" ht="42" customHeight="1">
      <c r="A2311" s="4" t="s">
        <v>6022</v>
      </c>
      <c r="B2311" s="5" t="s">
        <v>6023</v>
      </c>
      <c r="C2311" s="5" t="s">
        <v>55</v>
      </c>
      <c r="D2311" s="5" t="s">
        <v>56</v>
      </c>
      <c r="E2311" s="5" t="s">
        <v>152</v>
      </c>
      <c r="F2311" s="9">
        <v>25</v>
      </c>
      <c r="G2311" s="9">
        <v>288</v>
      </c>
      <c r="H2311" s="5" t="s">
        <v>21</v>
      </c>
      <c r="I2311" s="5" t="s">
        <v>6024</v>
      </c>
      <c r="J2311" s="12" t="str">
        <f>HYPERLINK("https://www.boe.es/gazeta/dias/1802/03/26/pdfs/GMD-1802-25.pdf#page=12","Abrir facsímil")</f>
        <v>Abrir facsímil</v>
      </c>
      <c r="K2311" s="15" t="s">
        <v>23</v>
      </c>
    </row>
    <row r="2312" spans="1:11" ht="42" customHeight="1">
      <c r="A2312" s="4" t="s">
        <v>6025</v>
      </c>
      <c r="B2312" s="5" t="s">
        <v>6026</v>
      </c>
      <c r="C2312" s="5" t="s">
        <v>55</v>
      </c>
      <c r="D2312" s="5" t="s">
        <v>56</v>
      </c>
      <c r="E2312" s="5" t="s">
        <v>49</v>
      </c>
      <c r="F2312" s="9">
        <v>83</v>
      </c>
      <c r="G2312" s="9">
        <v>1021</v>
      </c>
      <c r="H2312" s="5" t="s">
        <v>21</v>
      </c>
      <c r="I2312" s="5" t="s">
        <v>6027</v>
      </c>
      <c r="J2312" s="12" t="str">
        <f>HYPERLINK("https://www.boe.es/gazeta/dias/1802/10/12/pdfs/GMD-1802-83.pdf#page=9","Abrir facsímil")</f>
        <v>Abrir facsímil</v>
      </c>
      <c r="K2312" s="15" t="s">
        <v>23</v>
      </c>
    </row>
    <row r="2313" spans="1:11" ht="42" customHeight="1">
      <c r="A2313" s="4" t="s">
        <v>6025</v>
      </c>
      <c r="B2313" s="5" t="s">
        <v>6026</v>
      </c>
      <c r="C2313" s="5" t="s">
        <v>18</v>
      </c>
      <c r="D2313" s="5" t="s">
        <v>19</v>
      </c>
      <c r="E2313" s="5" t="s">
        <v>49</v>
      </c>
      <c r="F2313" s="9">
        <v>83</v>
      </c>
      <c r="G2313" s="9">
        <v>1025</v>
      </c>
      <c r="H2313" s="5" t="s">
        <v>21</v>
      </c>
      <c r="I2313" s="5" t="s">
        <v>6028</v>
      </c>
      <c r="J2313" s="12" t="str">
        <f>HYPERLINK("https://www.boe.es/gazeta/dias/1802/10/12/pdfs/GMD-1802-83.pdf#page=13","Abrir facsímil")</f>
        <v>Abrir facsímil</v>
      </c>
      <c r="K2313" s="15" t="s">
        <v>23</v>
      </c>
    </row>
    <row r="2314" spans="1:11" ht="42" customHeight="1">
      <c r="A2314" s="4" t="s">
        <v>6029</v>
      </c>
      <c r="B2314" s="5" t="s">
        <v>6030</v>
      </c>
      <c r="C2314" s="5" t="s">
        <v>18</v>
      </c>
      <c r="D2314" s="5" t="s">
        <v>19</v>
      </c>
      <c r="E2314" s="5" t="s">
        <v>49</v>
      </c>
      <c r="F2314" s="9">
        <v>83</v>
      </c>
      <c r="G2314" s="9">
        <v>1025</v>
      </c>
      <c r="H2314" s="5" t="s">
        <v>21</v>
      </c>
      <c r="I2314" s="5" t="s">
        <v>6031</v>
      </c>
      <c r="J2314" s="12" t="str">
        <f>HYPERLINK("https://www.boe.es/gazeta/dias/1802/10/12/pdfs/GMD-1802-83.pdf#page=13","Abrir facsímil")</f>
        <v>Abrir facsímil</v>
      </c>
      <c r="K2314" s="15" t="s">
        <v>23</v>
      </c>
    </row>
    <row r="2315" spans="1:11" ht="42" customHeight="1">
      <c r="A2315" s="4" t="s">
        <v>6032</v>
      </c>
      <c r="B2315" s="5" t="s">
        <v>6033</v>
      </c>
      <c r="C2315" s="5" t="s">
        <v>18</v>
      </c>
      <c r="D2315" s="5" t="s">
        <v>19</v>
      </c>
      <c r="E2315" s="5" t="s">
        <v>491</v>
      </c>
      <c r="F2315" s="9">
        <v>57</v>
      </c>
      <c r="G2315" s="9">
        <v>691</v>
      </c>
      <c r="H2315" s="5" t="s">
        <v>21</v>
      </c>
      <c r="I2315" s="5" t="s">
        <v>6034</v>
      </c>
      <c r="J2315" s="12" t="str">
        <f>HYPERLINK("https://www.boe.es/gazeta/dias/1802/07/16/pdfs/GMD-1802-57.pdf#page=11","Abrir facsímil")</f>
        <v>Abrir facsímil</v>
      </c>
      <c r="K2315" s="15" t="s">
        <v>23</v>
      </c>
    </row>
    <row r="2316" spans="1:11" ht="42" customHeight="1">
      <c r="A2316" s="4" t="s">
        <v>6035</v>
      </c>
      <c r="B2316" s="5" t="s">
        <v>6036</v>
      </c>
      <c r="C2316" s="5" t="s">
        <v>18</v>
      </c>
      <c r="D2316" s="5" t="s">
        <v>19</v>
      </c>
      <c r="E2316" s="5" t="s">
        <v>49</v>
      </c>
      <c r="F2316" s="9">
        <v>83</v>
      </c>
      <c r="G2316" s="9">
        <v>1023</v>
      </c>
      <c r="H2316" s="5" t="s">
        <v>21</v>
      </c>
      <c r="I2316" s="5" t="s">
        <v>6037</v>
      </c>
      <c r="J2316" s="12" t="str">
        <f>HYPERLINK("https://www.boe.es/gazeta/dias/1802/10/12/pdfs/GMD-1802-83.pdf#page=11","Abrir facsímil")</f>
        <v>Abrir facsímil</v>
      </c>
      <c r="K2316" s="15" t="s">
        <v>23</v>
      </c>
    </row>
    <row r="2317" spans="1:11" ht="42" customHeight="1">
      <c r="A2317" s="4" t="s">
        <v>6038</v>
      </c>
      <c r="B2317" s="5" t="s">
        <v>6039</v>
      </c>
      <c r="C2317" s="5" t="s">
        <v>18</v>
      </c>
      <c r="D2317" s="5" t="s">
        <v>19</v>
      </c>
      <c r="E2317" s="5" t="s">
        <v>49</v>
      </c>
      <c r="F2317" s="9">
        <v>83</v>
      </c>
      <c r="G2317" s="9">
        <v>1022</v>
      </c>
      <c r="H2317" s="5" t="s">
        <v>21</v>
      </c>
      <c r="I2317" s="5" t="s">
        <v>6040</v>
      </c>
      <c r="J2317" s="12" t="str">
        <f>HYPERLINK("https://www.boe.es/gazeta/dias/1802/10/12/pdfs/GMD-1802-83.pdf#page=10","Abrir facsímil")</f>
        <v>Abrir facsímil</v>
      </c>
      <c r="K2317" s="15" t="s">
        <v>23</v>
      </c>
    </row>
    <row r="2318" spans="1:11" ht="42" customHeight="1">
      <c r="A2318" s="4" t="s">
        <v>6041</v>
      </c>
      <c r="B2318" s="5" t="s">
        <v>6042</v>
      </c>
      <c r="C2318" s="5" t="s">
        <v>18</v>
      </c>
      <c r="D2318" s="5" t="s">
        <v>19</v>
      </c>
      <c r="E2318" s="5" t="s">
        <v>20</v>
      </c>
      <c r="F2318" s="9">
        <v>84</v>
      </c>
      <c r="G2318" s="9">
        <v>1041</v>
      </c>
      <c r="H2318" s="5" t="s">
        <v>21</v>
      </c>
      <c r="I2318" s="5" t="s">
        <v>6043</v>
      </c>
      <c r="J2318" s="12" t="str">
        <f>HYPERLINK("https://www.boe.es/gazeta/dias/1802/10/15/pdfs/GMD-1802-84.pdf#page=9","Abrir facsímil")</f>
        <v>Abrir facsímil</v>
      </c>
      <c r="K2318" s="15" t="s">
        <v>23</v>
      </c>
    </row>
    <row r="2319" spans="1:11" ht="42" customHeight="1">
      <c r="A2319" s="4" t="s">
        <v>6044</v>
      </c>
      <c r="B2319" s="5" t="s">
        <v>6045</v>
      </c>
      <c r="C2319" s="5" t="s">
        <v>29</v>
      </c>
      <c r="D2319" s="5" t="s">
        <v>30</v>
      </c>
      <c r="E2319" s="5" t="s">
        <v>1113</v>
      </c>
      <c r="F2319" s="9">
        <v>6</v>
      </c>
      <c r="G2319" s="9">
        <v>59</v>
      </c>
      <c r="H2319" s="5" t="s">
        <v>21</v>
      </c>
      <c r="I2319" s="5" t="s">
        <v>6046</v>
      </c>
      <c r="J2319" s="12" t="str">
        <f>HYPERLINK("https://www.boe.es/gazeta/dias/1802/01/19/pdfs/GMD-1802-6.pdf#page=7","Abrir facsímil")</f>
        <v>Abrir facsímil</v>
      </c>
      <c r="K2319" s="15" t="s">
        <v>23</v>
      </c>
    </row>
    <row r="2320" spans="1:11" ht="42" customHeight="1">
      <c r="A2320" s="4" t="s">
        <v>6047</v>
      </c>
      <c r="B2320" s="5" t="s">
        <v>6048</v>
      </c>
      <c r="C2320" s="5" t="s">
        <v>29</v>
      </c>
      <c r="D2320" s="5" t="s">
        <v>30</v>
      </c>
      <c r="E2320" s="5" t="s">
        <v>167</v>
      </c>
      <c r="F2320" s="9">
        <v>23</v>
      </c>
      <c r="G2320" s="9">
        <v>259</v>
      </c>
      <c r="H2320" s="5" t="s">
        <v>21</v>
      </c>
      <c r="I2320" s="5" t="s">
        <v>6049</v>
      </c>
      <c r="J2320" s="12" t="str">
        <f>HYPERLINK("https://www.boe.es/gazeta/dias/1802/03/19/pdfs/GMD-1802-23.pdf#page=7","Abrir facsímil")</f>
        <v>Abrir facsímil</v>
      </c>
      <c r="K2320" s="15" t="s">
        <v>23</v>
      </c>
    </row>
    <row r="2321" spans="1:11" ht="42" customHeight="1">
      <c r="A2321" s="4" t="s">
        <v>6050</v>
      </c>
      <c r="B2321" s="5" t="s">
        <v>6051</v>
      </c>
      <c r="C2321" s="5" t="s">
        <v>29</v>
      </c>
      <c r="D2321" s="5" t="s">
        <v>30</v>
      </c>
      <c r="E2321" s="5" t="s">
        <v>429</v>
      </c>
      <c r="F2321" s="9">
        <v>91</v>
      </c>
      <c r="G2321" s="9">
        <v>1122</v>
      </c>
      <c r="H2321" s="5" t="s">
        <v>21</v>
      </c>
      <c r="I2321" s="5" t="s">
        <v>6052</v>
      </c>
      <c r="J2321" s="12" t="str">
        <f>HYPERLINK("https://www.boe.es/gazeta/dias/1802/11/09/pdfs/GMD-1802-91.pdf#page=2","Abrir facsímil")</f>
        <v>Abrir facsímil</v>
      </c>
      <c r="K2321" s="15" t="s">
        <v>23</v>
      </c>
    </row>
    <row r="2322" spans="1:11" ht="42" customHeight="1">
      <c r="A2322" s="4" t="s">
        <v>6053</v>
      </c>
      <c r="B2322" s="5" t="s">
        <v>6054</v>
      </c>
      <c r="C2322" s="5" t="s">
        <v>35</v>
      </c>
      <c r="D2322" s="5" t="s">
        <v>36</v>
      </c>
      <c r="E2322" s="5" t="s">
        <v>389</v>
      </c>
      <c r="F2322" s="9">
        <v>96</v>
      </c>
      <c r="G2322" s="9">
        <v>1183</v>
      </c>
      <c r="H2322" s="5" t="s">
        <v>21</v>
      </c>
      <c r="I2322" s="5" t="s">
        <v>6055</v>
      </c>
      <c r="J2322" s="12" t="str">
        <f>HYPERLINK("https://www.boe.es/gazeta/dias/1802/11/26/pdfs/GMD-1802-96.pdf#page=3","Abrir facsímil")</f>
        <v>Abrir facsímil</v>
      </c>
      <c r="K2322" s="15" t="s">
        <v>23</v>
      </c>
    </row>
    <row r="2323" spans="1:11" ht="42" customHeight="1">
      <c r="A2323" s="4" t="s">
        <v>6056</v>
      </c>
      <c r="B2323" s="5" t="s">
        <v>6057</v>
      </c>
      <c r="C2323" s="5" t="s">
        <v>18</v>
      </c>
      <c r="D2323" s="5" t="s">
        <v>19</v>
      </c>
      <c r="E2323" s="5" t="s">
        <v>20</v>
      </c>
      <c r="F2323" s="9">
        <v>84</v>
      </c>
      <c r="G2323" s="9">
        <v>1045</v>
      </c>
      <c r="H2323" s="5" t="s">
        <v>21</v>
      </c>
      <c r="I2323" s="5" t="s">
        <v>6058</v>
      </c>
      <c r="J2323" s="12" t="str">
        <f>HYPERLINK("https://www.boe.es/gazeta/dias/1802/10/15/pdfs/GMD-1802-84.pdf#page=13","Abrir facsímil")</f>
        <v>Abrir facsímil</v>
      </c>
      <c r="K2323" s="15" t="s">
        <v>23</v>
      </c>
    </row>
    <row r="2324" spans="1:11" ht="42" customHeight="1">
      <c r="A2324" s="4" t="s">
        <v>6059</v>
      </c>
      <c r="B2324" s="5" t="s">
        <v>6060</v>
      </c>
      <c r="C2324" s="5" t="s">
        <v>18</v>
      </c>
      <c r="D2324" s="5" t="s">
        <v>19</v>
      </c>
      <c r="E2324" s="5" t="s">
        <v>82</v>
      </c>
      <c r="F2324" s="9">
        <v>74</v>
      </c>
      <c r="G2324" s="9">
        <v>914</v>
      </c>
      <c r="H2324" s="5" t="s">
        <v>21</v>
      </c>
      <c r="I2324" s="5" t="s">
        <v>6061</v>
      </c>
      <c r="J2324" s="12" t="str">
        <f>HYPERLINK("https://www.boe.es/gazeta/dias/1802/09/10/pdfs/GMD-1802-74.pdf#page=10","Abrir facsímil")</f>
        <v>Abrir facsímil</v>
      </c>
      <c r="K2324" s="15" t="s">
        <v>23</v>
      </c>
    </row>
    <row r="2325" spans="1:11" ht="42" customHeight="1">
      <c r="A2325" s="4" t="s">
        <v>6062</v>
      </c>
      <c r="B2325" s="5" t="s">
        <v>6063</v>
      </c>
      <c r="C2325" s="5" t="s">
        <v>18</v>
      </c>
      <c r="D2325" s="5" t="s">
        <v>19</v>
      </c>
      <c r="E2325" s="5" t="s">
        <v>49</v>
      </c>
      <c r="F2325" s="9">
        <v>83</v>
      </c>
      <c r="G2325" s="9">
        <v>1025</v>
      </c>
      <c r="H2325" s="5" t="s">
        <v>21</v>
      </c>
      <c r="I2325" s="5" t="s">
        <v>6064</v>
      </c>
      <c r="J2325" s="12" t="str">
        <f>HYPERLINK("https://www.boe.es/gazeta/dias/1802/10/12/pdfs/GMD-1802-83.pdf#page=13","Abrir facsímil")</f>
        <v>Abrir facsímil</v>
      </c>
      <c r="K2325" s="15" t="s">
        <v>23</v>
      </c>
    </row>
    <row r="2326" spans="1:11" ht="42" customHeight="1">
      <c r="A2326" s="4" t="s">
        <v>6065</v>
      </c>
      <c r="B2326" s="5" t="s">
        <v>6066</v>
      </c>
      <c r="C2326" s="5" t="s">
        <v>55</v>
      </c>
      <c r="D2326" s="5" t="s">
        <v>56</v>
      </c>
      <c r="E2326" s="5" t="s">
        <v>1374</v>
      </c>
      <c r="F2326" s="9">
        <v>71</v>
      </c>
      <c r="G2326" s="9">
        <v>876</v>
      </c>
      <c r="H2326" s="5" t="s">
        <v>21</v>
      </c>
      <c r="I2326" s="5" t="s">
        <v>6067</v>
      </c>
      <c r="J2326" s="12" t="str">
        <f>HYPERLINK("https://www.boe.es/gazeta/dias/1802/08/31/pdfs/GMD-1802-71.pdf#page=12","Abrir facsímil")</f>
        <v>Abrir facsímil</v>
      </c>
      <c r="K2326" s="15" t="s">
        <v>23</v>
      </c>
    </row>
    <row r="2327" spans="1:11" ht="42" customHeight="1">
      <c r="A2327" s="4" t="s">
        <v>6068</v>
      </c>
      <c r="B2327" s="5" t="s">
        <v>6069</v>
      </c>
      <c r="C2327" s="5" t="s">
        <v>18</v>
      </c>
      <c r="D2327" s="5" t="s">
        <v>19</v>
      </c>
      <c r="E2327" s="5" t="s">
        <v>49</v>
      </c>
      <c r="F2327" s="9">
        <v>83</v>
      </c>
      <c r="G2327" s="9">
        <v>1022</v>
      </c>
      <c r="H2327" s="5" t="s">
        <v>21</v>
      </c>
      <c r="I2327" s="5" t="s">
        <v>6070</v>
      </c>
      <c r="J2327" s="12" t="str">
        <f>HYPERLINK("https://www.boe.es/gazeta/dias/1802/10/12/pdfs/GMD-1802-83.pdf#page=10","Abrir facsímil")</f>
        <v>Abrir facsímil</v>
      </c>
      <c r="K2327" s="15" t="s">
        <v>23</v>
      </c>
    </row>
    <row r="2328" spans="1:11" ht="42" customHeight="1">
      <c r="A2328" s="4" t="s">
        <v>6071</v>
      </c>
      <c r="B2328" s="5" t="s">
        <v>6072</v>
      </c>
      <c r="C2328" s="5" t="s">
        <v>29</v>
      </c>
      <c r="D2328" s="5" t="s">
        <v>30</v>
      </c>
      <c r="E2328" s="5" t="s">
        <v>44</v>
      </c>
      <c r="F2328" s="9">
        <v>99</v>
      </c>
      <c r="G2328" s="9">
        <v>1222</v>
      </c>
      <c r="H2328" s="5" t="s">
        <v>21</v>
      </c>
      <c r="I2328" s="5" t="s">
        <v>6073</v>
      </c>
      <c r="J2328" s="12" t="str">
        <f>HYPERLINK("https://www.boe.es/gazeta/dias/1802/12/07/pdfs/GMD-1802-99.pdf#page=6","Abrir facsímil")</f>
        <v>Abrir facsímil</v>
      </c>
      <c r="K2328" s="15" t="s">
        <v>23</v>
      </c>
    </row>
    <row r="2329" spans="1:11" ht="42" customHeight="1">
      <c r="A2329" s="4" t="s">
        <v>6074</v>
      </c>
      <c r="B2329" s="5" t="s">
        <v>6075</v>
      </c>
      <c r="C2329" s="5" t="s">
        <v>18</v>
      </c>
      <c r="D2329" s="5" t="s">
        <v>19</v>
      </c>
      <c r="E2329" s="5" t="s">
        <v>152</v>
      </c>
      <c r="F2329" s="9">
        <v>25</v>
      </c>
      <c r="G2329" s="9">
        <v>284</v>
      </c>
      <c r="H2329" s="5" t="s">
        <v>21</v>
      </c>
      <c r="I2329" s="5" t="s">
        <v>6076</v>
      </c>
      <c r="J2329" s="12" t="str">
        <f>HYPERLINK("https://www.boe.es/gazeta/dias/1802/03/26/pdfs/GMD-1802-25.pdf#page=8","Abrir facsímil")</f>
        <v>Abrir facsímil</v>
      </c>
      <c r="K2329" s="15" t="s">
        <v>23</v>
      </c>
    </row>
    <row r="2330" spans="1:11" ht="42" customHeight="1">
      <c r="A2330" s="4" t="s">
        <v>6077</v>
      </c>
      <c r="B2330" s="5" t="s">
        <v>6078</v>
      </c>
      <c r="C2330" s="5" t="s">
        <v>42</v>
      </c>
      <c r="D2330" s="5" t="s">
        <v>43</v>
      </c>
      <c r="E2330" s="5" t="s">
        <v>44</v>
      </c>
      <c r="F2330" s="9">
        <v>99</v>
      </c>
      <c r="G2330" s="9" t="s">
        <v>45</v>
      </c>
      <c r="H2330" s="5" t="s">
        <v>21</v>
      </c>
      <c r="I2330" s="5" t="s">
        <v>6079</v>
      </c>
      <c r="J2330" s="12" t="str">
        <f>HYPERLINK("https://www.boe.es/gazeta/dias/1802/12/07/pdfs/GMD-D-1802-99.pdf#page=14","Abrir facsímil")</f>
        <v>Abrir facsímil</v>
      </c>
      <c r="K2330" s="15" t="s">
        <v>23</v>
      </c>
    </row>
    <row r="2331" spans="1:11" ht="42" customHeight="1">
      <c r="A2331" s="4" t="s">
        <v>6080</v>
      </c>
      <c r="B2331" s="5" t="s">
        <v>6081</v>
      </c>
      <c r="C2331" s="5" t="s">
        <v>18</v>
      </c>
      <c r="D2331" s="5" t="s">
        <v>19</v>
      </c>
      <c r="E2331" s="5" t="s">
        <v>49</v>
      </c>
      <c r="F2331" s="9">
        <v>83</v>
      </c>
      <c r="G2331" s="9">
        <v>1026</v>
      </c>
      <c r="H2331" s="5" t="s">
        <v>21</v>
      </c>
      <c r="I2331" s="5" t="s">
        <v>6082</v>
      </c>
      <c r="J2331" s="12" t="str">
        <f>HYPERLINK("https://www.boe.es/gazeta/dias/1802/10/12/pdfs/GMD-1802-83.pdf#page=14","Abrir facsímil")</f>
        <v>Abrir facsímil</v>
      </c>
      <c r="K2331" s="15" t="s">
        <v>23</v>
      </c>
    </row>
    <row r="2332" spans="1:11" ht="42" customHeight="1">
      <c r="A2332" s="4" t="s">
        <v>6083</v>
      </c>
      <c r="B2332" s="5" t="s">
        <v>6084</v>
      </c>
      <c r="C2332" s="5" t="s">
        <v>18</v>
      </c>
      <c r="D2332" s="5" t="s">
        <v>19</v>
      </c>
      <c r="E2332" s="5" t="s">
        <v>49</v>
      </c>
      <c r="F2332" s="9">
        <v>83</v>
      </c>
      <c r="G2332" s="9">
        <v>1023</v>
      </c>
      <c r="H2332" s="5" t="s">
        <v>21</v>
      </c>
      <c r="I2332" s="5" t="s">
        <v>6085</v>
      </c>
      <c r="J2332" s="12" t="str">
        <f>HYPERLINK("https://www.boe.es/gazeta/dias/1802/10/12/pdfs/GMD-1802-83.pdf#page=11","Abrir facsímil")</f>
        <v>Abrir facsímil</v>
      </c>
      <c r="K2332" s="15" t="s">
        <v>23</v>
      </c>
    </row>
    <row r="2333" spans="1:11" ht="42" customHeight="1">
      <c r="A2333" s="4" t="s">
        <v>6086</v>
      </c>
      <c r="B2333" s="5" t="s">
        <v>6087</v>
      </c>
      <c r="C2333" s="5" t="s">
        <v>42</v>
      </c>
      <c r="D2333" s="5" t="s">
        <v>43</v>
      </c>
      <c r="E2333" s="5" t="s">
        <v>44</v>
      </c>
      <c r="F2333" s="9">
        <v>99</v>
      </c>
      <c r="G2333" s="9" t="s">
        <v>222</v>
      </c>
      <c r="H2333" s="5" t="s">
        <v>21</v>
      </c>
      <c r="I2333" s="5" t="s">
        <v>6088</v>
      </c>
      <c r="J2333" s="12" t="str">
        <f>HYPERLINK("https://www.boe.es/gazeta/dias/1802/12/07/pdfs/GMD-D-1802-99.pdf#page=5","Abrir facsímil")</f>
        <v>Abrir facsímil</v>
      </c>
      <c r="K2333" s="15" t="s">
        <v>23</v>
      </c>
    </row>
    <row r="2334" spans="1:11" ht="42" customHeight="1">
      <c r="A2334" s="4" t="s">
        <v>6089</v>
      </c>
      <c r="B2334" s="5" t="s">
        <v>6090</v>
      </c>
      <c r="C2334" s="5" t="s">
        <v>18</v>
      </c>
      <c r="D2334" s="5" t="s">
        <v>19</v>
      </c>
      <c r="E2334" s="5" t="s">
        <v>670</v>
      </c>
      <c r="F2334" s="9">
        <v>40</v>
      </c>
      <c r="G2334" s="9">
        <v>477</v>
      </c>
      <c r="H2334" s="5" t="s">
        <v>21</v>
      </c>
      <c r="I2334" s="5" t="s">
        <v>6091</v>
      </c>
      <c r="J2334" s="12" t="str">
        <f>HYPERLINK("https://www.boe.es/gazeta/dias/1802/05/18/pdfs/GMD-1802-40.pdf#page=5","Abrir facsímil")</f>
        <v>Abrir facsímil</v>
      </c>
      <c r="K2334" s="15" t="s">
        <v>23</v>
      </c>
    </row>
    <row r="2335" spans="1:11" ht="42" customHeight="1">
      <c r="A2335" s="4" t="s">
        <v>6089</v>
      </c>
      <c r="B2335" s="5" t="s">
        <v>6090</v>
      </c>
      <c r="C2335" s="5" t="s">
        <v>18</v>
      </c>
      <c r="D2335" s="5" t="s">
        <v>19</v>
      </c>
      <c r="E2335" s="5" t="s">
        <v>670</v>
      </c>
      <c r="F2335" s="9">
        <v>40</v>
      </c>
      <c r="G2335" s="9">
        <v>478</v>
      </c>
      <c r="H2335" s="5" t="s">
        <v>21</v>
      </c>
      <c r="I2335" s="5" t="s">
        <v>6092</v>
      </c>
      <c r="J2335" s="12" t="str">
        <f>HYPERLINK("https://www.boe.es/gazeta/dias/1802/05/18/pdfs/GMD-1802-40.pdf#page=6","Abrir facsímil")</f>
        <v>Abrir facsímil</v>
      </c>
      <c r="K2335" s="15" t="s">
        <v>23</v>
      </c>
    </row>
    <row r="2336" spans="1:11" ht="42" customHeight="1">
      <c r="A2336" s="4" t="s">
        <v>6093</v>
      </c>
      <c r="B2336" s="5" t="s">
        <v>6094</v>
      </c>
      <c r="C2336" s="5" t="s">
        <v>35</v>
      </c>
      <c r="D2336" s="5" t="s">
        <v>36</v>
      </c>
      <c r="E2336" s="5" t="s">
        <v>339</v>
      </c>
      <c r="F2336" s="9">
        <v>39</v>
      </c>
      <c r="G2336" s="9">
        <v>465</v>
      </c>
      <c r="H2336" s="5" t="s">
        <v>21</v>
      </c>
      <c r="I2336" s="5" t="s">
        <v>6095</v>
      </c>
      <c r="J2336" s="12" t="str">
        <f>HYPERLINK("https://www.boe.es/gazeta/dias/1802/05/14/pdfs/GMD-1802-39.pdf#page=9","Abrir facsímil")</f>
        <v>Abrir facsímil</v>
      </c>
      <c r="K2336" s="15" t="s">
        <v>23</v>
      </c>
    </row>
    <row r="2337" spans="1:11" ht="42" customHeight="1">
      <c r="A2337" s="4" t="s">
        <v>6093</v>
      </c>
      <c r="B2337" s="5" t="s">
        <v>6094</v>
      </c>
      <c r="C2337" s="5" t="s">
        <v>35</v>
      </c>
      <c r="D2337" s="5" t="s">
        <v>36</v>
      </c>
      <c r="E2337" s="5" t="s">
        <v>339</v>
      </c>
      <c r="F2337" s="9">
        <v>39</v>
      </c>
      <c r="G2337" s="9">
        <v>466</v>
      </c>
      <c r="H2337" s="5" t="s">
        <v>21</v>
      </c>
      <c r="I2337" s="5" t="s">
        <v>6096</v>
      </c>
      <c r="J2337" s="12" t="str">
        <f>HYPERLINK("https://www.boe.es/gazeta/dias/1802/05/14/pdfs/GMD-1802-39.pdf#page=10","Abrir facsímil")</f>
        <v>Abrir facsímil</v>
      </c>
      <c r="K2337" s="15" t="s">
        <v>23</v>
      </c>
    </row>
    <row r="2338" spans="1:11" ht="42" customHeight="1">
      <c r="A2338" s="4" t="s">
        <v>6097</v>
      </c>
      <c r="B2338" s="5" t="s">
        <v>6097</v>
      </c>
      <c r="C2338" s="5" t="s">
        <v>29</v>
      </c>
      <c r="D2338" s="5" t="s">
        <v>30</v>
      </c>
      <c r="E2338" s="5" t="s">
        <v>276</v>
      </c>
      <c r="F2338" s="9">
        <v>75</v>
      </c>
      <c r="G2338" s="9">
        <v>923</v>
      </c>
      <c r="H2338" s="5" t="s">
        <v>21</v>
      </c>
      <c r="I2338" s="5" t="s">
        <v>6098</v>
      </c>
      <c r="J2338" s="12" t="str">
        <f>HYPERLINK("https://www.boe.es/gazeta/dias/1802/09/14/pdfs/GMD-1802-75.pdf#page=7","Abrir facsímil")</f>
        <v>Abrir facsímil</v>
      </c>
      <c r="K2338" s="15" t="s">
        <v>23</v>
      </c>
    </row>
    <row r="2339" spans="1:11" ht="42" customHeight="1">
      <c r="A2339" s="4" t="s">
        <v>6099</v>
      </c>
      <c r="B2339" s="5" t="s">
        <v>6099</v>
      </c>
      <c r="C2339" s="5" t="s">
        <v>55</v>
      </c>
      <c r="D2339" s="5" t="s">
        <v>56</v>
      </c>
      <c r="E2339" s="5" t="s">
        <v>175</v>
      </c>
      <c r="F2339" s="9">
        <v>37</v>
      </c>
      <c r="G2339" s="9">
        <v>433</v>
      </c>
      <c r="H2339" s="5" t="s">
        <v>21</v>
      </c>
      <c r="I2339" s="5" t="s">
        <v>6100</v>
      </c>
      <c r="J2339" s="12" t="str">
        <f>HYPERLINK("https://www.boe.es/gazeta/dias/1802/05/07/pdfs/GMD-1802-37.pdf#page=1","Abrir facsímil")</f>
        <v>Abrir facsímil</v>
      </c>
      <c r="K2339" s="15" t="s">
        <v>23</v>
      </c>
    </row>
    <row r="2340" spans="1:11" ht="42" customHeight="1">
      <c r="A2340" s="4" t="s">
        <v>6101</v>
      </c>
      <c r="B2340" s="5" t="s">
        <v>6102</v>
      </c>
      <c r="C2340" s="5" t="s">
        <v>29</v>
      </c>
      <c r="D2340" s="5" t="s">
        <v>30</v>
      </c>
      <c r="E2340" s="5" t="s">
        <v>31</v>
      </c>
      <c r="F2340" s="9">
        <v>27</v>
      </c>
      <c r="G2340" s="9">
        <v>311</v>
      </c>
      <c r="H2340" s="5" t="s">
        <v>21</v>
      </c>
      <c r="I2340" s="5" t="s">
        <v>6103</v>
      </c>
      <c r="J2340" s="12" t="str">
        <f>HYPERLINK("https://www.boe.es/gazeta/dias/1802/04/02/pdfs/GMD-1802-27.pdf#page=7","Abrir facsímil")</f>
        <v>Abrir facsímil</v>
      </c>
      <c r="K2340" s="15" t="s">
        <v>23</v>
      </c>
    </row>
    <row r="2341" spans="1:11" ht="42" customHeight="1">
      <c r="A2341" s="4" t="s">
        <v>6104</v>
      </c>
      <c r="B2341" s="5" t="s">
        <v>6104</v>
      </c>
      <c r="C2341" s="5" t="s">
        <v>18</v>
      </c>
      <c r="D2341" s="5" t="s">
        <v>19</v>
      </c>
      <c r="E2341" s="5" t="s">
        <v>670</v>
      </c>
      <c r="F2341" s="9">
        <v>40</v>
      </c>
      <c r="G2341" s="9">
        <v>476</v>
      </c>
      <c r="H2341" s="5" t="s">
        <v>21</v>
      </c>
      <c r="I2341" s="5" t="s">
        <v>6105</v>
      </c>
      <c r="J2341" s="12" t="str">
        <f>HYPERLINK("https://www.boe.es/gazeta/dias/1802/05/18/pdfs/GMD-1802-40.pdf#page=4","Abrir facsímil")</f>
        <v>Abrir facsímil</v>
      </c>
      <c r="K2341" s="15" t="s">
        <v>23</v>
      </c>
    </row>
    <row r="2342" spans="1:11" ht="42" customHeight="1">
      <c r="A2342" s="4" t="s">
        <v>6106</v>
      </c>
      <c r="B2342" s="5" t="s">
        <v>6106</v>
      </c>
      <c r="C2342" s="5" t="s">
        <v>35</v>
      </c>
      <c r="D2342" s="5" t="s">
        <v>36</v>
      </c>
      <c r="E2342" s="5" t="s">
        <v>206</v>
      </c>
      <c r="F2342" s="9">
        <v>22</v>
      </c>
      <c r="G2342" s="9">
        <v>237</v>
      </c>
      <c r="H2342" s="5" t="s">
        <v>21</v>
      </c>
      <c r="I2342" s="5" t="s">
        <v>6107</v>
      </c>
      <c r="J2342" s="12" t="str">
        <f>HYPERLINK("https://www.boe.es/gazeta/dias/1802/03/16/pdfs/GMD-1802-22.pdf#page=5","Abrir facsímil")</f>
        <v>Abrir facsímil</v>
      </c>
      <c r="K2342" s="15" t="s">
        <v>23</v>
      </c>
    </row>
    <row r="2343" spans="1:11" ht="42" customHeight="1">
      <c r="A2343" s="4" t="s">
        <v>6108</v>
      </c>
      <c r="B2343" s="5" t="s">
        <v>6108</v>
      </c>
      <c r="C2343" s="5" t="s">
        <v>29</v>
      </c>
      <c r="D2343" s="5" t="s">
        <v>30</v>
      </c>
      <c r="E2343" s="5" t="s">
        <v>181</v>
      </c>
      <c r="F2343" s="9">
        <v>55</v>
      </c>
      <c r="G2343" s="9">
        <v>666</v>
      </c>
      <c r="H2343" s="5" t="s">
        <v>21</v>
      </c>
      <c r="I2343" s="5" t="s">
        <v>6109</v>
      </c>
      <c r="J2343" s="12" t="str">
        <f>HYPERLINK("https://www.boe.es/gazeta/dias/1802/07/09/pdfs/GMD-1802-55.pdf#page=10","Abrir facsímil")</f>
        <v>Abrir facsímil</v>
      </c>
      <c r="K2343" s="15" t="s">
        <v>23</v>
      </c>
    </row>
    <row r="2344" spans="1:11" ht="42" customHeight="1">
      <c r="A2344" s="4" t="s">
        <v>6110</v>
      </c>
      <c r="B2344" s="5" t="s">
        <v>6111</v>
      </c>
      <c r="C2344" s="5" t="s">
        <v>18</v>
      </c>
      <c r="D2344" s="5" t="s">
        <v>19</v>
      </c>
      <c r="E2344" s="5" t="s">
        <v>82</v>
      </c>
      <c r="F2344" s="9">
        <v>74</v>
      </c>
      <c r="G2344" s="9">
        <v>914</v>
      </c>
      <c r="H2344" s="5" t="s">
        <v>21</v>
      </c>
      <c r="I2344" s="5" t="s">
        <v>6112</v>
      </c>
      <c r="J2344" s="12" t="str">
        <f>HYPERLINK("https://www.boe.es/gazeta/dias/1802/09/10/pdfs/GMD-1802-74.pdf#page=10","Abrir facsímil")</f>
        <v>Abrir facsímil</v>
      </c>
      <c r="K2344" s="15" t="s">
        <v>23</v>
      </c>
    </row>
    <row r="2345" spans="1:11" ht="42" customHeight="1">
      <c r="A2345" s="4" t="s">
        <v>6113</v>
      </c>
      <c r="B2345" s="5" t="s">
        <v>6114</v>
      </c>
      <c r="C2345" s="5" t="s">
        <v>18</v>
      </c>
      <c r="D2345" s="5" t="s">
        <v>19</v>
      </c>
      <c r="E2345" s="5" t="s">
        <v>170</v>
      </c>
      <c r="F2345" s="9">
        <v>28</v>
      </c>
      <c r="G2345" s="9">
        <v>325</v>
      </c>
      <c r="H2345" s="5" t="s">
        <v>21</v>
      </c>
      <c r="I2345" s="5" t="s">
        <v>6115</v>
      </c>
      <c r="J2345" s="12" t="str">
        <f>HYPERLINK("https://www.boe.es/gazeta/dias/1802/04/06/pdfs/GMD-1802-28.pdf#page=5","Abrir facsímil")</f>
        <v>Abrir facsímil</v>
      </c>
      <c r="K2345" s="15" t="s">
        <v>23</v>
      </c>
    </row>
    <row r="2346" spans="1:11" ht="42" customHeight="1">
      <c r="A2346" s="4" t="s">
        <v>6116</v>
      </c>
      <c r="B2346" s="5" t="s">
        <v>6117</v>
      </c>
      <c r="C2346" s="5" t="s">
        <v>42</v>
      </c>
      <c r="D2346" s="5" t="s">
        <v>43</v>
      </c>
      <c r="E2346" s="5" t="s">
        <v>44</v>
      </c>
      <c r="F2346" s="9">
        <v>99</v>
      </c>
      <c r="G2346" s="9" t="s">
        <v>322</v>
      </c>
      <c r="H2346" s="5" t="s">
        <v>21</v>
      </c>
      <c r="I2346" s="5" t="s">
        <v>6118</v>
      </c>
      <c r="J2346" s="12" t="str">
        <f>HYPERLINK("https://www.boe.es/gazeta/dias/1802/12/07/pdfs/GMD-D-1802-99.pdf#page=10","Abrir facsímil")</f>
        <v>Abrir facsímil</v>
      </c>
      <c r="K2346" s="15" t="s">
        <v>23</v>
      </c>
    </row>
    <row r="2347" spans="1:11" ht="42" customHeight="1">
      <c r="A2347" s="4" t="s">
        <v>6119</v>
      </c>
      <c r="B2347" s="5" t="s">
        <v>6120</v>
      </c>
      <c r="C2347" s="5" t="s">
        <v>29</v>
      </c>
      <c r="D2347" s="5" t="s">
        <v>30</v>
      </c>
      <c r="E2347" s="5" t="s">
        <v>517</v>
      </c>
      <c r="F2347" s="9">
        <v>61</v>
      </c>
      <c r="G2347" s="9">
        <v>740</v>
      </c>
      <c r="H2347" s="5" t="s">
        <v>21</v>
      </c>
      <c r="I2347" s="5" t="s">
        <v>6121</v>
      </c>
      <c r="J2347" s="12" t="str">
        <f>HYPERLINK("https://www.boe.es/gazeta/dias/1802/07/27/pdfs/GMD-1802-61.pdf#page=8","Abrir facsímil")</f>
        <v>Abrir facsímil</v>
      </c>
      <c r="K2347" s="15" t="s">
        <v>23</v>
      </c>
    </row>
    <row r="2348" spans="1:11" ht="42" customHeight="1">
      <c r="A2348" s="4" t="s">
        <v>6122</v>
      </c>
      <c r="B2348" s="5" t="s">
        <v>6123</v>
      </c>
      <c r="C2348" s="5" t="s">
        <v>29</v>
      </c>
      <c r="D2348" s="5" t="s">
        <v>30</v>
      </c>
      <c r="E2348" s="5" t="s">
        <v>1749</v>
      </c>
      <c r="F2348" s="9">
        <v>60</v>
      </c>
      <c r="G2348" s="9">
        <v>728</v>
      </c>
      <c r="H2348" s="5" t="s">
        <v>21</v>
      </c>
      <c r="I2348" s="5" t="s">
        <v>6124</v>
      </c>
      <c r="J2348" s="12" t="str">
        <f>HYPERLINK("https://www.boe.es/gazeta/dias/1802/07/23/pdfs/GMD-1802-60.pdf#page=12","Abrir facsímil")</f>
        <v>Abrir facsímil</v>
      </c>
      <c r="K2348" s="15" t="s">
        <v>23</v>
      </c>
    </row>
    <row r="2349" spans="1:11" ht="42" customHeight="1">
      <c r="A2349" s="4" t="s">
        <v>6125</v>
      </c>
      <c r="B2349" s="5" t="s">
        <v>6126</v>
      </c>
      <c r="C2349" s="5" t="s">
        <v>42</v>
      </c>
      <c r="D2349" s="5" t="s">
        <v>43</v>
      </c>
      <c r="E2349" s="5" t="s">
        <v>44</v>
      </c>
      <c r="F2349" s="9">
        <v>99</v>
      </c>
      <c r="G2349" s="9" t="s">
        <v>322</v>
      </c>
      <c r="H2349" s="5" t="s">
        <v>21</v>
      </c>
      <c r="I2349" s="5" t="s">
        <v>6127</v>
      </c>
      <c r="J2349" s="12" t="str">
        <f>HYPERLINK("https://www.boe.es/gazeta/dias/1802/12/07/pdfs/GMD-D-1802-99.pdf#page=10","Abrir facsímil")</f>
        <v>Abrir facsímil</v>
      </c>
      <c r="K2349" s="15" t="s">
        <v>23</v>
      </c>
    </row>
    <row r="2350" spans="1:11" ht="42" customHeight="1">
      <c r="A2350" s="4" t="s">
        <v>6128</v>
      </c>
      <c r="B2350" s="5" t="s">
        <v>6129</v>
      </c>
      <c r="C2350" s="5" t="s">
        <v>90</v>
      </c>
      <c r="D2350" s="5" t="s">
        <v>91</v>
      </c>
      <c r="E2350" s="5" t="s">
        <v>219</v>
      </c>
      <c r="F2350" s="9">
        <v>81</v>
      </c>
      <c r="G2350" s="9">
        <v>999</v>
      </c>
      <c r="H2350" s="5" t="s">
        <v>21</v>
      </c>
      <c r="I2350" s="5" t="s">
        <v>6130</v>
      </c>
      <c r="J2350" s="12" t="str">
        <f>HYPERLINK("https://www.boe.es/gazeta/dias/1802/10/05/pdfs/GMD-1802-81.pdf#page=11","Abrir facsímil")</f>
        <v>Abrir facsímil</v>
      </c>
      <c r="K2350" s="15" t="s">
        <v>23</v>
      </c>
    </row>
    <row r="2351" spans="1:11" ht="42" customHeight="1">
      <c r="A2351" s="4" t="s">
        <v>6131</v>
      </c>
      <c r="B2351" s="5" t="s">
        <v>6132</v>
      </c>
      <c r="C2351" s="5" t="s">
        <v>18</v>
      </c>
      <c r="D2351" s="5" t="s">
        <v>19</v>
      </c>
      <c r="E2351" s="5" t="s">
        <v>20</v>
      </c>
      <c r="F2351" s="9">
        <v>84</v>
      </c>
      <c r="G2351" s="9">
        <v>1043</v>
      </c>
      <c r="H2351" s="5" t="s">
        <v>21</v>
      </c>
      <c r="I2351" s="5" t="s">
        <v>6133</v>
      </c>
      <c r="J2351" s="12" t="str">
        <f>HYPERLINK("https://www.boe.es/gazeta/dias/1802/10/15/pdfs/GMD-1802-84.pdf#page=11","Abrir facsímil")</f>
        <v>Abrir facsímil</v>
      </c>
      <c r="K2351" s="15" t="s">
        <v>23</v>
      </c>
    </row>
    <row r="2352" spans="1:11" ht="42" customHeight="1">
      <c r="A2352" s="4" t="s">
        <v>6134</v>
      </c>
      <c r="B2352" s="5" t="s">
        <v>6135</v>
      </c>
      <c r="C2352" s="5" t="s">
        <v>18</v>
      </c>
      <c r="D2352" s="5" t="s">
        <v>19</v>
      </c>
      <c r="E2352" s="5" t="s">
        <v>20</v>
      </c>
      <c r="F2352" s="9">
        <v>84</v>
      </c>
      <c r="G2352" s="9">
        <v>1047</v>
      </c>
      <c r="H2352" s="5" t="s">
        <v>21</v>
      </c>
      <c r="I2352" s="5" t="s">
        <v>6136</v>
      </c>
      <c r="J2352" s="12" t="str">
        <f>HYPERLINK("https://www.boe.es/gazeta/dias/1802/10/15/pdfs/GMD-1802-84.pdf#page=15","Abrir facsímil")</f>
        <v>Abrir facsímil</v>
      </c>
      <c r="K2352" s="15" t="s">
        <v>23</v>
      </c>
    </row>
    <row r="2353" spans="1:11" ht="42" customHeight="1">
      <c r="A2353" s="4" t="s">
        <v>6137</v>
      </c>
      <c r="B2353" s="5" t="s">
        <v>6138</v>
      </c>
      <c r="C2353" s="5" t="s">
        <v>18</v>
      </c>
      <c r="D2353" s="5" t="s">
        <v>19</v>
      </c>
      <c r="E2353" s="5" t="s">
        <v>20</v>
      </c>
      <c r="F2353" s="9">
        <v>84</v>
      </c>
      <c r="G2353" s="9">
        <v>1046</v>
      </c>
      <c r="H2353" s="5" t="s">
        <v>21</v>
      </c>
      <c r="I2353" s="5" t="s">
        <v>6139</v>
      </c>
      <c r="J2353" s="12" t="str">
        <f>HYPERLINK("https://www.boe.es/gazeta/dias/1802/10/15/pdfs/GMD-1802-84.pdf#page=14","Abrir facsímil")</f>
        <v>Abrir facsímil</v>
      </c>
      <c r="K2353" s="15" t="s">
        <v>23</v>
      </c>
    </row>
    <row r="2354" spans="1:11" ht="42" customHeight="1">
      <c r="A2354" s="4" t="s">
        <v>6140</v>
      </c>
      <c r="B2354" s="5" t="s">
        <v>6141</v>
      </c>
      <c r="C2354" s="5" t="s">
        <v>29</v>
      </c>
      <c r="D2354" s="5" t="s">
        <v>30</v>
      </c>
      <c r="E2354" s="5" t="s">
        <v>232</v>
      </c>
      <c r="F2354" s="9">
        <v>30</v>
      </c>
      <c r="G2354" s="9">
        <v>351</v>
      </c>
      <c r="H2354" s="5" t="s">
        <v>21</v>
      </c>
      <c r="I2354" s="5" t="s">
        <v>6142</v>
      </c>
      <c r="J2354" s="12" t="str">
        <f>HYPERLINK("https://www.boe.es/gazeta/dias/1802/04/13/pdfs/GMD-1802-30.pdf#page=7","Abrir facsímil")</f>
        <v>Abrir facsímil</v>
      </c>
      <c r="K2354" s="15" t="s">
        <v>23</v>
      </c>
    </row>
    <row r="2355" spans="1:11" ht="42" customHeight="1">
      <c r="A2355" s="4" t="s">
        <v>6143</v>
      </c>
      <c r="B2355" s="5" t="s">
        <v>6144</v>
      </c>
      <c r="C2355" s="5" t="s">
        <v>29</v>
      </c>
      <c r="D2355" s="5" t="s">
        <v>30</v>
      </c>
      <c r="E2355" s="5" t="s">
        <v>1264</v>
      </c>
      <c r="F2355" s="9">
        <v>105</v>
      </c>
      <c r="G2355" s="9">
        <v>1286</v>
      </c>
      <c r="H2355" s="5" t="s">
        <v>21</v>
      </c>
      <c r="I2355" s="5" t="s">
        <v>6145</v>
      </c>
      <c r="J2355" s="12" t="str">
        <f>HYPERLINK("https://www.boe.es/gazeta/dias/1802/12/28/pdfs/GMD-1802-105.pdf#page=10","Abrir facsímil")</f>
        <v>Abrir facsímil</v>
      </c>
      <c r="K2355" s="15" t="s">
        <v>23</v>
      </c>
    </row>
    <row r="2356" spans="1:11" ht="42" customHeight="1">
      <c r="A2356" s="4" t="s">
        <v>6146</v>
      </c>
      <c r="B2356" s="5" t="s">
        <v>6147</v>
      </c>
      <c r="C2356" s="5" t="s">
        <v>42</v>
      </c>
      <c r="D2356" s="5" t="s">
        <v>43</v>
      </c>
      <c r="E2356" s="5" t="s">
        <v>44</v>
      </c>
      <c r="F2356" s="9">
        <v>99</v>
      </c>
      <c r="G2356" s="9" t="s">
        <v>322</v>
      </c>
      <c r="H2356" s="5" t="s">
        <v>21</v>
      </c>
      <c r="I2356" s="5" t="s">
        <v>6148</v>
      </c>
      <c r="J2356" s="12" t="str">
        <f>HYPERLINK("https://www.boe.es/gazeta/dias/1802/12/07/pdfs/GMD-D-1802-99.pdf#page=10","Abrir facsímil")</f>
        <v>Abrir facsímil</v>
      </c>
      <c r="K2356" s="15" t="s">
        <v>23</v>
      </c>
    </row>
    <row r="2357" spans="1:11" ht="42" customHeight="1">
      <c r="A2357" s="4" t="s">
        <v>6149</v>
      </c>
      <c r="B2357" s="5" t="s">
        <v>6150</v>
      </c>
      <c r="C2357" s="5" t="s">
        <v>160</v>
      </c>
      <c r="D2357" s="5" t="s">
        <v>91</v>
      </c>
      <c r="E2357" s="5" t="s">
        <v>328</v>
      </c>
      <c r="F2357" s="9">
        <v>45</v>
      </c>
      <c r="G2357" s="9">
        <v>547</v>
      </c>
      <c r="H2357" s="5" t="s">
        <v>21</v>
      </c>
      <c r="I2357" s="5" t="s">
        <v>6151</v>
      </c>
      <c r="J2357" s="12" t="str">
        <f>HYPERLINK("https://www.boe.es/gazeta/dias/1802/06/04/pdfs/GMD-1802-45.pdf#page=11","Abrir facsímil")</f>
        <v>Abrir facsímil</v>
      </c>
      <c r="K2357" s="15" t="s">
        <v>23</v>
      </c>
    </row>
    <row r="2358" spans="1:11" ht="42" customHeight="1">
      <c r="A2358" s="4" t="s">
        <v>6152</v>
      </c>
      <c r="B2358" s="5" t="s">
        <v>6153</v>
      </c>
      <c r="C2358" s="5" t="s">
        <v>29</v>
      </c>
      <c r="D2358" s="5" t="s">
        <v>30</v>
      </c>
      <c r="E2358" s="5" t="s">
        <v>1051</v>
      </c>
      <c r="F2358" s="9">
        <v>43</v>
      </c>
      <c r="G2358" s="9">
        <v>518</v>
      </c>
      <c r="H2358" s="5" t="s">
        <v>21</v>
      </c>
      <c r="I2358" s="5" t="s">
        <v>6154</v>
      </c>
      <c r="J2358" s="12" t="str">
        <f>HYPERLINK("https://www.boe.es/gazeta/dias/1802/05/28/pdfs/GMD-1802-43.pdf#page=10","Abrir facsímil")</f>
        <v>Abrir facsímil</v>
      </c>
      <c r="K2358" s="15" t="s">
        <v>23</v>
      </c>
    </row>
    <row r="2359" spans="1:11" ht="42" customHeight="1">
      <c r="A2359" s="4" t="s">
        <v>6155</v>
      </c>
      <c r="B2359" s="5" t="s">
        <v>6156</v>
      </c>
      <c r="C2359" s="5" t="s">
        <v>18</v>
      </c>
      <c r="D2359" s="5" t="s">
        <v>19</v>
      </c>
      <c r="E2359" s="5" t="s">
        <v>206</v>
      </c>
      <c r="F2359" s="9">
        <v>22</v>
      </c>
      <c r="G2359" s="9">
        <v>240</v>
      </c>
      <c r="H2359" s="5" t="s">
        <v>21</v>
      </c>
      <c r="I2359" s="5" t="s">
        <v>6157</v>
      </c>
      <c r="J2359" s="12" t="str">
        <f>HYPERLINK("https://www.boe.es/gazeta/dias/1802/03/16/pdfs/GMD-1802-22.pdf#page=8","Abrir facsímil")</f>
        <v>Abrir facsímil</v>
      </c>
      <c r="K2359" s="15" t="s">
        <v>23</v>
      </c>
    </row>
    <row r="2360" spans="1:11" ht="42" customHeight="1">
      <c r="A2360" s="4" t="s">
        <v>6158</v>
      </c>
      <c r="B2360" s="5" t="s">
        <v>6159</v>
      </c>
      <c r="C2360" s="5" t="s">
        <v>18</v>
      </c>
      <c r="D2360" s="5" t="s">
        <v>19</v>
      </c>
      <c r="E2360" s="5" t="s">
        <v>219</v>
      </c>
      <c r="F2360" s="9">
        <v>81</v>
      </c>
      <c r="G2360" s="9">
        <v>998</v>
      </c>
      <c r="H2360" s="5" t="s">
        <v>21</v>
      </c>
      <c r="I2360" s="5" t="s">
        <v>6160</v>
      </c>
      <c r="J2360" s="12" t="str">
        <f>HYPERLINK("https://www.boe.es/gazeta/dias/1802/10/05/pdfs/GMD-1802-81.pdf#page=10","Abrir facsímil")</f>
        <v>Abrir facsímil</v>
      </c>
      <c r="K2360" s="15" t="s">
        <v>23</v>
      </c>
    </row>
    <row r="2361" spans="1:11" ht="42" customHeight="1">
      <c r="A2361" s="4" t="s">
        <v>6161</v>
      </c>
      <c r="B2361" s="5" t="s">
        <v>6162</v>
      </c>
      <c r="C2361" s="5" t="s">
        <v>29</v>
      </c>
      <c r="D2361" s="5" t="s">
        <v>30</v>
      </c>
      <c r="E2361" s="5" t="s">
        <v>491</v>
      </c>
      <c r="F2361" s="9">
        <v>57</v>
      </c>
      <c r="G2361" s="9">
        <v>689</v>
      </c>
      <c r="H2361" s="5" t="s">
        <v>21</v>
      </c>
      <c r="I2361" s="5" t="s">
        <v>6163</v>
      </c>
      <c r="J2361" s="12" t="str">
        <f>HYPERLINK("https://www.boe.es/gazeta/dias/1802/07/16/pdfs/GMD-1802-57.pdf#page=9","Abrir facsímil")</f>
        <v>Abrir facsímil</v>
      </c>
      <c r="K2361" s="15" t="s">
        <v>23</v>
      </c>
    </row>
    <row r="2362" spans="1:11" ht="42" customHeight="1">
      <c r="A2362" s="4" t="s">
        <v>6164</v>
      </c>
      <c r="B2362" s="5" t="s">
        <v>6165</v>
      </c>
      <c r="C2362" s="5" t="s">
        <v>18</v>
      </c>
      <c r="D2362" s="5" t="s">
        <v>19</v>
      </c>
      <c r="E2362" s="5" t="s">
        <v>20</v>
      </c>
      <c r="F2362" s="9">
        <v>84</v>
      </c>
      <c r="G2362" s="9">
        <v>1043</v>
      </c>
      <c r="H2362" s="5" t="s">
        <v>21</v>
      </c>
      <c r="I2362" s="5" t="s">
        <v>6166</v>
      </c>
      <c r="J2362" s="12" t="str">
        <f>HYPERLINK("https://www.boe.es/gazeta/dias/1802/10/15/pdfs/GMD-1802-84.pdf#page=11","Abrir facsímil")</f>
        <v>Abrir facsímil</v>
      </c>
      <c r="K2362" s="15" t="s">
        <v>23</v>
      </c>
    </row>
    <row r="2363" spans="1:11" ht="42" customHeight="1">
      <c r="A2363" s="4" t="s">
        <v>6167</v>
      </c>
      <c r="B2363" s="5" t="s">
        <v>6168</v>
      </c>
      <c r="C2363" s="5" t="s">
        <v>18</v>
      </c>
      <c r="D2363" s="5" t="s">
        <v>19</v>
      </c>
      <c r="E2363" s="5" t="s">
        <v>20</v>
      </c>
      <c r="F2363" s="9">
        <v>84</v>
      </c>
      <c r="G2363" s="9">
        <v>1044</v>
      </c>
      <c r="H2363" s="5" t="s">
        <v>21</v>
      </c>
      <c r="I2363" s="5" t="s">
        <v>6169</v>
      </c>
      <c r="J2363" s="12" t="str">
        <f>HYPERLINK("https://www.boe.es/gazeta/dias/1802/10/15/pdfs/GMD-1802-84.pdf#page=12","Abrir facsímil")</f>
        <v>Abrir facsímil</v>
      </c>
      <c r="K2363" s="15" t="s">
        <v>23</v>
      </c>
    </row>
    <row r="2364" spans="1:11" ht="42" customHeight="1">
      <c r="A2364" s="4" t="s">
        <v>6170</v>
      </c>
      <c r="B2364" s="5" t="s">
        <v>6171</v>
      </c>
      <c r="C2364" s="5" t="s">
        <v>18</v>
      </c>
      <c r="D2364" s="5" t="s">
        <v>19</v>
      </c>
      <c r="E2364" s="5" t="s">
        <v>20</v>
      </c>
      <c r="F2364" s="9">
        <v>84</v>
      </c>
      <c r="G2364" s="9">
        <v>1047</v>
      </c>
      <c r="H2364" s="5" t="s">
        <v>21</v>
      </c>
      <c r="I2364" s="5" t="s">
        <v>6172</v>
      </c>
      <c r="J2364" s="12" t="str">
        <f>HYPERLINK("https://www.boe.es/gazeta/dias/1802/10/15/pdfs/GMD-1802-84.pdf#page=15","Abrir facsímil")</f>
        <v>Abrir facsímil</v>
      </c>
      <c r="K2364" s="15" t="s">
        <v>23</v>
      </c>
    </row>
    <row r="2365" spans="1:11" ht="42" customHeight="1">
      <c r="A2365" s="4" t="s">
        <v>6173</v>
      </c>
      <c r="B2365" s="5" t="s">
        <v>6174</v>
      </c>
      <c r="C2365" s="5" t="s">
        <v>18</v>
      </c>
      <c r="D2365" s="5" t="s">
        <v>19</v>
      </c>
      <c r="E2365" s="5" t="s">
        <v>20</v>
      </c>
      <c r="F2365" s="9">
        <v>84</v>
      </c>
      <c r="G2365" s="9">
        <v>1047</v>
      </c>
      <c r="H2365" s="5" t="s">
        <v>21</v>
      </c>
      <c r="I2365" s="5" t="s">
        <v>6175</v>
      </c>
      <c r="J2365" s="12" t="str">
        <f>HYPERLINK("https://www.boe.es/gazeta/dias/1802/10/15/pdfs/GMD-1802-84.pdf#page=15","Abrir facsímil")</f>
        <v>Abrir facsímil</v>
      </c>
      <c r="K2365" s="15" t="s">
        <v>23</v>
      </c>
    </row>
    <row r="2366" spans="1:11" ht="42" customHeight="1">
      <c r="A2366" s="4" t="s">
        <v>6176</v>
      </c>
      <c r="B2366" s="5" t="s">
        <v>6177</v>
      </c>
      <c r="C2366" s="5" t="s">
        <v>55</v>
      </c>
      <c r="D2366" s="5" t="s">
        <v>56</v>
      </c>
      <c r="E2366" s="5" t="s">
        <v>826</v>
      </c>
      <c r="F2366" s="9">
        <v>67</v>
      </c>
      <c r="G2366" s="9">
        <v>824</v>
      </c>
      <c r="H2366" s="5" t="s">
        <v>21</v>
      </c>
      <c r="I2366" s="5" t="s">
        <v>6178</v>
      </c>
      <c r="J2366" s="12" t="str">
        <f>HYPERLINK("https://www.boe.es/gazeta/dias/1802/08/17/pdfs/GMD-1802-67.pdf#page=12","Abrir facsímil")</f>
        <v>Abrir facsímil</v>
      </c>
      <c r="K2366" s="15" t="s">
        <v>23</v>
      </c>
    </row>
    <row r="2367" spans="1:11" ht="42" customHeight="1">
      <c r="A2367" s="4" t="s">
        <v>6176</v>
      </c>
      <c r="B2367" s="5" t="s">
        <v>6177</v>
      </c>
      <c r="C2367" s="5" t="s">
        <v>18</v>
      </c>
      <c r="D2367" s="5" t="s">
        <v>19</v>
      </c>
      <c r="E2367" s="5" t="s">
        <v>49</v>
      </c>
      <c r="F2367" s="9">
        <v>83</v>
      </c>
      <c r="G2367" s="9">
        <v>1023</v>
      </c>
      <c r="H2367" s="5" t="s">
        <v>21</v>
      </c>
      <c r="I2367" s="5" t="s">
        <v>6179</v>
      </c>
      <c r="J2367" s="12" t="str">
        <f>HYPERLINK("https://www.boe.es/gazeta/dias/1802/10/12/pdfs/GMD-1802-83.pdf#page=11","Abrir facsímil")</f>
        <v>Abrir facsímil</v>
      </c>
      <c r="K2367" s="15" t="s">
        <v>23</v>
      </c>
    </row>
    <row r="2368" spans="1:11" ht="42" customHeight="1">
      <c r="A2368" s="4" t="s">
        <v>6180</v>
      </c>
      <c r="B2368" s="5" t="s">
        <v>6181</v>
      </c>
      <c r="C2368" s="5" t="s">
        <v>18</v>
      </c>
      <c r="D2368" s="5" t="s">
        <v>19</v>
      </c>
      <c r="E2368" s="5" t="s">
        <v>31</v>
      </c>
      <c r="F2368" s="9">
        <v>27</v>
      </c>
      <c r="G2368" s="9">
        <v>318</v>
      </c>
      <c r="H2368" s="5" t="s">
        <v>21</v>
      </c>
      <c r="I2368" s="5" t="s">
        <v>6182</v>
      </c>
      <c r="J2368" s="12" t="str">
        <f>HYPERLINK("https://www.boe.es/gazeta/dias/1802/04/02/pdfs/GMD-1802-27.pdf#page=14","Abrir facsímil")</f>
        <v>Abrir facsímil</v>
      </c>
      <c r="K2368" s="15" t="s">
        <v>23</v>
      </c>
    </row>
    <row r="2369" spans="1:11" ht="42" customHeight="1">
      <c r="A2369" s="4" t="s">
        <v>6183</v>
      </c>
      <c r="B2369" s="5" t="s">
        <v>6184</v>
      </c>
      <c r="C2369" s="5" t="s">
        <v>29</v>
      </c>
      <c r="D2369" s="5" t="s">
        <v>30</v>
      </c>
      <c r="E2369" s="5" t="s">
        <v>131</v>
      </c>
      <c r="F2369" s="9">
        <v>11</v>
      </c>
      <c r="G2369" s="9">
        <v>114</v>
      </c>
      <c r="H2369" s="5" t="s">
        <v>21</v>
      </c>
      <c r="I2369" s="5" t="s">
        <v>6185</v>
      </c>
      <c r="J2369" s="12" t="str">
        <f>HYPERLINK("https://www.boe.es/gazeta/dias/1802/02/05/pdfs/GMD-1802-11.pdf#page=10","Abrir facsímil")</f>
        <v>Abrir facsímil</v>
      </c>
      <c r="K2369" s="15" t="s">
        <v>23</v>
      </c>
    </row>
    <row r="2370" spans="1:11" ht="42" customHeight="1">
      <c r="A2370" s="4" t="s">
        <v>6186</v>
      </c>
      <c r="B2370" s="5" t="s">
        <v>6187</v>
      </c>
      <c r="C2370" s="5" t="s">
        <v>18</v>
      </c>
      <c r="D2370" s="5" t="s">
        <v>19</v>
      </c>
      <c r="E2370" s="5" t="s">
        <v>20</v>
      </c>
      <c r="F2370" s="9">
        <v>84</v>
      </c>
      <c r="G2370" s="9">
        <v>1040</v>
      </c>
      <c r="H2370" s="5" t="s">
        <v>21</v>
      </c>
      <c r="I2370" s="5" t="s">
        <v>6188</v>
      </c>
      <c r="J2370" s="12" t="str">
        <f>HYPERLINK("https://www.boe.es/gazeta/dias/1802/10/15/pdfs/GMD-1802-84.pdf#page=8","Abrir facsímil")</f>
        <v>Abrir facsímil</v>
      </c>
      <c r="K2370" s="15" t="s">
        <v>23</v>
      </c>
    </row>
    <row r="2371" spans="1:11" ht="42" customHeight="1">
      <c r="A2371" s="4" t="s">
        <v>6189</v>
      </c>
      <c r="B2371" s="5" t="s">
        <v>6190</v>
      </c>
      <c r="C2371" s="5" t="s">
        <v>18</v>
      </c>
      <c r="D2371" s="5" t="s">
        <v>19</v>
      </c>
      <c r="E2371" s="5" t="s">
        <v>128</v>
      </c>
      <c r="F2371" s="9">
        <v>9</v>
      </c>
      <c r="G2371" s="9">
        <v>87</v>
      </c>
      <c r="H2371" s="5" t="s">
        <v>21</v>
      </c>
      <c r="I2371" s="5" t="s">
        <v>6191</v>
      </c>
      <c r="J2371" s="12" t="str">
        <f>HYPERLINK("https://www.boe.es/gazeta/dias/1802/01/29/pdfs/GMD-1802-9.pdf#page=7","Abrir facsímil")</f>
        <v>Abrir facsímil</v>
      </c>
      <c r="K2371" s="15" t="s">
        <v>23</v>
      </c>
    </row>
    <row r="2372" spans="1:11" ht="42" customHeight="1">
      <c r="A2372" s="4" t="s">
        <v>6192</v>
      </c>
      <c r="B2372" s="5" t="s">
        <v>6193</v>
      </c>
      <c r="C2372" s="5" t="s">
        <v>29</v>
      </c>
      <c r="D2372" s="5" t="s">
        <v>30</v>
      </c>
      <c r="E2372" s="5" t="s">
        <v>814</v>
      </c>
      <c r="F2372" s="9">
        <v>41</v>
      </c>
      <c r="G2372" s="9">
        <v>494</v>
      </c>
      <c r="H2372" s="5" t="s">
        <v>21</v>
      </c>
      <c r="I2372" s="5" t="s">
        <v>6194</v>
      </c>
      <c r="J2372" s="12" t="str">
        <f>HYPERLINK("https://www.boe.es/gazeta/dias/1802/05/21/pdfs/GMD-1802-41.pdf#page=10","Abrir facsímil")</f>
        <v>Abrir facsímil</v>
      </c>
      <c r="K2372" s="15" t="s">
        <v>23</v>
      </c>
    </row>
    <row r="2373" spans="1:11" ht="42" customHeight="1">
      <c r="A2373" s="4" t="s">
        <v>6195</v>
      </c>
      <c r="B2373" s="5" t="s">
        <v>6196</v>
      </c>
      <c r="C2373" s="5" t="s">
        <v>29</v>
      </c>
      <c r="D2373" s="5" t="s">
        <v>30</v>
      </c>
      <c r="E2373" s="5" t="s">
        <v>146</v>
      </c>
      <c r="F2373" s="9">
        <v>42</v>
      </c>
      <c r="G2373" s="9">
        <v>504</v>
      </c>
      <c r="H2373" s="5" t="s">
        <v>21</v>
      </c>
      <c r="I2373" s="5" t="s">
        <v>6197</v>
      </c>
      <c r="J2373" s="12" t="str">
        <f>HYPERLINK("https://www.boe.es/gazeta/dias/1802/05/25/pdfs/GMD-1802-42.pdf#page=8","Abrir facsímil")</f>
        <v>Abrir facsímil</v>
      </c>
      <c r="K2373" s="15" t="s">
        <v>23</v>
      </c>
    </row>
    <row r="2374" spans="1:11" ht="42" customHeight="1">
      <c r="A2374" s="4" t="s">
        <v>6198</v>
      </c>
      <c r="B2374" s="5" t="s">
        <v>6199</v>
      </c>
      <c r="C2374" s="5" t="s">
        <v>29</v>
      </c>
      <c r="D2374" s="5" t="s">
        <v>30</v>
      </c>
      <c r="E2374" s="5" t="s">
        <v>814</v>
      </c>
      <c r="F2374" s="9">
        <v>41</v>
      </c>
      <c r="G2374" s="9">
        <v>494</v>
      </c>
      <c r="H2374" s="5" t="s">
        <v>21</v>
      </c>
      <c r="I2374" s="5" t="s">
        <v>6200</v>
      </c>
      <c r="J2374" s="12" t="str">
        <f>HYPERLINK("https://www.boe.es/gazeta/dias/1802/05/21/pdfs/GMD-1802-41.pdf#page=10","Abrir facsímil")</f>
        <v>Abrir facsímil</v>
      </c>
      <c r="K2374" s="15" t="s">
        <v>23</v>
      </c>
    </row>
    <row r="2375" spans="1:11" ht="42" customHeight="1">
      <c r="A2375" s="4" t="s">
        <v>6201</v>
      </c>
      <c r="B2375" s="5" t="s">
        <v>6202</v>
      </c>
      <c r="C2375" s="5" t="s">
        <v>35</v>
      </c>
      <c r="D2375" s="5" t="s">
        <v>36</v>
      </c>
      <c r="E2375" s="5" t="s">
        <v>491</v>
      </c>
      <c r="F2375" s="9">
        <v>57</v>
      </c>
      <c r="G2375" s="9">
        <v>688</v>
      </c>
      <c r="H2375" s="5" t="s">
        <v>21</v>
      </c>
      <c r="I2375" s="5" t="s">
        <v>6203</v>
      </c>
      <c r="J2375" s="12" t="str">
        <f>HYPERLINK("https://www.boe.es/gazeta/dias/1802/07/16/pdfs/GMD-1802-57.pdf#page=8","Abrir facsímil")</f>
        <v>Abrir facsímil</v>
      </c>
      <c r="K2375" s="15" t="s">
        <v>23</v>
      </c>
    </row>
    <row r="2376" spans="1:11" ht="42" customHeight="1">
      <c r="A2376" s="4" t="s">
        <v>6204</v>
      </c>
      <c r="B2376" s="5" t="s">
        <v>6205</v>
      </c>
      <c r="C2376" s="5" t="s">
        <v>29</v>
      </c>
      <c r="D2376" s="5" t="s">
        <v>30</v>
      </c>
      <c r="E2376" s="5" t="s">
        <v>1829</v>
      </c>
      <c r="F2376" s="9">
        <v>32</v>
      </c>
      <c r="G2376" s="9">
        <v>378</v>
      </c>
      <c r="H2376" s="5" t="s">
        <v>21</v>
      </c>
      <c r="I2376" s="5" t="s">
        <v>6206</v>
      </c>
      <c r="J2376" s="12" t="str">
        <f>HYPERLINK("https://www.boe.es/gazeta/dias/1802/04/20/pdfs/GMD-1802-32.pdf#page=10","Abrir facsímil")</f>
        <v>Abrir facsímil</v>
      </c>
      <c r="K2376" s="15" t="s">
        <v>23</v>
      </c>
    </row>
    <row r="2377" spans="1:11" ht="42" customHeight="1">
      <c r="A2377" s="4" t="s">
        <v>6207</v>
      </c>
      <c r="B2377" s="5" t="s">
        <v>6208</v>
      </c>
      <c r="C2377" s="5" t="s">
        <v>29</v>
      </c>
      <c r="D2377" s="5" t="s">
        <v>30</v>
      </c>
      <c r="E2377" s="5" t="s">
        <v>1618</v>
      </c>
      <c r="F2377" s="9">
        <v>31</v>
      </c>
      <c r="G2377" s="9">
        <v>366</v>
      </c>
      <c r="H2377" s="5" t="s">
        <v>21</v>
      </c>
      <c r="I2377" s="5" t="s">
        <v>6209</v>
      </c>
      <c r="J2377" s="12" t="str">
        <f>HYPERLINK("https://www.boe.es/gazeta/dias/1802/04/16/pdfs/GMD-1802-31.pdf#page=10","Abrir facsímil")</f>
        <v>Abrir facsímil</v>
      </c>
      <c r="K2377" s="15" t="s">
        <v>23</v>
      </c>
    </row>
    <row r="2378" spans="1:11" ht="42" customHeight="1">
      <c r="A2378" s="4" t="s">
        <v>6210</v>
      </c>
      <c r="B2378" s="5" t="s">
        <v>6211</v>
      </c>
      <c r="C2378" s="5" t="s">
        <v>18</v>
      </c>
      <c r="D2378" s="5" t="s">
        <v>19</v>
      </c>
      <c r="E2378" s="5" t="s">
        <v>20</v>
      </c>
      <c r="F2378" s="9">
        <v>84</v>
      </c>
      <c r="G2378" s="9">
        <v>1043</v>
      </c>
      <c r="H2378" s="5" t="s">
        <v>21</v>
      </c>
      <c r="I2378" s="5" t="s">
        <v>6212</v>
      </c>
      <c r="J2378" s="12" t="str">
        <f>HYPERLINK("https://www.boe.es/gazeta/dias/1802/10/15/pdfs/GMD-1802-84.pdf#page=11","Abrir facsímil")</f>
        <v>Abrir facsímil</v>
      </c>
      <c r="K2378" s="15" t="s">
        <v>23</v>
      </c>
    </row>
    <row r="2379" spans="1:11" ht="42" customHeight="1">
      <c r="A2379" s="4" t="s">
        <v>6213</v>
      </c>
      <c r="B2379" s="5" t="s">
        <v>6214</v>
      </c>
      <c r="C2379" s="5" t="s">
        <v>90</v>
      </c>
      <c r="D2379" s="5" t="s">
        <v>91</v>
      </c>
      <c r="E2379" s="5" t="s">
        <v>152</v>
      </c>
      <c r="F2379" s="9">
        <v>25</v>
      </c>
      <c r="G2379" s="9">
        <v>286</v>
      </c>
      <c r="H2379" s="5" t="s">
        <v>21</v>
      </c>
      <c r="I2379" s="5" t="s">
        <v>6215</v>
      </c>
      <c r="J2379" s="12" t="str">
        <f>HYPERLINK("https://www.boe.es/gazeta/dias/1802/03/26/pdfs/GMD-1802-25.pdf#page=10","Abrir facsímil")</f>
        <v>Abrir facsímil</v>
      </c>
      <c r="K2379" s="15" t="s">
        <v>23</v>
      </c>
    </row>
    <row r="2380" spans="1:11" ht="42" customHeight="1">
      <c r="A2380" s="4" t="s">
        <v>6216</v>
      </c>
      <c r="B2380" s="5" t="s">
        <v>6217</v>
      </c>
      <c r="C2380" s="5" t="s">
        <v>18</v>
      </c>
      <c r="D2380" s="5" t="s">
        <v>19</v>
      </c>
      <c r="E2380" s="5" t="s">
        <v>20</v>
      </c>
      <c r="F2380" s="9">
        <v>84</v>
      </c>
      <c r="G2380" s="9">
        <v>1043</v>
      </c>
      <c r="H2380" s="5" t="s">
        <v>21</v>
      </c>
      <c r="I2380" s="5" t="s">
        <v>6218</v>
      </c>
      <c r="J2380" s="12" t="str">
        <f>HYPERLINK("https://www.boe.es/gazeta/dias/1802/10/15/pdfs/GMD-1802-84.pdf#page=11","Abrir facsímil")</f>
        <v>Abrir facsímil</v>
      </c>
      <c r="K2380" s="15" t="s">
        <v>23</v>
      </c>
    </row>
    <row r="2381" spans="1:11" ht="42" customHeight="1">
      <c r="A2381" s="4" t="s">
        <v>6219</v>
      </c>
      <c r="B2381" s="5" t="s">
        <v>6220</v>
      </c>
      <c r="C2381" s="5" t="s">
        <v>42</v>
      </c>
      <c r="D2381" s="5" t="s">
        <v>43</v>
      </c>
      <c r="E2381" s="5" t="s">
        <v>44</v>
      </c>
      <c r="F2381" s="9">
        <v>99</v>
      </c>
      <c r="G2381" s="9" t="s">
        <v>222</v>
      </c>
      <c r="H2381" s="5" t="s">
        <v>21</v>
      </c>
      <c r="I2381" s="5" t="s">
        <v>6221</v>
      </c>
      <c r="J2381" s="12" t="str">
        <f>HYPERLINK("https://www.boe.es/gazeta/dias/1802/12/07/pdfs/GMD-D-1802-99.pdf#page=5","Abrir facsímil")</f>
        <v>Abrir facsímil</v>
      </c>
      <c r="K2381" s="15" t="s">
        <v>23</v>
      </c>
    </row>
    <row r="2382" spans="1:11" ht="42" customHeight="1">
      <c r="A2382" s="4" t="s">
        <v>6222</v>
      </c>
      <c r="B2382" s="5" t="s">
        <v>6223</v>
      </c>
      <c r="C2382" s="5" t="s">
        <v>90</v>
      </c>
      <c r="D2382" s="5" t="s">
        <v>91</v>
      </c>
      <c r="E2382" s="5" t="s">
        <v>764</v>
      </c>
      <c r="F2382" s="9">
        <v>69</v>
      </c>
      <c r="G2382" s="9">
        <v>851</v>
      </c>
      <c r="H2382" s="5" t="s">
        <v>21</v>
      </c>
      <c r="I2382" s="5" t="s">
        <v>6224</v>
      </c>
      <c r="J2382" s="12" t="str">
        <f>HYPERLINK("https://www.boe.es/gazeta/dias/1802/08/24/pdfs/GMD-1802-69.pdf#page=11","Abrir facsímil")</f>
        <v>Abrir facsímil</v>
      </c>
      <c r="K2382" s="15" t="s">
        <v>23</v>
      </c>
    </row>
    <row r="2383" spans="1:11" ht="42" customHeight="1">
      <c r="A2383" s="4" t="s">
        <v>6225</v>
      </c>
      <c r="B2383" s="5" t="s">
        <v>6226</v>
      </c>
      <c r="C2383" s="5" t="s">
        <v>42</v>
      </c>
      <c r="D2383" s="5" t="s">
        <v>43</v>
      </c>
      <c r="E2383" s="5" t="s">
        <v>44</v>
      </c>
      <c r="F2383" s="9">
        <v>99</v>
      </c>
      <c r="G2383" s="9" t="s">
        <v>295</v>
      </c>
      <c r="H2383" s="5" t="s">
        <v>21</v>
      </c>
      <c r="I2383" s="5" t="s">
        <v>6227</v>
      </c>
      <c r="J2383" s="12" t="str">
        <f>HYPERLINK("https://www.boe.es/gazeta/dias/1802/12/07/pdfs/GMD-D-1802-99.pdf#page=7","Abrir facsímil")</f>
        <v>Abrir facsímil</v>
      </c>
      <c r="K2383" s="15" t="s">
        <v>23</v>
      </c>
    </row>
    <row r="2384" spans="1:11" ht="42" customHeight="1">
      <c r="A2384" s="4" t="s">
        <v>6228</v>
      </c>
      <c r="B2384" s="5" t="s">
        <v>6229</v>
      </c>
      <c r="C2384" s="5" t="s">
        <v>160</v>
      </c>
      <c r="D2384" s="5" t="s">
        <v>91</v>
      </c>
      <c r="E2384" s="5" t="s">
        <v>183</v>
      </c>
      <c r="F2384" s="9">
        <v>56</v>
      </c>
      <c r="G2384" s="9">
        <v>679</v>
      </c>
      <c r="H2384" s="5" t="s">
        <v>21</v>
      </c>
      <c r="I2384" s="5" t="s">
        <v>6230</v>
      </c>
      <c r="J2384" s="12" t="str">
        <f>HYPERLINK("https://www.boe.es/gazeta/dias/1802/07/13/pdfs/GMD-1802-56.pdf#page=11","Abrir facsímil")</f>
        <v>Abrir facsímil</v>
      </c>
      <c r="K2384" s="15" t="s">
        <v>23</v>
      </c>
    </row>
    <row r="2385" spans="1:11" ht="42" customHeight="1">
      <c r="A2385" s="4" t="s">
        <v>6231</v>
      </c>
      <c r="B2385" s="5" t="s">
        <v>6232</v>
      </c>
      <c r="C2385" s="5" t="s">
        <v>29</v>
      </c>
      <c r="D2385" s="5" t="s">
        <v>30</v>
      </c>
      <c r="E2385" s="5" t="s">
        <v>163</v>
      </c>
      <c r="F2385" s="9">
        <v>1</v>
      </c>
      <c r="G2385" s="9">
        <v>7</v>
      </c>
      <c r="H2385" s="5" t="s">
        <v>21</v>
      </c>
      <c r="I2385" s="5" t="s">
        <v>6233</v>
      </c>
      <c r="J2385" s="12" t="str">
        <f>HYPERLINK("https://www.boe.es/gazeta/dias/1802/01/01/pdfs/GMD-1802-1.pdf#page=7","Abrir facsímil")</f>
        <v>Abrir facsímil</v>
      </c>
      <c r="K2385" s="15" t="s">
        <v>23</v>
      </c>
    </row>
    <row r="2386" spans="1:11" ht="42" customHeight="1">
      <c r="A2386" s="4" t="s">
        <v>6234</v>
      </c>
      <c r="B2386" s="5" t="s">
        <v>6235</v>
      </c>
      <c r="C2386" s="5" t="s">
        <v>18</v>
      </c>
      <c r="D2386" s="5" t="s">
        <v>19</v>
      </c>
      <c r="E2386" s="5" t="s">
        <v>20</v>
      </c>
      <c r="F2386" s="9">
        <v>84</v>
      </c>
      <c r="G2386" s="9">
        <v>1044</v>
      </c>
      <c r="H2386" s="5" t="s">
        <v>21</v>
      </c>
      <c r="I2386" s="5" t="s">
        <v>6236</v>
      </c>
      <c r="J2386" s="12" t="str">
        <f>HYPERLINK("https://www.boe.es/gazeta/dias/1802/10/15/pdfs/GMD-1802-84.pdf#page=12","Abrir facsímil")</f>
        <v>Abrir facsímil</v>
      </c>
      <c r="K2386" s="15" t="s">
        <v>23</v>
      </c>
    </row>
    <row r="2387" spans="1:11" ht="42" customHeight="1">
      <c r="A2387" s="4" t="s">
        <v>6237</v>
      </c>
      <c r="B2387" s="5" t="s">
        <v>6238</v>
      </c>
      <c r="C2387" s="5" t="s">
        <v>55</v>
      </c>
      <c r="D2387" s="5" t="s">
        <v>56</v>
      </c>
      <c r="E2387" s="5" t="s">
        <v>826</v>
      </c>
      <c r="F2387" s="9">
        <v>67</v>
      </c>
      <c r="G2387" s="9">
        <v>822</v>
      </c>
      <c r="H2387" s="5" t="s">
        <v>21</v>
      </c>
      <c r="I2387" s="5" t="s">
        <v>6239</v>
      </c>
      <c r="J2387" s="12" t="str">
        <f>HYPERLINK("https://www.boe.es/gazeta/dias/1802/08/17/pdfs/GMD-1802-67.pdf#page=10","Abrir facsímil")</f>
        <v>Abrir facsímil</v>
      </c>
      <c r="K2387" s="15" t="s">
        <v>23</v>
      </c>
    </row>
    <row r="2388" spans="1:11" ht="42" customHeight="1">
      <c r="A2388" s="4" t="s">
        <v>6240</v>
      </c>
      <c r="B2388" s="5" t="s">
        <v>6241</v>
      </c>
      <c r="C2388" s="5" t="s">
        <v>29</v>
      </c>
      <c r="D2388" s="5" t="s">
        <v>30</v>
      </c>
      <c r="E2388" s="5" t="s">
        <v>328</v>
      </c>
      <c r="F2388" s="9">
        <v>45</v>
      </c>
      <c r="G2388" s="9">
        <v>545</v>
      </c>
      <c r="H2388" s="5" t="s">
        <v>21</v>
      </c>
      <c r="I2388" s="5" t="s">
        <v>6242</v>
      </c>
      <c r="J2388" s="12" t="str">
        <f>HYPERLINK("https://www.boe.es/gazeta/dias/1802/06/04/pdfs/GMD-1802-45.pdf#page=9","Abrir facsímil")</f>
        <v>Abrir facsímil</v>
      </c>
      <c r="K2388" s="15" t="s">
        <v>23</v>
      </c>
    </row>
    <row r="2389" spans="1:11" ht="42" customHeight="1">
      <c r="A2389" s="4" t="s">
        <v>6243</v>
      </c>
      <c r="B2389" s="5" t="s">
        <v>6244</v>
      </c>
      <c r="C2389" s="5" t="s">
        <v>42</v>
      </c>
      <c r="D2389" s="5" t="s">
        <v>43</v>
      </c>
      <c r="E2389" s="5" t="s">
        <v>44</v>
      </c>
      <c r="F2389" s="9">
        <v>99</v>
      </c>
      <c r="G2389" s="9" t="s">
        <v>544</v>
      </c>
      <c r="H2389" s="5" t="s">
        <v>21</v>
      </c>
      <c r="I2389" s="5" t="s">
        <v>6245</v>
      </c>
      <c r="J2389" s="12" t="str">
        <f>HYPERLINK("https://www.boe.es/gazeta/dias/1802/12/07/pdfs/GMD-D-1802-99.pdf#page=11","Abrir facsímil")</f>
        <v>Abrir facsímil</v>
      </c>
      <c r="K2389" s="15" t="s">
        <v>23</v>
      </c>
    </row>
    <row r="2390" spans="1:11" ht="42" customHeight="1">
      <c r="A2390" s="4" t="s">
        <v>6246</v>
      </c>
      <c r="B2390" s="5" t="s">
        <v>6247</v>
      </c>
      <c r="C2390" s="5" t="s">
        <v>18</v>
      </c>
      <c r="D2390" s="5" t="s">
        <v>19</v>
      </c>
      <c r="E2390" s="5" t="s">
        <v>20</v>
      </c>
      <c r="F2390" s="9">
        <v>84</v>
      </c>
      <c r="G2390" s="9">
        <v>1044</v>
      </c>
      <c r="H2390" s="5" t="s">
        <v>21</v>
      </c>
      <c r="I2390" s="5" t="s">
        <v>6248</v>
      </c>
      <c r="J2390" s="12" t="str">
        <f>HYPERLINK("https://www.boe.es/gazeta/dias/1802/10/15/pdfs/GMD-1802-84.pdf#page=12","Abrir facsímil")</f>
        <v>Abrir facsímil</v>
      </c>
      <c r="K2390" s="15" t="s">
        <v>23</v>
      </c>
    </row>
    <row r="2391" spans="1:11" ht="42" customHeight="1">
      <c r="A2391" s="4" t="s">
        <v>6249</v>
      </c>
      <c r="B2391" s="5" t="s">
        <v>6250</v>
      </c>
      <c r="C2391" s="5" t="s">
        <v>90</v>
      </c>
      <c r="D2391" s="5" t="s">
        <v>91</v>
      </c>
      <c r="E2391" s="5" t="s">
        <v>181</v>
      </c>
      <c r="F2391" s="9">
        <v>55</v>
      </c>
      <c r="G2391" s="9">
        <v>667</v>
      </c>
      <c r="H2391" s="5" t="s">
        <v>21</v>
      </c>
      <c r="I2391" s="5" t="s">
        <v>6251</v>
      </c>
      <c r="J2391" s="12" t="str">
        <f>HYPERLINK("https://www.boe.es/gazeta/dias/1802/07/09/pdfs/GMD-1802-55.pdf#page=11","Abrir facsímil")</f>
        <v>Abrir facsímil</v>
      </c>
      <c r="K2391" s="15" t="s">
        <v>23</v>
      </c>
    </row>
    <row r="2392" spans="1:11" ht="42" customHeight="1">
      <c r="A2392" s="4" t="s">
        <v>6252</v>
      </c>
      <c r="B2392" s="5" t="s">
        <v>6253</v>
      </c>
      <c r="C2392" s="5" t="s">
        <v>18</v>
      </c>
      <c r="D2392" s="5" t="s">
        <v>19</v>
      </c>
      <c r="E2392" s="5" t="s">
        <v>152</v>
      </c>
      <c r="F2392" s="9">
        <v>25</v>
      </c>
      <c r="G2392" s="9">
        <v>284</v>
      </c>
      <c r="H2392" s="5" t="s">
        <v>21</v>
      </c>
      <c r="I2392" s="5" t="s">
        <v>6254</v>
      </c>
      <c r="J2392" s="12" t="str">
        <f>HYPERLINK("https://www.boe.es/gazeta/dias/1802/03/26/pdfs/GMD-1802-25.pdf#page=8","Abrir facsímil")</f>
        <v>Abrir facsímil</v>
      </c>
      <c r="K2392" s="15" t="s">
        <v>23</v>
      </c>
    </row>
    <row r="2393" spans="1:11" ht="42" customHeight="1">
      <c r="A2393" s="4" t="s">
        <v>6252</v>
      </c>
      <c r="B2393" s="5" t="s">
        <v>6253</v>
      </c>
      <c r="C2393" s="5" t="s">
        <v>18</v>
      </c>
      <c r="D2393" s="5" t="s">
        <v>19</v>
      </c>
      <c r="E2393" s="5" t="s">
        <v>152</v>
      </c>
      <c r="F2393" s="9">
        <v>25</v>
      </c>
      <c r="G2393" s="9">
        <v>285</v>
      </c>
      <c r="H2393" s="5" t="s">
        <v>21</v>
      </c>
      <c r="I2393" s="5" t="s">
        <v>6255</v>
      </c>
      <c r="J2393" s="12" t="str">
        <f>HYPERLINK("https://www.boe.es/gazeta/dias/1802/03/26/pdfs/GMD-1802-25.pdf#page=9","Abrir facsímil")</f>
        <v>Abrir facsímil</v>
      </c>
      <c r="K2393" s="15" t="s">
        <v>23</v>
      </c>
    </row>
    <row r="2394" spans="1:11" ht="42" customHeight="1">
      <c r="A2394" s="4" t="s">
        <v>6256</v>
      </c>
      <c r="B2394" s="5" t="s">
        <v>6257</v>
      </c>
      <c r="C2394" s="5" t="s">
        <v>29</v>
      </c>
      <c r="D2394" s="5" t="s">
        <v>30</v>
      </c>
      <c r="E2394" s="5" t="s">
        <v>148</v>
      </c>
      <c r="F2394" s="9">
        <v>66</v>
      </c>
      <c r="G2394" s="9">
        <v>808</v>
      </c>
      <c r="H2394" s="5" t="s">
        <v>21</v>
      </c>
      <c r="I2394" s="5" t="s">
        <v>6258</v>
      </c>
      <c r="J2394" s="12" t="str">
        <f>HYPERLINK("https://www.boe.es/gazeta/dias/1802/08/13/pdfs/GMD-1802-66.pdf#page=12","Abrir facsímil")</f>
        <v>Abrir facsímil</v>
      </c>
      <c r="K2394" s="15" t="s">
        <v>23</v>
      </c>
    </row>
    <row r="2395" spans="1:11" ht="42" customHeight="1">
      <c r="A2395" s="4" t="s">
        <v>6259</v>
      </c>
      <c r="B2395" s="5" t="s">
        <v>6260</v>
      </c>
      <c r="C2395" s="5" t="s">
        <v>90</v>
      </c>
      <c r="D2395" s="5" t="s">
        <v>91</v>
      </c>
      <c r="E2395" s="5" t="s">
        <v>44</v>
      </c>
      <c r="F2395" s="9">
        <v>99</v>
      </c>
      <c r="G2395" s="9">
        <v>1222</v>
      </c>
      <c r="H2395" s="5" t="s">
        <v>21</v>
      </c>
      <c r="I2395" s="5" t="s">
        <v>6261</v>
      </c>
      <c r="J2395" s="12" t="str">
        <f>HYPERLINK("https://www.boe.es/gazeta/dias/1802/12/07/pdfs/GMD-1802-99.pdf#page=6","Abrir facsímil")</f>
        <v>Abrir facsímil</v>
      </c>
      <c r="K2395" s="15" t="s">
        <v>23</v>
      </c>
    </row>
    <row r="2396" spans="1:11" ht="42" customHeight="1">
      <c r="A2396" s="4" t="s">
        <v>6262</v>
      </c>
      <c r="B2396" s="5" t="s">
        <v>6263</v>
      </c>
      <c r="C2396" s="5" t="s">
        <v>29</v>
      </c>
      <c r="D2396" s="5" t="s">
        <v>30</v>
      </c>
      <c r="E2396" s="5" t="s">
        <v>128</v>
      </c>
      <c r="F2396" s="9">
        <v>9</v>
      </c>
      <c r="G2396" s="9">
        <v>90</v>
      </c>
      <c r="H2396" s="5" t="s">
        <v>21</v>
      </c>
      <c r="I2396" s="5" t="s">
        <v>6264</v>
      </c>
      <c r="J2396" s="12" t="str">
        <f>HYPERLINK("https://www.boe.es/gazeta/dias/1802/01/29/pdfs/GMD-1802-9.pdf#page=10","Abrir facsímil")</f>
        <v>Abrir facsímil</v>
      </c>
      <c r="K2396" s="15" t="s">
        <v>23</v>
      </c>
    </row>
    <row r="2397" spans="1:11" ht="42" customHeight="1">
      <c r="A2397" s="4" t="s">
        <v>6262</v>
      </c>
      <c r="B2397" s="5" t="s">
        <v>6263</v>
      </c>
      <c r="C2397" s="5" t="s">
        <v>42</v>
      </c>
      <c r="D2397" s="5" t="s">
        <v>43</v>
      </c>
      <c r="E2397" s="5" t="s">
        <v>44</v>
      </c>
      <c r="F2397" s="9">
        <v>99</v>
      </c>
      <c r="G2397" s="9" t="s">
        <v>262</v>
      </c>
      <c r="H2397" s="5" t="s">
        <v>21</v>
      </c>
      <c r="I2397" s="5" t="s">
        <v>6265</v>
      </c>
      <c r="J2397" s="12" t="str">
        <f>HYPERLINK("https://www.boe.es/gazeta/dias/1802/12/07/pdfs/GMD-D-1802-99.pdf#page=8","Abrir facsímil")</f>
        <v>Abrir facsímil</v>
      </c>
      <c r="K2397" s="15" t="s">
        <v>23</v>
      </c>
    </row>
    <row r="2398" spans="1:11" ht="42" customHeight="1">
      <c r="A2398" s="4" t="s">
        <v>6266</v>
      </c>
      <c r="B2398" s="5" t="s">
        <v>6267</v>
      </c>
      <c r="C2398" s="5" t="s">
        <v>90</v>
      </c>
      <c r="D2398" s="5" t="s">
        <v>91</v>
      </c>
      <c r="E2398" s="5" t="s">
        <v>900</v>
      </c>
      <c r="F2398" s="9">
        <v>16</v>
      </c>
      <c r="G2398" s="9">
        <v>170</v>
      </c>
      <c r="H2398" s="5" t="s">
        <v>21</v>
      </c>
      <c r="I2398" s="5" t="s">
        <v>6268</v>
      </c>
      <c r="J2398" s="12" t="str">
        <f>HYPERLINK("https://www.boe.es/gazeta/dias/1802/02/23/pdfs/GMD-1802-16.pdf#page=10","Abrir facsímil")</f>
        <v>Abrir facsímil</v>
      </c>
      <c r="K2398" s="15" t="s">
        <v>23</v>
      </c>
    </row>
    <row r="2399" spans="1:11" ht="42" customHeight="1">
      <c r="A2399" s="4" t="s">
        <v>6269</v>
      </c>
      <c r="B2399" s="5" t="s">
        <v>6270</v>
      </c>
      <c r="C2399" s="5" t="s">
        <v>18</v>
      </c>
      <c r="D2399" s="5" t="s">
        <v>19</v>
      </c>
      <c r="E2399" s="5" t="s">
        <v>20</v>
      </c>
      <c r="F2399" s="9">
        <v>84</v>
      </c>
      <c r="G2399" s="9">
        <v>1047</v>
      </c>
      <c r="H2399" s="5" t="s">
        <v>21</v>
      </c>
      <c r="I2399" s="5" t="s">
        <v>6271</v>
      </c>
      <c r="J2399" s="12" t="str">
        <f>HYPERLINK("https://www.boe.es/gazeta/dias/1802/10/15/pdfs/GMD-1802-84.pdf#page=15","Abrir facsímil")</f>
        <v>Abrir facsímil</v>
      </c>
      <c r="K2399" s="15" t="s">
        <v>23</v>
      </c>
    </row>
    <row r="2400" spans="1:11" ht="42" customHeight="1">
      <c r="A2400" s="4" t="s">
        <v>6272</v>
      </c>
      <c r="B2400" s="5" t="s">
        <v>6273</v>
      </c>
      <c r="C2400" s="5" t="s">
        <v>29</v>
      </c>
      <c r="D2400" s="5" t="s">
        <v>30</v>
      </c>
      <c r="E2400" s="5" t="s">
        <v>73</v>
      </c>
      <c r="F2400" s="9">
        <v>102</v>
      </c>
      <c r="G2400" s="9">
        <v>1254</v>
      </c>
      <c r="H2400" s="5" t="s">
        <v>21</v>
      </c>
      <c r="I2400" s="5" t="s">
        <v>6274</v>
      </c>
      <c r="J2400" s="12" t="str">
        <f>HYPERLINK("https://www.boe.es/gazeta/dias/1802/12/17/pdfs/GMD-1802-102.pdf#page=10","Abrir facsímil")</f>
        <v>Abrir facsímil</v>
      </c>
      <c r="K2400" s="15" t="s">
        <v>23</v>
      </c>
    </row>
    <row r="2401" spans="1:11" ht="42" customHeight="1">
      <c r="A2401" s="4" t="s">
        <v>6275</v>
      </c>
      <c r="B2401" s="5" t="s">
        <v>6276</v>
      </c>
      <c r="C2401" s="5" t="s">
        <v>18</v>
      </c>
      <c r="D2401" s="5" t="s">
        <v>19</v>
      </c>
      <c r="E2401" s="5" t="s">
        <v>49</v>
      </c>
      <c r="F2401" s="9">
        <v>83</v>
      </c>
      <c r="G2401" s="9">
        <v>1022</v>
      </c>
      <c r="H2401" s="5" t="s">
        <v>21</v>
      </c>
      <c r="I2401" s="5" t="s">
        <v>6277</v>
      </c>
      <c r="J2401" s="12" t="str">
        <f>HYPERLINK("https://www.boe.es/gazeta/dias/1802/10/12/pdfs/GMD-1802-83.pdf#page=10","Abrir facsímil")</f>
        <v>Abrir facsímil</v>
      </c>
      <c r="K2401" s="15" t="s">
        <v>23</v>
      </c>
    </row>
    <row r="2402" spans="1:11" ht="42" customHeight="1">
      <c r="A2402" s="4" t="s">
        <v>6278</v>
      </c>
      <c r="B2402" s="5" t="s">
        <v>6279</v>
      </c>
      <c r="C2402" s="5" t="s">
        <v>29</v>
      </c>
      <c r="D2402" s="5" t="s">
        <v>30</v>
      </c>
      <c r="E2402" s="5" t="s">
        <v>814</v>
      </c>
      <c r="F2402" s="9">
        <v>41</v>
      </c>
      <c r="G2402" s="9">
        <v>494</v>
      </c>
      <c r="H2402" s="5" t="s">
        <v>21</v>
      </c>
      <c r="I2402" s="5" t="s">
        <v>6280</v>
      </c>
      <c r="J2402" s="12" t="str">
        <f>HYPERLINK("https://www.boe.es/gazeta/dias/1802/05/21/pdfs/GMD-1802-41.pdf#page=10","Abrir facsímil")</f>
        <v>Abrir facsímil</v>
      </c>
      <c r="K2402" s="15" t="s">
        <v>23</v>
      </c>
    </row>
    <row r="2403" spans="1:11" ht="42" customHeight="1">
      <c r="A2403" s="4" t="s">
        <v>6281</v>
      </c>
      <c r="B2403" s="5" t="s">
        <v>6282</v>
      </c>
      <c r="C2403" s="5" t="s">
        <v>18</v>
      </c>
      <c r="D2403" s="5" t="s">
        <v>19</v>
      </c>
      <c r="E2403" s="5" t="s">
        <v>1749</v>
      </c>
      <c r="F2403" s="9">
        <v>60</v>
      </c>
      <c r="G2403" s="9">
        <v>728</v>
      </c>
      <c r="H2403" s="5" t="s">
        <v>21</v>
      </c>
      <c r="I2403" s="5" t="s">
        <v>6283</v>
      </c>
      <c r="J2403" s="12" t="str">
        <f>HYPERLINK("https://www.boe.es/gazeta/dias/1802/07/23/pdfs/GMD-1802-60.pdf#page=12","Abrir facsímil")</f>
        <v>Abrir facsímil</v>
      </c>
      <c r="K2403" s="15" t="s">
        <v>23</v>
      </c>
    </row>
    <row r="2404" spans="1:11" ht="42" customHeight="1">
      <c r="A2404" s="4" t="s">
        <v>6284</v>
      </c>
      <c r="B2404" s="5" t="s">
        <v>6285</v>
      </c>
      <c r="C2404" s="5" t="s">
        <v>18</v>
      </c>
      <c r="D2404" s="5" t="s">
        <v>19</v>
      </c>
      <c r="E2404" s="5" t="s">
        <v>20</v>
      </c>
      <c r="F2404" s="9">
        <v>84</v>
      </c>
      <c r="G2404" s="9">
        <v>1044</v>
      </c>
      <c r="H2404" s="5" t="s">
        <v>21</v>
      </c>
      <c r="I2404" s="5" t="s">
        <v>6286</v>
      </c>
      <c r="J2404" s="12" t="str">
        <f>HYPERLINK("https://www.boe.es/gazeta/dias/1802/10/15/pdfs/GMD-1802-84.pdf#page=12","Abrir facsímil")</f>
        <v>Abrir facsímil</v>
      </c>
      <c r="K2404" s="15" t="s">
        <v>23</v>
      </c>
    </row>
    <row r="2405" spans="1:11" ht="42" customHeight="1">
      <c r="A2405" s="4" t="s">
        <v>6287</v>
      </c>
      <c r="B2405" s="5" t="s">
        <v>6287</v>
      </c>
      <c r="C2405" s="5" t="s">
        <v>18</v>
      </c>
      <c r="D2405" s="5" t="s">
        <v>19</v>
      </c>
      <c r="E2405" s="5" t="s">
        <v>678</v>
      </c>
      <c r="F2405" s="9">
        <v>15</v>
      </c>
      <c r="G2405" s="9">
        <v>155</v>
      </c>
      <c r="H2405" s="5" t="s">
        <v>21</v>
      </c>
      <c r="I2405" s="5" t="s">
        <v>6288</v>
      </c>
      <c r="J2405" s="12" t="str">
        <f>HYPERLINK("https://www.boe.es/gazeta/dias/1802/02/19/pdfs/GMD-1802-15.pdf#page=7","Abrir facsímil")</f>
        <v>Abrir facsímil</v>
      </c>
      <c r="K2405" s="15" t="s">
        <v>23</v>
      </c>
    </row>
    <row r="2406" spans="1:11" ht="42" customHeight="1">
      <c r="A2406" s="4" t="s">
        <v>6289</v>
      </c>
      <c r="B2406" s="5" t="s">
        <v>6290</v>
      </c>
      <c r="C2406" s="5" t="s">
        <v>18</v>
      </c>
      <c r="D2406" s="5" t="s">
        <v>19</v>
      </c>
      <c r="E2406" s="5" t="s">
        <v>20</v>
      </c>
      <c r="F2406" s="9">
        <v>84</v>
      </c>
      <c r="G2406" s="9">
        <v>1041</v>
      </c>
      <c r="H2406" s="5" t="s">
        <v>21</v>
      </c>
      <c r="I2406" s="5" t="s">
        <v>6291</v>
      </c>
      <c r="J2406" s="12" t="str">
        <f>HYPERLINK("https://www.boe.es/gazeta/dias/1802/10/15/pdfs/GMD-1802-84.pdf#page=9","Abrir facsímil")</f>
        <v>Abrir facsímil</v>
      </c>
      <c r="K2406" s="15" t="s">
        <v>23</v>
      </c>
    </row>
    <row r="2407" spans="1:11" ht="42" customHeight="1">
      <c r="A2407" s="4" t="s">
        <v>6292</v>
      </c>
      <c r="B2407" s="5" t="s">
        <v>6293</v>
      </c>
      <c r="C2407" s="5" t="s">
        <v>29</v>
      </c>
      <c r="D2407" s="5" t="s">
        <v>30</v>
      </c>
      <c r="E2407" s="5" t="s">
        <v>764</v>
      </c>
      <c r="F2407" s="9">
        <v>69</v>
      </c>
      <c r="G2407" s="9">
        <v>850</v>
      </c>
      <c r="H2407" s="5" t="s">
        <v>21</v>
      </c>
      <c r="I2407" s="5" t="s">
        <v>6294</v>
      </c>
      <c r="J2407" s="12" t="str">
        <f>HYPERLINK("https://www.boe.es/gazeta/dias/1802/08/24/pdfs/GMD-1802-69.pdf#page=10","Abrir facsímil")</f>
        <v>Abrir facsímil</v>
      </c>
      <c r="K2407" s="15" t="s">
        <v>23</v>
      </c>
    </row>
    <row r="2408" spans="1:11" ht="42" customHeight="1">
      <c r="A2408" s="4" t="s">
        <v>6295</v>
      </c>
      <c r="B2408" s="5" t="s">
        <v>6296</v>
      </c>
      <c r="C2408" s="5" t="s">
        <v>18</v>
      </c>
      <c r="D2408" s="5" t="s">
        <v>19</v>
      </c>
      <c r="E2408" s="5" t="s">
        <v>20</v>
      </c>
      <c r="F2408" s="9">
        <v>84</v>
      </c>
      <c r="G2408" s="9">
        <v>1044</v>
      </c>
      <c r="H2408" s="5" t="s">
        <v>21</v>
      </c>
      <c r="I2408" s="5" t="s">
        <v>6297</v>
      </c>
      <c r="J2408" s="12" t="str">
        <f>HYPERLINK("https://www.boe.es/gazeta/dias/1802/10/15/pdfs/GMD-1802-84.pdf#page=12","Abrir facsímil")</f>
        <v>Abrir facsímil</v>
      </c>
      <c r="K2408" s="15" t="s">
        <v>23</v>
      </c>
    </row>
    <row r="2409" spans="1:11" ht="42" customHeight="1">
      <c r="A2409" s="4" t="s">
        <v>6298</v>
      </c>
      <c r="B2409" s="5" t="s">
        <v>6299</v>
      </c>
      <c r="C2409" s="5" t="s">
        <v>29</v>
      </c>
      <c r="D2409" s="5" t="s">
        <v>30</v>
      </c>
      <c r="E2409" s="5" t="s">
        <v>453</v>
      </c>
      <c r="F2409" s="9">
        <v>52</v>
      </c>
      <c r="G2409" s="9">
        <v>631</v>
      </c>
      <c r="H2409" s="5" t="s">
        <v>21</v>
      </c>
      <c r="I2409" s="5" t="s">
        <v>6300</v>
      </c>
      <c r="J2409" s="12" t="str">
        <f>HYPERLINK("https://www.boe.es/gazeta/dias/1802/06/29/pdfs/GMD-1802-52.pdf#page=7","Abrir facsímil")</f>
        <v>Abrir facsímil</v>
      </c>
      <c r="K2409" s="15" t="s">
        <v>23</v>
      </c>
    </row>
    <row r="2410" spans="1:11" ht="42" customHeight="1">
      <c r="A2410" s="4" t="s">
        <v>6301</v>
      </c>
      <c r="B2410" s="5" t="s">
        <v>6302</v>
      </c>
      <c r="C2410" s="5" t="s">
        <v>35</v>
      </c>
      <c r="D2410" s="5" t="s">
        <v>36</v>
      </c>
      <c r="E2410" s="5" t="s">
        <v>142</v>
      </c>
      <c r="F2410" s="9">
        <v>64</v>
      </c>
      <c r="G2410" s="9">
        <v>781</v>
      </c>
      <c r="H2410" s="5" t="s">
        <v>21</v>
      </c>
      <c r="I2410" s="5" t="s">
        <v>6303</v>
      </c>
      <c r="J2410" s="12" t="str">
        <f>HYPERLINK("https://www.boe.es/gazeta/dias/1802/08/06/pdfs/GMD-1802-64.pdf#page=9","Abrir facsímil")</f>
        <v>Abrir facsímil</v>
      </c>
      <c r="K2410" s="15" t="s">
        <v>23</v>
      </c>
    </row>
    <row r="2411" spans="1:11" ht="42" customHeight="1">
      <c r="A2411" s="4" t="s">
        <v>6304</v>
      </c>
      <c r="B2411" s="5" t="s">
        <v>6304</v>
      </c>
      <c r="C2411" s="5" t="s">
        <v>35</v>
      </c>
      <c r="D2411" s="5" t="s">
        <v>36</v>
      </c>
      <c r="E2411" s="5" t="s">
        <v>381</v>
      </c>
      <c r="F2411" s="9">
        <v>13</v>
      </c>
      <c r="G2411" s="9">
        <v>129</v>
      </c>
      <c r="H2411" s="5" t="s">
        <v>21</v>
      </c>
      <c r="I2411" s="5" t="s">
        <v>6305</v>
      </c>
      <c r="J2411" s="12" t="str">
        <f>HYPERLINK("https://www.boe.es/gazeta/dias/1802/02/12/pdfs/GMD-1802-13.pdf#page=5","Abrir facsímil")</f>
        <v>Abrir facsímil</v>
      </c>
      <c r="K2411" s="15" t="s">
        <v>23</v>
      </c>
    </row>
    <row r="2412" spans="1:11" ht="42" customHeight="1">
      <c r="A2412" s="4" t="s">
        <v>6306</v>
      </c>
      <c r="B2412" s="5" t="s">
        <v>6307</v>
      </c>
      <c r="C2412" s="5" t="s">
        <v>35</v>
      </c>
      <c r="D2412" s="5" t="s">
        <v>36</v>
      </c>
      <c r="E2412" s="5" t="s">
        <v>31</v>
      </c>
      <c r="F2412" s="9">
        <v>27</v>
      </c>
      <c r="G2412" s="9">
        <v>313</v>
      </c>
      <c r="H2412" s="5" t="s">
        <v>21</v>
      </c>
      <c r="I2412" s="5" t="s">
        <v>6308</v>
      </c>
      <c r="J2412" s="12" t="str">
        <f>HYPERLINK("https://www.boe.es/gazeta/dias/1802/04/02/pdfs/GMD-1802-27.pdf#page=9","Abrir facsímil")</f>
        <v>Abrir facsímil</v>
      </c>
      <c r="K2412" s="15" t="s">
        <v>23</v>
      </c>
    </row>
    <row r="2413" spans="1:11" ht="42" customHeight="1">
      <c r="A2413" s="4" t="s">
        <v>6309</v>
      </c>
      <c r="B2413" s="5" t="s">
        <v>6310</v>
      </c>
      <c r="C2413" s="5" t="s">
        <v>160</v>
      </c>
      <c r="D2413" s="5" t="s">
        <v>91</v>
      </c>
      <c r="E2413" s="5" t="s">
        <v>481</v>
      </c>
      <c r="F2413" s="9">
        <v>79</v>
      </c>
      <c r="G2413" s="9">
        <v>975</v>
      </c>
      <c r="H2413" s="5" t="s">
        <v>21</v>
      </c>
      <c r="I2413" s="5" t="s">
        <v>6311</v>
      </c>
      <c r="J2413" s="12" t="str">
        <f>HYPERLINK("https://www.boe.es/gazeta/dias/1802/09/28/pdfs/GMD-1802-79.pdf#page=11","Abrir facsímil")</f>
        <v>Abrir facsímil</v>
      </c>
      <c r="K2413" s="15" t="s">
        <v>23</v>
      </c>
    </row>
    <row r="2414" spans="1:11" ht="42" customHeight="1">
      <c r="A2414" s="4" t="s">
        <v>6312</v>
      </c>
      <c r="B2414" s="5" t="s">
        <v>6312</v>
      </c>
      <c r="C2414" s="5" t="s">
        <v>35</v>
      </c>
      <c r="D2414" s="5" t="s">
        <v>36</v>
      </c>
      <c r="E2414" s="5" t="s">
        <v>921</v>
      </c>
      <c r="F2414" s="9">
        <v>50</v>
      </c>
      <c r="G2414" s="9">
        <v>605</v>
      </c>
      <c r="H2414" s="5" t="s">
        <v>21</v>
      </c>
      <c r="I2414" s="5" t="s">
        <v>6313</v>
      </c>
      <c r="J2414" s="12" t="str">
        <f>HYPERLINK("https://www.boe.es/gazeta/dias/1802/06/22/pdfs/GMD-1802-50.pdf#page=5","Abrir facsímil")</f>
        <v>Abrir facsímil</v>
      </c>
      <c r="K2414" s="15" t="s">
        <v>23</v>
      </c>
    </row>
    <row r="2415" spans="1:11" ht="42" customHeight="1">
      <c r="A2415" s="4" t="s">
        <v>6314</v>
      </c>
      <c r="B2415" s="5" t="s">
        <v>6314</v>
      </c>
      <c r="C2415" s="5" t="s">
        <v>35</v>
      </c>
      <c r="D2415" s="5" t="s">
        <v>36</v>
      </c>
      <c r="E2415" s="5" t="s">
        <v>172</v>
      </c>
      <c r="F2415" s="9">
        <v>35</v>
      </c>
      <c r="G2415" s="9">
        <v>407</v>
      </c>
      <c r="H2415" s="5" t="s">
        <v>21</v>
      </c>
      <c r="I2415" s="5" t="s">
        <v>6315</v>
      </c>
      <c r="J2415" s="12" t="str">
        <f>HYPERLINK("https://www.boe.es/gazeta/dias/1802/04/30/pdfs/GMD-1802-35.pdf#page=7","Abrir facsímil")</f>
        <v>Abrir facsímil</v>
      </c>
      <c r="K2415" s="15" t="s">
        <v>23</v>
      </c>
    </row>
    <row r="2416" spans="1:11" ht="42" customHeight="1">
      <c r="A2416" s="4" t="s">
        <v>6316</v>
      </c>
      <c r="B2416" s="5" t="s">
        <v>6317</v>
      </c>
      <c r="C2416" s="5" t="s">
        <v>18</v>
      </c>
      <c r="D2416" s="5" t="s">
        <v>19</v>
      </c>
      <c r="E2416" s="5" t="s">
        <v>1051</v>
      </c>
      <c r="F2416" s="9">
        <v>43</v>
      </c>
      <c r="G2416" s="9">
        <v>517</v>
      </c>
      <c r="H2416" s="5" t="s">
        <v>21</v>
      </c>
      <c r="I2416" s="5" t="s">
        <v>6318</v>
      </c>
      <c r="J2416" s="12" t="str">
        <f>HYPERLINK("https://www.boe.es/gazeta/dias/1802/05/28/pdfs/GMD-1802-43.pdf#page=9","Abrir facsímil")</f>
        <v>Abrir facsímil</v>
      </c>
      <c r="K2416" s="15" t="s">
        <v>23</v>
      </c>
    </row>
    <row r="2417" spans="1:11" ht="42" customHeight="1">
      <c r="A2417" s="4" t="s">
        <v>6319</v>
      </c>
      <c r="B2417" s="5" t="s">
        <v>6319</v>
      </c>
      <c r="C2417" s="5" t="s">
        <v>35</v>
      </c>
      <c r="D2417" s="5" t="s">
        <v>36</v>
      </c>
      <c r="E2417" s="5" t="s">
        <v>1051</v>
      </c>
      <c r="F2417" s="9">
        <v>43</v>
      </c>
      <c r="G2417" s="9">
        <v>511</v>
      </c>
      <c r="H2417" s="5" t="s">
        <v>21</v>
      </c>
      <c r="I2417" s="5" t="s">
        <v>6320</v>
      </c>
      <c r="J2417" s="12" t="str">
        <f>HYPERLINK("https://www.boe.es/gazeta/dias/1802/05/28/pdfs/GMD-1802-43.pdf#page=3","Abrir facsímil")</f>
        <v>Abrir facsímil</v>
      </c>
      <c r="K2417" s="15" t="s">
        <v>23</v>
      </c>
    </row>
    <row r="2418" spans="1:11" ht="42" customHeight="1">
      <c r="A2418" s="4" t="s">
        <v>6321</v>
      </c>
      <c r="B2418" s="5" t="s">
        <v>6321</v>
      </c>
      <c r="C2418" s="5" t="s">
        <v>18</v>
      </c>
      <c r="D2418" s="5" t="s">
        <v>19</v>
      </c>
      <c r="E2418" s="5" t="s">
        <v>20</v>
      </c>
      <c r="F2418" s="9">
        <v>84</v>
      </c>
      <c r="G2418" s="9">
        <v>1045</v>
      </c>
      <c r="H2418" s="5" t="s">
        <v>21</v>
      </c>
      <c r="I2418" s="5" t="s">
        <v>6322</v>
      </c>
      <c r="J2418" s="12" t="str">
        <f>HYPERLINK("https://www.boe.es/gazeta/dias/1802/10/15/pdfs/GMD-1802-84.pdf#page=13","Abrir facsímil")</f>
        <v>Abrir facsímil</v>
      </c>
      <c r="K2418" s="15" t="s">
        <v>23</v>
      </c>
    </row>
    <row r="2419" spans="1:11" ht="42" customHeight="1">
      <c r="A2419" s="4" t="s">
        <v>6323</v>
      </c>
      <c r="B2419" s="5" t="s">
        <v>6323</v>
      </c>
      <c r="C2419" s="5" t="s">
        <v>29</v>
      </c>
      <c r="D2419" s="5" t="s">
        <v>30</v>
      </c>
      <c r="E2419" s="5" t="s">
        <v>1588</v>
      </c>
      <c r="F2419" s="9">
        <v>18</v>
      </c>
      <c r="G2419" s="9">
        <v>193</v>
      </c>
      <c r="H2419" s="5" t="s">
        <v>21</v>
      </c>
      <c r="I2419" s="5" t="s">
        <v>6324</v>
      </c>
      <c r="J2419" s="12" t="str">
        <f>HYPERLINK("https://www.boe.es/gazeta/dias/1802/03/02/pdfs/GMD-1802-18.pdf#page=5","Abrir facsímil")</f>
        <v>Abrir facsímil</v>
      </c>
      <c r="K2419" s="15" t="s">
        <v>23</v>
      </c>
    </row>
    <row r="2420" spans="1:11" ht="42" customHeight="1">
      <c r="A2420" s="4" t="s">
        <v>6325</v>
      </c>
      <c r="B2420" s="5" t="s">
        <v>6326</v>
      </c>
      <c r="C2420" s="5" t="s">
        <v>35</v>
      </c>
      <c r="D2420" s="5" t="s">
        <v>36</v>
      </c>
      <c r="E2420" s="5" t="s">
        <v>706</v>
      </c>
      <c r="F2420" s="9">
        <v>80</v>
      </c>
      <c r="G2420" s="9">
        <v>981</v>
      </c>
      <c r="H2420" s="5" t="s">
        <v>21</v>
      </c>
      <c r="I2420" s="5" t="s">
        <v>6327</v>
      </c>
      <c r="J2420" s="12" t="str">
        <f>HYPERLINK("https://www.boe.es/gazeta/dias/1802/10/01/pdfs/GMD-1802-80.pdf#page=5","Abrir facsímil")</f>
        <v>Abrir facsímil</v>
      </c>
      <c r="K2420" s="15" t="s">
        <v>23</v>
      </c>
    </row>
    <row r="2421" spans="1:11" ht="42" customHeight="1">
      <c r="A2421" s="4" t="s">
        <v>6328</v>
      </c>
      <c r="B2421" s="5" t="s">
        <v>6329</v>
      </c>
      <c r="C2421" s="5" t="s">
        <v>29</v>
      </c>
      <c r="D2421" s="5" t="s">
        <v>30</v>
      </c>
      <c r="E2421" s="5" t="s">
        <v>165</v>
      </c>
      <c r="F2421" s="9">
        <v>3</v>
      </c>
      <c r="G2421" s="9">
        <v>25</v>
      </c>
      <c r="H2421" s="5" t="s">
        <v>21</v>
      </c>
      <c r="I2421" s="5" t="s">
        <v>6330</v>
      </c>
      <c r="J2421" s="12" t="str">
        <f>HYPERLINK("https://www.boe.es/gazeta/dias/1802/01/08/pdfs/GMD-1802-3.pdf#page=5","Abrir facsímil")</f>
        <v>Abrir facsímil</v>
      </c>
      <c r="K2421" s="15" t="s">
        <v>23</v>
      </c>
    </row>
    <row r="2422" spans="1:11" ht="42" customHeight="1">
      <c r="A2422" s="4" t="s">
        <v>6331</v>
      </c>
      <c r="B2422" s="5" t="s">
        <v>6332</v>
      </c>
      <c r="C2422" s="5" t="s">
        <v>35</v>
      </c>
      <c r="D2422" s="5" t="s">
        <v>36</v>
      </c>
      <c r="E2422" s="5" t="s">
        <v>826</v>
      </c>
      <c r="F2422" s="9">
        <v>67</v>
      </c>
      <c r="G2422" s="9">
        <v>814</v>
      </c>
      <c r="H2422" s="5" t="s">
        <v>21</v>
      </c>
      <c r="I2422" s="5" t="s">
        <v>6333</v>
      </c>
      <c r="J2422" s="12" t="str">
        <f>HYPERLINK("https://www.boe.es/gazeta/dias/1802/08/17/pdfs/GMD-1802-67.pdf#page=2","Abrir facsímil")</f>
        <v>Abrir facsímil</v>
      </c>
      <c r="K2422" s="15" t="s">
        <v>23</v>
      </c>
    </row>
    <row r="2423" spans="1:11" ht="42" customHeight="1">
      <c r="A2423" s="4" t="s">
        <v>6331</v>
      </c>
      <c r="B2423" s="5" t="s">
        <v>6332</v>
      </c>
      <c r="C2423" s="5" t="s">
        <v>35</v>
      </c>
      <c r="D2423" s="5" t="s">
        <v>36</v>
      </c>
      <c r="E2423" s="5" t="s">
        <v>443</v>
      </c>
      <c r="F2423" s="9">
        <v>78</v>
      </c>
      <c r="G2423" s="9">
        <v>955</v>
      </c>
      <c r="H2423" s="5" t="s">
        <v>21</v>
      </c>
      <c r="I2423" s="5" t="s">
        <v>6334</v>
      </c>
      <c r="J2423" s="12" t="str">
        <f>HYPERLINK("https://www.boe.es/gazeta/dias/1802/09/24/pdfs/GMD-1802-78.pdf#page=3","Abrir facsímil")</f>
        <v>Abrir facsímil</v>
      </c>
      <c r="K2423" s="15" t="s">
        <v>23</v>
      </c>
    </row>
    <row r="2424" spans="1:11" ht="42" customHeight="1">
      <c r="A2424" s="4" t="s">
        <v>6331</v>
      </c>
      <c r="B2424" s="5" t="s">
        <v>6332</v>
      </c>
      <c r="C2424" s="5" t="s">
        <v>90</v>
      </c>
      <c r="D2424" s="5" t="s">
        <v>91</v>
      </c>
      <c r="E2424" s="5" t="s">
        <v>706</v>
      </c>
      <c r="F2424" s="9">
        <v>80</v>
      </c>
      <c r="G2424" s="9">
        <v>981</v>
      </c>
      <c r="H2424" s="5" t="s">
        <v>21</v>
      </c>
      <c r="I2424" s="5" t="s">
        <v>6335</v>
      </c>
      <c r="J2424" s="12" t="str">
        <f>HYPERLINK("https://www.boe.es/gazeta/dias/1802/10/01/pdfs/GMD-1802-80.pdf#page=5","Abrir facsímil")</f>
        <v>Abrir facsímil</v>
      </c>
      <c r="K2424" s="15" t="s">
        <v>23</v>
      </c>
    </row>
    <row r="2425" spans="1:11" ht="42" customHeight="1">
      <c r="A2425" s="4" t="s">
        <v>6331</v>
      </c>
      <c r="B2425" s="5" t="s">
        <v>6332</v>
      </c>
      <c r="C2425" s="5" t="s">
        <v>35</v>
      </c>
      <c r="D2425" s="5" t="s">
        <v>36</v>
      </c>
      <c r="E2425" s="5" t="s">
        <v>114</v>
      </c>
      <c r="F2425" s="9">
        <v>82</v>
      </c>
      <c r="G2425" s="9">
        <v>1004</v>
      </c>
      <c r="H2425" s="5" t="s">
        <v>21</v>
      </c>
      <c r="I2425" s="5" t="s">
        <v>6336</v>
      </c>
      <c r="J2425" s="12" t="str">
        <f>HYPERLINK("https://www.boe.es/gazeta/dias/1802/10/08/pdfs/GMD-1802-82.pdf#page=4","Abrir facsímil")</f>
        <v>Abrir facsímil</v>
      </c>
      <c r="K2425" s="15" t="s">
        <v>23</v>
      </c>
    </row>
    <row r="2426" spans="1:11" ht="42" customHeight="1">
      <c r="A2426" s="4" t="s">
        <v>6331</v>
      </c>
      <c r="B2426" s="5" t="s">
        <v>6332</v>
      </c>
      <c r="C2426" s="5" t="s">
        <v>35</v>
      </c>
      <c r="D2426" s="5" t="s">
        <v>36</v>
      </c>
      <c r="E2426" s="5" t="s">
        <v>114</v>
      </c>
      <c r="F2426" s="9">
        <v>82</v>
      </c>
      <c r="G2426" s="9">
        <v>1005</v>
      </c>
      <c r="H2426" s="5" t="s">
        <v>21</v>
      </c>
      <c r="I2426" s="5" t="s">
        <v>6337</v>
      </c>
      <c r="J2426" s="12" t="str">
        <f>HYPERLINK("https://www.boe.es/gazeta/dias/1802/10/08/pdfs/GMD-1802-82.pdf#page=5","Abrir facsímil")</f>
        <v>Abrir facsímil</v>
      </c>
      <c r="K2426" s="15" t="s">
        <v>23</v>
      </c>
    </row>
    <row r="2427" spans="1:11" ht="42" customHeight="1">
      <c r="A2427" s="4" t="s">
        <v>6338</v>
      </c>
      <c r="B2427" s="5" t="s">
        <v>6339</v>
      </c>
      <c r="C2427" s="5" t="s">
        <v>90</v>
      </c>
      <c r="D2427" s="5" t="s">
        <v>91</v>
      </c>
      <c r="E2427" s="5" t="s">
        <v>1185</v>
      </c>
      <c r="F2427" s="9">
        <v>93</v>
      </c>
      <c r="G2427" s="9">
        <v>1147</v>
      </c>
      <c r="H2427" s="5" t="s">
        <v>21</v>
      </c>
      <c r="I2427" s="5" t="s">
        <v>6340</v>
      </c>
      <c r="J2427" s="12" t="str">
        <f>HYPERLINK("https://www.boe.es/gazeta/dias/1802/11/16/pdfs/GMD-1802-93.pdf#page=7","Abrir facsímil")</f>
        <v>Abrir facsímil</v>
      </c>
      <c r="K2427" s="15" t="s">
        <v>23</v>
      </c>
    </row>
    <row r="2428" spans="1:11" ht="42" customHeight="1">
      <c r="A2428" s="4" t="s">
        <v>6341</v>
      </c>
      <c r="B2428" s="5" t="s">
        <v>6342</v>
      </c>
      <c r="C2428" s="5" t="s">
        <v>18</v>
      </c>
      <c r="D2428" s="5" t="s">
        <v>19</v>
      </c>
      <c r="E2428" s="5" t="s">
        <v>152</v>
      </c>
      <c r="F2428" s="9">
        <v>25</v>
      </c>
      <c r="G2428" s="9">
        <v>283</v>
      </c>
      <c r="H2428" s="5" t="s">
        <v>21</v>
      </c>
      <c r="I2428" s="5" t="s">
        <v>6343</v>
      </c>
      <c r="J2428" s="12" t="str">
        <f>HYPERLINK("https://www.boe.es/gazeta/dias/1802/03/26/pdfs/GMD-1802-25.pdf#page=7","Abrir facsímil")</f>
        <v>Abrir facsímil</v>
      </c>
      <c r="K2428" s="15" t="s">
        <v>23</v>
      </c>
    </row>
    <row r="2429" spans="1:11" ht="42" customHeight="1">
      <c r="A2429" s="4" t="s">
        <v>6344</v>
      </c>
      <c r="B2429" s="5" t="s">
        <v>6344</v>
      </c>
      <c r="C2429" s="5" t="s">
        <v>55</v>
      </c>
      <c r="D2429" s="5" t="s">
        <v>56</v>
      </c>
      <c r="E2429" s="5" t="s">
        <v>1113</v>
      </c>
      <c r="F2429" s="9">
        <v>6</v>
      </c>
      <c r="G2429" s="9">
        <v>60</v>
      </c>
      <c r="H2429" s="5" t="s">
        <v>21</v>
      </c>
      <c r="I2429" s="5" t="s">
        <v>6345</v>
      </c>
      <c r="J2429" s="12" t="str">
        <f>HYPERLINK("https://www.boe.es/gazeta/dias/1802/01/19/pdfs/GMD-1802-6.pdf#page=8","Abrir facsímil")</f>
        <v>Abrir facsímil</v>
      </c>
      <c r="K2429" s="15" t="s">
        <v>23</v>
      </c>
    </row>
    <row r="2430" spans="1:11" ht="42" customHeight="1">
      <c r="A2430" s="4" t="s">
        <v>6346</v>
      </c>
      <c r="B2430" s="5" t="s">
        <v>6347</v>
      </c>
      <c r="C2430" s="5" t="s">
        <v>18</v>
      </c>
      <c r="D2430" s="5" t="s">
        <v>19</v>
      </c>
      <c r="E2430" s="5" t="s">
        <v>670</v>
      </c>
      <c r="F2430" s="9">
        <v>40</v>
      </c>
      <c r="G2430" s="9">
        <v>478</v>
      </c>
      <c r="H2430" s="5" t="s">
        <v>21</v>
      </c>
      <c r="I2430" s="5" t="s">
        <v>6348</v>
      </c>
      <c r="J2430" s="12" t="str">
        <f>HYPERLINK("https://www.boe.es/gazeta/dias/1802/05/18/pdfs/GMD-1802-40.pdf#page=6","Abrir facsímil")</f>
        <v>Abrir facsímil</v>
      </c>
      <c r="K2430" s="15" t="s">
        <v>23</v>
      </c>
    </row>
    <row r="2431" spans="1:11" ht="42" customHeight="1">
      <c r="A2431" s="4" t="s">
        <v>6346</v>
      </c>
      <c r="B2431" s="5" t="s">
        <v>6347</v>
      </c>
      <c r="C2431" s="5" t="s">
        <v>35</v>
      </c>
      <c r="D2431" s="5" t="s">
        <v>36</v>
      </c>
      <c r="E2431" s="5" t="s">
        <v>188</v>
      </c>
      <c r="F2431" s="9">
        <v>49</v>
      </c>
      <c r="G2431" s="9">
        <v>595</v>
      </c>
      <c r="H2431" s="5" t="s">
        <v>21</v>
      </c>
      <c r="I2431" s="5" t="s">
        <v>6349</v>
      </c>
      <c r="J2431" s="12" t="str">
        <f>HYPERLINK("https://www.boe.es/gazeta/dias/1802/06/18/pdfs/GMD-1802-49.pdf#page=7","Abrir facsímil")</f>
        <v>Abrir facsímil</v>
      </c>
      <c r="K2431" s="15" t="s">
        <v>23</v>
      </c>
    </row>
    <row r="2432" spans="1:11" ht="42" customHeight="1">
      <c r="A2432" s="4" t="s">
        <v>6350</v>
      </c>
      <c r="B2432" s="5" t="s">
        <v>6351</v>
      </c>
      <c r="C2432" s="5" t="s">
        <v>35</v>
      </c>
      <c r="D2432" s="5" t="s">
        <v>36</v>
      </c>
      <c r="E2432" s="5" t="s">
        <v>339</v>
      </c>
      <c r="F2432" s="9">
        <v>39</v>
      </c>
      <c r="G2432" s="9">
        <v>465</v>
      </c>
      <c r="H2432" s="5" t="s">
        <v>21</v>
      </c>
      <c r="I2432" s="5" t="s">
        <v>6352</v>
      </c>
      <c r="J2432" s="12" t="str">
        <f>HYPERLINK("https://www.boe.es/gazeta/dias/1802/05/14/pdfs/GMD-1802-39.pdf#page=9","Abrir facsímil")</f>
        <v>Abrir facsímil</v>
      </c>
      <c r="K2432" s="15" t="s">
        <v>23</v>
      </c>
    </row>
    <row r="2433" spans="1:11" ht="42" customHeight="1">
      <c r="A2433" s="4" t="s">
        <v>6350</v>
      </c>
      <c r="B2433" s="5" t="s">
        <v>6351</v>
      </c>
      <c r="C2433" s="5" t="s">
        <v>18</v>
      </c>
      <c r="D2433" s="5" t="s">
        <v>19</v>
      </c>
      <c r="E2433" s="5" t="s">
        <v>670</v>
      </c>
      <c r="F2433" s="9">
        <v>40</v>
      </c>
      <c r="G2433" s="9">
        <v>478</v>
      </c>
      <c r="H2433" s="5" t="s">
        <v>21</v>
      </c>
      <c r="I2433" s="5" t="s">
        <v>6353</v>
      </c>
      <c r="J2433" s="12" t="str">
        <f>HYPERLINK("https://www.boe.es/gazeta/dias/1802/05/18/pdfs/GMD-1802-40.pdf#page=6","Abrir facsímil")</f>
        <v>Abrir facsímil</v>
      </c>
      <c r="K2433" s="15" t="s">
        <v>23</v>
      </c>
    </row>
    <row r="2434" spans="1:11" ht="42" customHeight="1">
      <c r="A2434" s="4" t="s">
        <v>6350</v>
      </c>
      <c r="B2434" s="5" t="s">
        <v>6351</v>
      </c>
      <c r="C2434" s="5" t="s">
        <v>29</v>
      </c>
      <c r="D2434" s="5" t="s">
        <v>30</v>
      </c>
      <c r="E2434" s="5" t="s">
        <v>530</v>
      </c>
      <c r="F2434" s="9">
        <v>48</v>
      </c>
      <c r="G2434" s="9">
        <v>583</v>
      </c>
      <c r="H2434" s="5" t="s">
        <v>21</v>
      </c>
      <c r="I2434" s="5" t="s">
        <v>6354</v>
      </c>
      <c r="J2434" s="12" t="str">
        <f>HYPERLINK("https://www.boe.es/gazeta/dias/1802/06/15/pdfs/GMD-1802-48.pdf#page=7","Abrir facsímil")</f>
        <v>Abrir facsímil</v>
      </c>
      <c r="K2434" s="15" t="s">
        <v>23</v>
      </c>
    </row>
    <row r="2435" spans="1:11" ht="42" customHeight="1">
      <c r="A2435" s="4" t="s">
        <v>6350</v>
      </c>
      <c r="B2435" s="5" t="s">
        <v>6351</v>
      </c>
      <c r="C2435" s="5" t="s">
        <v>35</v>
      </c>
      <c r="D2435" s="5" t="s">
        <v>36</v>
      </c>
      <c r="E2435" s="5" t="s">
        <v>921</v>
      </c>
      <c r="F2435" s="9">
        <v>50</v>
      </c>
      <c r="G2435" s="9">
        <v>607</v>
      </c>
      <c r="H2435" s="5" t="s">
        <v>21</v>
      </c>
      <c r="I2435" s="5" t="s">
        <v>6355</v>
      </c>
      <c r="J2435" s="12" t="str">
        <f>HYPERLINK("https://www.boe.es/gazeta/dias/1802/06/22/pdfs/GMD-1802-50.pdf#page=7","Abrir facsímil")</f>
        <v>Abrir facsímil</v>
      </c>
      <c r="K2435" s="15" t="s">
        <v>23</v>
      </c>
    </row>
    <row r="2436" spans="1:11" ht="42" customHeight="1">
      <c r="A2436" s="4" t="s">
        <v>6356</v>
      </c>
      <c r="B2436" s="5" t="s">
        <v>6356</v>
      </c>
      <c r="C2436" s="5" t="s">
        <v>35</v>
      </c>
      <c r="D2436" s="5" t="s">
        <v>36</v>
      </c>
      <c r="E2436" s="5" t="s">
        <v>436</v>
      </c>
      <c r="F2436" s="9">
        <v>58</v>
      </c>
      <c r="G2436" s="9">
        <v>694</v>
      </c>
      <c r="H2436" s="5" t="s">
        <v>21</v>
      </c>
      <c r="I2436" s="5" t="s">
        <v>6357</v>
      </c>
      <c r="J2436" s="12" t="str">
        <f>HYPERLINK("https://www.boe.es/gazeta/dias/1802/07/20/pdfs/GMD-1802-58.pdf#page=2","Abrir facsímil")</f>
        <v>Abrir facsímil</v>
      </c>
      <c r="K2436" s="15" t="s">
        <v>23</v>
      </c>
    </row>
    <row r="2437" spans="1:11" ht="42" customHeight="1">
      <c r="A2437" s="4" t="s">
        <v>6358</v>
      </c>
      <c r="B2437" s="5" t="s">
        <v>6358</v>
      </c>
      <c r="C2437" s="5" t="s">
        <v>18</v>
      </c>
      <c r="D2437" s="5" t="s">
        <v>19</v>
      </c>
      <c r="E2437" s="5" t="s">
        <v>481</v>
      </c>
      <c r="F2437" s="9">
        <v>79</v>
      </c>
      <c r="G2437" s="9">
        <v>976</v>
      </c>
      <c r="H2437" s="5" t="s">
        <v>21</v>
      </c>
      <c r="I2437" s="5" t="s">
        <v>6359</v>
      </c>
      <c r="J2437" s="12" t="str">
        <f>HYPERLINK("https://www.boe.es/gazeta/dias/1802/09/28/pdfs/GMD-1802-79.pdf#page=12","Abrir facsímil")</f>
        <v>Abrir facsímil</v>
      </c>
      <c r="K2437" s="15" t="s">
        <v>23</v>
      </c>
    </row>
    <row r="2438" spans="1:11" ht="42" customHeight="1">
      <c r="A2438" s="4" t="s">
        <v>6360</v>
      </c>
      <c r="B2438" s="5" t="s">
        <v>6361</v>
      </c>
      <c r="C2438" s="5" t="s">
        <v>18</v>
      </c>
      <c r="D2438" s="5" t="s">
        <v>19</v>
      </c>
      <c r="E2438" s="5" t="s">
        <v>20</v>
      </c>
      <c r="F2438" s="9">
        <v>84</v>
      </c>
      <c r="G2438" s="9">
        <v>1040</v>
      </c>
      <c r="H2438" s="5" t="s">
        <v>21</v>
      </c>
      <c r="I2438" s="5" t="s">
        <v>6362</v>
      </c>
      <c r="J2438" s="12" t="str">
        <f>HYPERLINK("https://www.boe.es/gazeta/dias/1802/10/15/pdfs/GMD-1802-84.pdf#page=8","Abrir facsímil")</f>
        <v>Abrir facsímil</v>
      </c>
      <c r="K2438" s="15" t="s">
        <v>23</v>
      </c>
    </row>
    <row r="2439" spans="1:11" ht="42" customHeight="1">
      <c r="A2439" s="4" t="s">
        <v>6363</v>
      </c>
      <c r="B2439" s="5" t="s">
        <v>6364</v>
      </c>
      <c r="C2439" s="5" t="s">
        <v>18</v>
      </c>
      <c r="D2439" s="5" t="s">
        <v>19</v>
      </c>
      <c r="E2439" s="5" t="s">
        <v>49</v>
      </c>
      <c r="F2439" s="9">
        <v>83</v>
      </c>
      <c r="G2439" s="9">
        <v>1023</v>
      </c>
      <c r="H2439" s="5" t="s">
        <v>21</v>
      </c>
      <c r="I2439" s="5" t="s">
        <v>6365</v>
      </c>
      <c r="J2439" s="12" t="str">
        <f>HYPERLINK("https://www.boe.es/gazeta/dias/1802/10/12/pdfs/GMD-1802-83.pdf#page=11","Abrir facsímil")</f>
        <v>Abrir facsímil</v>
      </c>
      <c r="K2439" s="15" t="s">
        <v>23</v>
      </c>
    </row>
    <row r="2440" spans="1:11" ht="42" customHeight="1">
      <c r="A2440" s="4" t="s">
        <v>6366</v>
      </c>
      <c r="B2440" s="5" t="s">
        <v>6366</v>
      </c>
      <c r="C2440" s="5" t="s">
        <v>18</v>
      </c>
      <c r="D2440" s="5" t="s">
        <v>19</v>
      </c>
      <c r="E2440" s="5" t="s">
        <v>439</v>
      </c>
      <c r="F2440" s="9">
        <v>76</v>
      </c>
      <c r="G2440" s="9">
        <v>938</v>
      </c>
      <c r="H2440" s="5" t="s">
        <v>21</v>
      </c>
      <c r="I2440" s="5" t="s">
        <v>6367</v>
      </c>
      <c r="J2440" s="12" t="str">
        <f>HYPERLINK("https://www.boe.es/gazeta/dias/1802/09/17/pdfs/GMD-1802-76.pdf#page=10","Abrir facsímil")</f>
        <v>Abrir facsímil</v>
      </c>
      <c r="K2440" s="15" t="s">
        <v>23</v>
      </c>
    </row>
    <row r="2441" spans="1:11" ht="42" customHeight="1">
      <c r="A2441" s="4" t="s">
        <v>6368</v>
      </c>
      <c r="B2441" s="5" t="s">
        <v>6369</v>
      </c>
      <c r="C2441" s="5" t="s">
        <v>29</v>
      </c>
      <c r="D2441" s="5" t="s">
        <v>30</v>
      </c>
      <c r="E2441" s="5" t="s">
        <v>73</v>
      </c>
      <c r="F2441" s="9">
        <v>102</v>
      </c>
      <c r="G2441" s="9">
        <v>1249</v>
      </c>
      <c r="H2441" s="5" t="s">
        <v>21</v>
      </c>
      <c r="I2441" s="5" t="s">
        <v>6370</v>
      </c>
      <c r="J2441" s="12" t="str">
        <f>HYPERLINK("https://www.boe.es/gazeta/dias/1802/12/17/pdfs/GMD-1802-102.pdf#page=5","Abrir facsímil")</f>
        <v>Abrir facsímil</v>
      </c>
      <c r="K2441" s="15" t="s">
        <v>23</v>
      </c>
    </row>
    <row r="2442" spans="1:11" ht="42" customHeight="1">
      <c r="A2442" s="4" t="s">
        <v>6371</v>
      </c>
      <c r="B2442" s="5" t="s">
        <v>6371</v>
      </c>
      <c r="C2442" s="5" t="s">
        <v>29</v>
      </c>
      <c r="D2442" s="5" t="s">
        <v>30</v>
      </c>
      <c r="E2442" s="5" t="s">
        <v>73</v>
      </c>
      <c r="F2442" s="9">
        <v>102</v>
      </c>
      <c r="G2442" s="9">
        <v>1249</v>
      </c>
      <c r="H2442" s="5" t="s">
        <v>21</v>
      </c>
      <c r="I2442" s="5" t="s">
        <v>6372</v>
      </c>
      <c r="J2442" s="12" t="str">
        <f>HYPERLINK("https://www.boe.es/gazeta/dias/1802/12/17/pdfs/GMD-1802-102.pdf#page=5","Abrir facsímil")</f>
        <v>Abrir facsímil</v>
      </c>
      <c r="K2442" s="15" t="s">
        <v>23</v>
      </c>
    </row>
    <row r="2443" spans="1:11" ht="42" customHeight="1">
      <c r="A2443" s="4" t="s">
        <v>6373</v>
      </c>
      <c r="B2443" s="5" t="s">
        <v>6374</v>
      </c>
      <c r="C2443" s="5" t="s">
        <v>35</v>
      </c>
      <c r="D2443" s="5" t="s">
        <v>36</v>
      </c>
      <c r="E2443" s="5" t="s">
        <v>75</v>
      </c>
      <c r="F2443" s="9">
        <v>103</v>
      </c>
      <c r="G2443" s="9">
        <v>1260</v>
      </c>
      <c r="H2443" s="5" t="s">
        <v>21</v>
      </c>
      <c r="I2443" s="5" t="s">
        <v>6375</v>
      </c>
      <c r="J2443" s="12" t="str">
        <f>HYPERLINK("https://www.boe.es/gazeta/dias/1802/12/21/pdfs/GMD-1802-103.pdf#page=4","Abrir facsímil")</f>
        <v>Abrir facsímil</v>
      </c>
      <c r="K2443" s="15" t="s">
        <v>23</v>
      </c>
    </row>
    <row r="2444" spans="1:11" ht="42" customHeight="1">
      <c r="A2444" s="4" t="s">
        <v>6376</v>
      </c>
      <c r="B2444" s="5" t="s">
        <v>6377</v>
      </c>
      <c r="C2444" s="5" t="s">
        <v>35</v>
      </c>
      <c r="D2444" s="5" t="s">
        <v>36</v>
      </c>
      <c r="E2444" s="5" t="s">
        <v>757</v>
      </c>
      <c r="F2444" s="9">
        <v>104</v>
      </c>
      <c r="G2444" s="9">
        <v>1267</v>
      </c>
      <c r="H2444" s="5" t="s">
        <v>21</v>
      </c>
      <c r="I2444" s="5" t="s">
        <v>6378</v>
      </c>
      <c r="J2444" s="12" t="str">
        <f>HYPERLINK("https://www.boe.es/gazeta/dias/1802/12/24/pdfs/GMD-1802-104.pdf#page=3","Abrir facsímil")</f>
        <v>Abrir facsímil</v>
      </c>
      <c r="K2444" s="15" t="s">
        <v>23</v>
      </c>
    </row>
    <row r="2445" spans="1:11" ht="42" customHeight="1">
      <c r="A2445" s="4" t="s">
        <v>6379</v>
      </c>
      <c r="B2445" s="5" t="s">
        <v>6380</v>
      </c>
      <c r="C2445" s="5" t="s">
        <v>29</v>
      </c>
      <c r="D2445" s="5" t="s">
        <v>30</v>
      </c>
      <c r="E2445" s="5" t="s">
        <v>745</v>
      </c>
      <c r="F2445" s="9">
        <v>92</v>
      </c>
      <c r="G2445" s="9">
        <v>1139</v>
      </c>
      <c r="H2445" s="5" t="s">
        <v>21</v>
      </c>
      <c r="I2445" s="5" t="s">
        <v>6381</v>
      </c>
      <c r="J2445" s="12" t="str">
        <f>HYPERLINK("https://www.boe.es/gazeta/dias/1802/11/12/pdfs/GMD-1802-92.pdf#page=7","Abrir facsímil")</f>
        <v>Abrir facsímil</v>
      </c>
      <c r="K2445" s="15" t="s">
        <v>23</v>
      </c>
    </row>
    <row r="2446" spans="1:11" ht="42" customHeight="1">
      <c r="A2446" s="4" t="s">
        <v>6382</v>
      </c>
      <c r="B2446" s="5" t="s">
        <v>6383</v>
      </c>
      <c r="C2446" s="5" t="s">
        <v>18</v>
      </c>
      <c r="D2446" s="5" t="s">
        <v>19</v>
      </c>
      <c r="E2446" s="5" t="s">
        <v>232</v>
      </c>
      <c r="F2446" s="9">
        <v>30</v>
      </c>
      <c r="G2446" s="9">
        <v>349</v>
      </c>
      <c r="H2446" s="5" t="s">
        <v>21</v>
      </c>
      <c r="I2446" s="5" t="s">
        <v>6384</v>
      </c>
      <c r="J2446" s="12" t="str">
        <f>HYPERLINK("https://www.boe.es/gazeta/dias/1802/04/13/pdfs/GMD-1802-30.pdf#page=5","Abrir facsímil")</f>
        <v>Abrir facsímil</v>
      </c>
      <c r="K2446" s="15" t="s">
        <v>23</v>
      </c>
    </row>
    <row r="2447" spans="1:11" ht="42" customHeight="1">
      <c r="A2447" s="4" t="s">
        <v>6382</v>
      </c>
      <c r="B2447" s="5" t="s">
        <v>6383</v>
      </c>
      <c r="C2447" s="5" t="s">
        <v>18</v>
      </c>
      <c r="D2447" s="5" t="s">
        <v>19</v>
      </c>
      <c r="E2447" s="5" t="s">
        <v>670</v>
      </c>
      <c r="F2447" s="9">
        <v>40</v>
      </c>
      <c r="G2447" s="9">
        <v>478</v>
      </c>
      <c r="H2447" s="5" t="s">
        <v>21</v>
      </c>
      <c r="I2447" s="5" t="s">
        <v>6385</v>
      </c>
      <c r="J2447" s="12" t="str">
        <f>HYPERLINK("https://www.boe.es/gazeta/dias/1802/05/18/pdfs/GMD-1802-40.pdf#page=6","Abrir facsímil")</f>
        <v>Abrir facsímil</v>
      </c>
      <c r="K2447" s="15" t="s">
        <v>23</v>
      </c>
    </row>
    <row r="2448" spans="1:11" ht="42" customHeight="1">
      <c r="A2448" s="4" t="s">
        <v>6382</v>
      </c>
      <c r="B2448" s="5" t="s">
        <v>6383</v>
      </c>
      <c r="C2448" s="5" t="s">
        <v>35</v>
      </c>
      <c r="D2448" s="5" t="s">
        <v>36</v>
      </c>
      <c r="E2448" s="5" t="s">
        <v>921</v>
      </c>
      <c r="F2448" s="9">
        <v>50</v>
      </c>
      <c r="G2448" s="9">
        <v>607</v>
      </c>
      <c r="H2448" s="5" t="s">
        <v>21</v>
      </c>
      <c r="I2448" s="5" t="s">
        <v>6386</v>
      </c>
      <c r="J2448" s="12" t="str">
        <f>HYPERLINK("https://www.boe.es/gazeta/dias/1802/06/22/pdfs/GMD-1802-50.pdf#page=7","Abrir facsímil")</f>
        <v>Abrir facsímil</v>
      </c>
      <c r="K2448" s="15" t="s">
        <v>23</v>
      </c>
    </row>
    <row r="2449" spans="1:11" ht="42" customHeight="1">
      <c r="A2449" s="4" t="s">
        <v>6382</v>
      </c>
      <c r="B2449" s="5" t="s">
        <v>6383</v>
      </c>
      <c r="C2449" s="5" t="s">
        <v>35</v>
      </c>
      <c r="D2449" s="5" t="s">
        <v>36</v>
      </c>
      <c r="E2449" s="5" t="s">
        <v>181</v>
      </c>
      <c r="F2449" s="9">
        <v>55</v>
      </c>
      <c r="G2449" s="9">
        <v>665</v>
      </c>
      <c r="H2449" s="5" t="s">
        <v>21</v>
      </c>
      <c r="I2449" s="5" t="s">
        <v>6387</v>
      </c>
      <c r="J2449" s="12" t="str">
        <f>HYPERLINK("https://www.boe.es/gazeta/dias/1802/07/09/pdfs/GMD-1802-55.pdf#page=9","Abrir facsímil")</f>
        <v>Abrir facsímil</v>
      </c>
      <c r="K2449" s="15" t="s">
        <v>23</v>
      </c>
    </row>
    <row r="2450" spans="1:11" ht="42" customHeight="1">
      <c r="A2450" s="4" t="s">
        <v>6388</v>
      </c>
      <c r="B2450" s="5" t="s">
        <v>6388</v>
      </c>
      <c r="C2450" s="5" t="s">
        <v>29</v>
      </c>
      <c r="D2450" s="5" t="s">
        <v>30</v>
      </c>
      <c r="E2450" s="5" t="s">
        <v>710</v>
      </c>
      <c r="F2450" s="9">
        <v>85</v>
      </c>
      <c r="G2450" s="9">
        <v>1053</v>
      </c>
      <c r="H2450" s="5" t="s">
        <v>21</v>
      </c>
      <c r="I2450" s="5" t="s">
        <v>6389</v>
      </c>
      <c r="J2450" s="12" t="str">
        <f>HYPERLINK("https://www.boe.es/gazeta/dias/1802/10/19/pdfs/GMD-1802-85.pdf#page=5","Abrir facsímil")</f>
        <v>Abrir facsímil</v>
      </c>
      <c r="K2450" s="15" t="s">
        <v>23</v>
      </c>
    </row>
    <row r="2451" spans="1:11" ht="42" customHeight="1">
      <c r="A2451" s="4" t="s">
        <v>6390</v>
      </c>
      <c r="B2451" s="5" t="s">
        <v>6391</v>
      </c>
      <c r="C2451" s="5" t="s">
        <v>29</v>
      </c>
      <c r="D2451" s="5" t="s">
        <v>30</v>
      </c>
      <c r="E2451" s="5" t="s">
        <v>1113</v>
      </c>
      <c r="F2451" s="9">
        <v>6</v>
      </c>
      <c r="G2451" s="9">
        <v>57</v>
      </c>
      <c r="H2451" s="5" t="s">
        <v>21</v>
      </c>
      <c r="I2451" s="5" t="s">
        <v>6392</v>
      </c>
      <c r="J2451" s="12" t="str">
        <f>HYPERLINK("https://www.boe.es/gazeta/dias/1802/01/19/pdfs/GMD-1802-6.pdf#page=5","Abrir facsímil")</f>
        <v>Abrir facsímil</v>
      </c>
      <c r="K2451" s="15" t="s">
        <v>23</v>
      </c>
    </row>
    <row r="2452" spans="1:11" ht="42" customHeight="1">
      <c r="A2452" s="4" t="s">
        <v>6393</v>
      </c>
      <c r="B2452" s="5" t="s">
        <v>6394</v>
      </c>
      <c r="C2452" s="5" t="s">
        <v>29</v>
      </c>
      <c r="D2452" s="5" t="s">
        <v>30</v>
      </c>
      <c r="E2452" s="5" t="s">
        <v>25</v>
      </c>
      <c r="F2452" s="9">
        <v>44</v>
      </c>
      <c r="G2452" s="9">
        <v>532</v>
      </c>
      <c r="H2452" s="5" t="s">
        <v>21</v>
      </c>
      <c r="I2452" s="5" t="s">
        <v>6395</v>
      </c>
      <c r="J2452" s="12" t="str">
        <f>HYPERLINK("https://www.boe.es/gazeta/dias/1802/06/01/pdfs/GMD-1802-44.pdf#page=8","Abrir facsímil")</f>
        <v>Abrir facsímil</v>
      </c>
      <c r="K2452" s="15" t="s">
        <v>23</v>
      </c>
    </row>
    <row r="2453" spans="1:11" ht="42" customHeight="1">
      <c r="A2453" s="4" t="s">
        <v>6396</v>
      </c>
      <c r="B2453" s="5" t="s">
        <v>6397</v>
      </c>
      <c r="C2453" s="5" t="s">
        <v>35</v>
      </c>
      <c r="D2453" s="5" t="s">
        <v>36</v>
      </c>
      <c r="E2453" s="5" t="s">
        <v>1051</v>
      </c>
      <c r="F2453" s="9">
        <v>43</v>
      </c>
      <c r="G2453" s="9">
        <v>509</v>
      </c>
      <c r="H2453" s="5" t="s">
        <v>21</v>
      </c>
      <c r="I2453" s="5" t="s">
        <v>6398</v>
      </c>
      <c r="J2453" s="12" t="str">
        <f>HYPERLINK("https://www.boe.es/gazeta/dias/1802/05/28/pdfs/GMD-1802-43.pdf#page=1","Abrir facsímil")</f>
        <v>Abrir facsímil</v>
      </c>
      <c r="K2453" s="15" t="s">
        <v>23</v>
      </c>
    </row>
    <row r="2454" spans="1:11" ht="42" customHeight="1">
      <c r="A2454" s="4" t="s">
        <v>6399</v>
      </c>
      <c r="B2454" s="5" t="s">
        <v>6399</v>
      </c>
      <c r="C2454" s="5" t="s">
        <v>18</v>
      </c>
      <c r="D2454" s="5" t="s">
        <v>19</v>
      </c>
      <c r="E2454" s="5" t="s">
        <v>99</v>
      </c>
      <c r="F2454" s="9">
        <v>86</v>
      </c>
      <c r="G2454" s="9">
        <v>1067</v>
      </c>
      <c r="H2454" s="5" t="s">
        <v>21</v>
      </c>
      <c r="I2454" s="5" t="s">
        <v>6400</v>
      </c>
      <c r="J2454" s="12" t="str">
        <f>HYPERLINK("https://www.boe.es/gazeta/dias/1802/10/22/pdfs/GMD-1802-86.pdf#page=7","Abrir facsímil")</f>
        <v>Abrir facsímil</v>
      </c>
      <c r="K2454" s="15" t="s">
        <v>23</v>
      </c>
    </row>
    <row r="2455" spans="1:11" ht="42" customHeight="1">
      <c r="A2455" s="4" t="s">
        <v>6399</v>
      </c>
      <c r="B2455" s="5" t="s">
        <v>6399</v>
      </c>
      <c r="C2455" s="5" t="s">
        <v>29</v>
      </c>
      <c r="D2455" s="5" t="s">
        <v>30</v>
      </c>
      <c r="E2455" s="5" t="s">
        <v>99</v>
      </c>
      <c r="F2455" s="9">
        <v>86</v>
      </c>
      <c r="G2455" s="9">
        <v>1068</v>
      </c>
      <c r="H2455" s="5" t="s">
        <v>21</v>
      </c>
      <c r="I2455" s="5" t="s">
        <v>6401</v>
      </c>
      <c r="J2455" s="12" t="str">
        <f>HYPERLINK("https://www.boe.es/gazeta/dias/1802/10/22/pdfs/GMD-1802-86.pdf#page=8","Abrir facsímil")</f>
        <v>Abrir facsímil</v>
      </c>
      <c r="K2455" s="15" t="s">
        <v>23</v>
      </c>
    </row>
    <row r="2456" spans="1:11" ht="42" customHeight="1">
      <c r="A2456" s="4" t="s">
        <v>6402</v>
      </c>
      <c r="B2456" s="5" t="s">
        <v>6402</v>
      </c>
      <c r="C2456" s="5" t="s">
        <v>35</v>
      </c>
      <c r="D2456" s="5" t="s">
        <v>36</v>
      </c>
      <c r="E2456" s="5" t="s">
        <v>590</v>
      </c>
      <c r="F2456" s="9">
        <v>38</v>
      </c>
      <c r="G2456" s="9">
        <v>451</v>
      </c>
      <c r="H2456" s="5" t="s">
        <v>21</v>
      </c>
      <c r="I2456" s="5" t="s">
        <v>6403</v>
      </c>
      <c r="J2456" s="12" t="str">
        <f>HYPERLINK("https://www.boe.es/gazeta/dias/1802/05/11/pdfs/GMD-1802-38.pdf#page=7","Abrir facsímil")</f>
        <v>Abrir facsímil</v>
      </c>
      <c r="K2456" s="15" t="s">
        <v>23</v>
      </c>
    </row>
    <row r="2457" spans="1:11" ht="42" customHeight="1">
      <c r="A2457" s="4" t="s">
        <v>6402</v>
      </c>
      <c r="B2457" s="5" t="s">
        <v>6402</v>
      </c>
      <c r="C2457" s="5" t="s">
        <v>35</v>
      </c>
      <c r="D2457" s="5" t="s">
        <v>36</v>
      </c>
      <c r="E2457" s="5" t="s">
        <v>590</v>
      </c>
      <c r="F2457" s="9">
        <v>38</v>
      </c>
      <c r="G2457" s="9">
        <v>452</v>
      </c>
      <c r="H2457" s="5" t="s">
        <v>21</v>
      </c>
      <c r="I2457" s="5" t="s">
        <v>6404</v>
      </c>
      <c r="J2457" s="12" t="str">
        <f>HYPERLINK("https://www.boe.es/gazeta/dias/1802/05/11/pdfs/GMD-1802-38.pdf#page=8","Abrir facsímil")</f>
        <v>Abrir facsímil</v>
      </c>
      <c r="K2457" s="15" t="s">
        <v>23</v>
      </c>
    </row>
    <row r="2458" spans="1:11" ht="42" customHeight="1">
      <c r="A2458" s="4" t="s">
        <v>6405</v>
      </c>
      <c r="B2458" s="5" t="s">
        <v>6406</v>
      </c>
      <c r="C2458" s="5" t="s">
        <v>35</v>
      </c>
      <c r="D2458" s="5" t="s">
        <v>36</v>
      </c>
      <c r="E2458" s="5" t="s">
        <v>339</v>
      </c>
      <c r="F2458" s="9">
        <v>39</v>
      </c>
      <c r="G2458" s="9">
        <v>466</v>
      </c>
      <c r="H2458" s="5" t="s">
        <v>21</v>
      </c>
      <c r="I2458" s="5" t="s">
        <v>6407</v>
      </c>
      <c r="J2458" s="12" t="str">
        <f>HYPERLINK("https://www.boe.es/gazeta/dias/1802/05/14/pdfs/GMD-1802-39.pdf#page=10","Abrir facsímil")</f>
        <v>Abrir facsímil</v>
      </c>
      <c r="K2458" s="15" t="s">
        <v>23</v>
      </c>
    </row>
    <row r="2459" spans="1:11" ht="42" customHeight="1">
      <c r="A2459" s="4" t="s">
        <v>6408</v>
      </c>
      <c r="B2459" s="5" t="s">
        <v>6409</v>
      </c>
      <c r="C2459" s="5" t="s">
        <v>35</v>
      </c>
      <c r="D2459" s="5" t="s">
        <v>36</v>
      </c>
      <c r="E2459" s="5" t="s">
        <v>206</v>
      </c>
      <c r="F2459" s="9">
        <v>22</v>
      </c>
      <c r="G2459" s="9">
        <v>237</v>
      </c>
      <c r="H2459" s="5" t="s">
        <v>21</v>
      </c>
      <c r="I2459" s="5" t="s">
        <v>6410</v>
      </c>
      <c r="J2459" s="12" t="str">
        <f>HYPERLINK("https://www.boe.es/gazeta/dias/1802/03/16/pdfs/GMD-1802-22.pdf#page=5","Abrir facsímil")</f>
        <v>Abrir facsímil</v>
      </c>
      <c r="K2459" s="15" t="s">
        <v>23</v>
      </c>
    </row>
    <row r="2460" spans="1:11" ht="42" customHeight="1">
      <c r="A2460" s="4" t="s">
        <v>6408</v>
      </c>
      <c r="B2460" s="5" t="s">
        <v>6409</v>
      </c>
      <c r="C2460" s="5" t="s">
        <v>35</v>
      </c>
      <c r="D2460" s="5" t="s">
        <v>36</v>
      </c>
      <c r="E2460" s="5" t="s">
        <v>175</v>
      </c>
      <c r="F2460" s="9">
        <v>37</v>
      </c>
      <c r="G2460" s="9">
        <v>436</v>
      </c>
      <c r="H2460" s="5" t="s">
        <v>21</v>
      </c>
      <c r="I2460" s="5" t="s">
        <v>6411</v>
      </c>
      <c r="J2460" s="12" t="str">
        <f>HYPERLINK("https://www.boe.es/gazeta/dias/1802/05/07/pdfs/GMD-1802-37.pdf#page=4","Abrir facsímil")</f>
        <v>Abrir facsímil</v>
      </c>
      <c r="K2460" s="15" t="s">
        <v>23</v>
      </c>
    </row>
    <row r="2461" spans="1:11" ht="42" customHeight="1">
      <c r="A2461" s="4" t="s">
        <v>6412</v>
      </c>
      <c r="B2461" s="5" t="s">
        <v>6413</v>
      </c>
      <c r="C2461" s="5" t="s">
        <v>18</v>
      </c>
      <c r="D2461" s="5" t="s">
        <v>19</v>
      </c>
      <c r="E2461" s="5" t="s">
        <v>530</v>
      </c>
      <c r="F2461" s="9">
        <v>48</v>
      </c>
      <c r="G2461" s="9">
        <v>581</v>
      </c>
      <c r="H2461" s="5" t="s">
        <v>21</v>
      </c>
      <c r="I2461" s="5" t="s">
        <v>6414</v>
      </c>
      <c r="J2461" s="12" t="str">
        <f>HYPERLINK("https://www.boe.es/gazeta/dias/1802/06/15/pdfs/GMD-1802-48.pdf#page=5","Abrir facsímil")</f>
        <v>Abrir facsímil</v>
      </c>
      <c r="K2461" s="15" t="s">
        <v>23</v>
      </c>
    </row>
    <row r="2462" spans="1:11" ht="42" customHeight="1">
      <c r="A2462" s="4" t="s">
        <v>6408</v>
      </c>
      <c r="B2462" s="5" t="s">
        <v>6409</v>
      </c>
      <c r="C2462" s="5" t="s">
        <v>35</v>
      </c>
      <c r="D2462" s="5" t="s">
        <v>36</v>
      </c>
      <c r="E2462" s="5" t="s">
        <v>611</v>
      </c>
      <c r="F2462" s="9">
        <v>68</v>
      </c>
      <c r="G2462" s="9">
        <v>830</v>
      </c>
      <c r="H2462" s="5" t="s">
        <v>21</v>
      </c>
      <c r="I2462" s="5" t="s">
        <v>6415</v>
      </c>
      <c r="J2462" s="12" t="str">
        <f>HYPERLINK("https://www.boe.es/gazeta/dias/1802/08/20/pdfs/GMD-1802-68.pdf#page=6","Abrir facsímil")</f>
        <v>Abrir facsímil</v>
      </c>
      <c r="K2462" s="15" t="s">
        <v>23</v>
      </c>
    </row>
    <row r="2463" spans="1:11" ht="42" customHeight="1">
      <c r="A2463" s="4" t="s">
        <v>6408</v>
      </c>
      <c r="B2463" s="5" t="s">
        <v>6409</v>
      </c>
      <c r="C2463" s="5" t="s">
        <v>35</v>
      </c>
      <c r="D2463" s="5" t="s">
        <v>36</v>
      </c>
      <c r="E2463" s="5" t="s">
        <v>754</v>
      </c>
      <c r="F2463" s="9">
        <v>101</v>
      </c>
      <c r="G2463" s="9">
        <v>1240</v>
      </c>
      <c r="H2463" s="5" t="s">
        <v>21</v>
      </c>
      <c r="I2463" s="5" t="s">
        <v>6416</v>
      </c>
      <c r="J2463" s="12" t="str">
        <f>HYPERLINK("https://www.boe.es/gazeta/dias/1802/12/14/pdfs/GMD-1802-101.pdf#page=4","Abrir facsímil")</f>
        <v>Abrir facsímil</v>
      </c>
      <c r="K2463" s="15" t="s">
        <v>23</v>
      </c>
    </row>
    <row r="2464" spans="1:11" ht="42" customHeight="1">
      <c r="A2464" s="4" t="s">
        <v>6417</v>
      </c>
      <c r="B2464" s="5" t="s">
        <v>6418</v>
      </c>
      <c r="C2464" s="5" t="s">
        <v>90</v>
      </c>
      <c r="D2464" s="5" t="s">
        <v>91</v>
      </c>
      <c r="E2464" s="5" t="s">
        <v>1407</v>
      </c>
      <c r="F2464" s="9">
        <v>8</v>
      </c>
      <c r="G2464" s="9">
        <v>78</v>
      </c>
      <c r="H2464" s="5" t="s">
        <v>21</v>
      </c>
      <c r="I2464" s="5" t="s">
        <v>6419</v>
      </c>
      <c r="J2464" s="12" t="str">
        <f>HYPERLINK("https://www.boe.es/gazeta/dias/1802/01/26/pdfs/GMD-1802-8.pdf#page=6","Abrir facsímil")</f>
        <v>Abrir facsímil</v>
      </c>
      <c r="K2464" s="15" t="s">
        <v>23</v>
      </c>
    </row>
    <row r="2465" spans="1:11" ht="42" customHeight="1">
      <c r="A2465" s="4" t="s">
        <v>6420</v>
      </c>
      <c r="B2465" s="5" t="s">
        <v>6421</v>
      </c>
      <c r="C2465" s="5" t="s">
        <v>90</v>
      </c>
      <c r="D2465" s="5" t="s">
        <v>91</v>
      </c>
      <c r="E2465" s="5" t="s">
        <v>764</v>
      </c>
      <c r="F2465" s="9">
        <v>69</v>
      </c>
      <c r="G2465" s="9">
        <v>850</v>
      </c>
      <c r="H2465" s="5" t="s">
        <v>21</v>
      </c>
      <c r="I2465" s="5" t="s">
        <v>6422</v>
      </c>
      <c r="J2465" s="12" t="str">
        <f>HYPERLINK("https://www.boe.es/gazeta/dias/1802/08/24/pdfs/GMD-1802-69.pdf#page=10","Abrir facsímil")</f>
        <v>Abrir facsímil</v>
      </c>
      <c r="K2465" s="15" t="s">
        <v>23</v>
      </c>
    </row>
    <row r="2466" spans="1:11" ht="42" customHeight="1">
      <c r="A2466" s="4" t="s">
        <v>6423</v>
      </c>
      <c r="B2466" s="5" t="s">
        <v>6424</v>
      </c>
      <c r="C2466" s="5" t="s">
        <v>29</v>
      </c>
      <c r="D2466" s="5" t="s">
        <v>30</v>
      </c>
      <c r="E2466" s="5" t="s">
        <v>453</v>
      </c>
      <c r="F2466" s="9">
        <v>52</v>
      </c>
      <c r="G2466" s="9">
        <v>631</v>
      </c>
      <c r="H2466" s="5" t="s">
        <v>21</v>
      </c>
      <c r="I2466" s="5" t="s">
        <v>6425</v>
      </c>
      <c r="J2466" s="12" t="str">
        <f>HYPERLINK("https://www.boe.es/gazeta/dias/1802/06/29/pdfs/GMD-1802-52.pdf#page=7","Abrir facsímil")</f>
        <v>Abrir facsímil</v>
      </c>
      <c r="K2466" s="15" t="s">
        <v>23</v>
      </c>
    </row>
    <row r="2467" spans="1:11" ht="42" customHeight="1">
      <c r="A2467" s="4" t="s">
        <v>6426</v>
      </c>
      <c r="B2467" s="5" t="s">
        <v>6427</v>
      </c>
      <c r="C2467" s="5" t="s">
        <v>29</v>
      </c>
      <c r="D2467" s="5" t="s">
        <v>30</v>
      </c>
      <c r="E2467" s="5" t="s">
        <v>188</v>
      </c>
      <c r="F2467" s="9">
        <v>49</v>
      </c>
      <c r="G2467" s="9">
        <v>599</v>
      </c>
      <c r="H2467" s="5" t="s">
        <v>21</v>
      </c>
      <c r="I2467" s="5" t="s">
        <v>6428</v>
      </c>
      <c r="J2467" s="12" t="str">
        <f>HYPERLINK("https://www.boe.es/gazeta/dias/1802/06/18/pdfs/GMD-1802-49.pdf#page=11","Abrir facsímil")</f>
        <v>Abrir facsímil</v>
      </c>
      <c r="K2467" s="15" t="s">
        <v>23</v>
      </c>
    </row>
    <row r="2468" spans="1:11" ht="42" customHeight="1">
      <c r="A2468" s="4" t="s">
        <v>6429</v>
      </c>
      <c r="B2468" s="5" t="s">
        <v>6430</v>
      </c>
      <c r="C2468" s="5" t="s">
        <v>29</v>
      </c>
      <c r="D2468" s="5" t="s">
        <v>30</v>
      </c>
      <c r="E2468" s="5" t="s">
        <v>188</v>
      </c>
      <c r="F2468" s="9">
        <v>49</v>
      </c>
      <c r="G2468" s="9">
        <v>599</v>
      </c>
      <c r="H2468" s="5" t="s">
        <v>21</v>
      </c>
      <c r="I2468" s="5" t="s">
        <v>6431</v>
      </c>
      <c r="J2468" s="12" t="str">
        <f>HYPERLINK("https://www.boe.es/gazeta/dias/1802/06/18/pdfs/GMD-1802-49.pdf#page=11","Abrir facsímil")</f>
        <v>Abrir facsímil</v>
      </c>
      <c r="K2468" s="15" t="s">
        <v>23</v>
      </c>
    </row>
    <row r="2469" spans="1:11" ht="42" customHeight="1">
      <c r="A2469" s="4" t="s">
        <v>6432</v>
      </c>
      <c r="B2469" s="5" t="s">
        <v>6433</v>
      </c>
      <c r="C2469" s="5" t="s">
        <v>29</v>
      </c>
      <c r="D2469" s="5" t="s">
        <v>30</v>
      </c>
      <c r="E2469" s="5" t="s">
        <v>188</v>
      </c>
      <c r="F2469" s="9">
        <v>49</v>
      </c>
      <c r="G2469" s="9">
        <v>599</v>
      </c>
      <c r="H2469" s="5" t="s">
        <v>21</v>
      </c>
      <c r="I2469" s="5" t="s">
        <v>6434</v>
      </c>
      <c r="J2469" s="12" t="str">
        <f>HYPERLINK("https://www.boe.es/gazeta/dias/1802/06/18/pdfs/GMD-1802-49.pdf#page=11","Abrir facsímil")</f>
        <v>Abrir facsímil</v>
      </c>
      <c r="K2469" s="15" t="s">
        <v>23</v>
      </c>
    </row>
    <row r="2470" spans="1:11" ht="42" customHeight="1">
      <c r="A2470" s="4" t="s">
        <v>6435</v>
      </c>
      <c r="B2470" s="5" t="s">
        <v>6436</v>
      </c>
      <c r="C2470" s="5" t="s">
        <v>29</v>
      </c>
      <c r="D2470" s="5" t="s">
        <v>30</v>
      </c>
      <c r="E2470" s="5" t="s">
        <v>188</v>
      </c>
      <c r="F2470" s="9">
        <v>49</v>
      </c>
      <c r="G2470" s="9">
        <v>599</v>
      </c>
      <c r="H2470" s="5" t="s">
        <v>21</v>
      </c>
      <c r="I2470" s="5" t="s">
        <v>6437</v>
      </c>
      <c r="J2470" s="12" t="str">
        <f>HYPERLINK("https://www.boe.es/gazeta/dias/1802/06/18/pdfs/GMD-1802-49.pdf#page=11","Abrir facsímil")</f>
        <v>Abrir facsímil</v>
      </c>
      <c r="K2470" s="15" t="s">
        <v>23</v>
      </c>
    </row>
    <row r="2471" spans="1:11" ht="42" customHeight="1">
      <c r="A2471" s="4" t="s">
        <v>6438</v>
      </c>
      <c r="B2471" s="5" t="s">
        <v>6439</v>
      </c>
      <c r="C2471" s="5" t="s">
        <v>18</v>
      </c>
      <c r="D2471" s="5" t="s">
        <v>19</v>
      </c>
      <c r="E2471" s="5" t="s">
        <v>436</v>
      </c>
      <c r="F2471" s="9">
        <v>58</v>
      </c>
      <c r="G2471" s="9">
        <v>704</v>
      </c>
      <c r="H2471" s="5" t="s">
        <v>21</v>
      </c>
      <c r="I2471" s="5" t="s">
        <v>6440</v>
      </c>
      <c r="J2471" s="12" t="str">
        <f>HYPERLINK("https://www.boe.es/gazeta/dias/1802/07/20/pdfs/GMD-1802-58.pdf#page=12","Abrir facsímil")</f>
        <v>Abrir facsímil</v>
      </c>
      <c r="K2471" s="15" t="s">
        <v>23</v>
      </c>
    </row>
    <row r="2472" spans="1:11" ht="42" customHeight="1">
      <c r="A2472" s="4" t="s">
        <v>6441</v>
      </c>
      <c r="B2472" s="5" t="s">
        <v>6442</v>
      </c>
      <c r="C2472" s="5" t="s">
        <v>160</v>
      </c>
      <c r="D2472" s="5" t="s">
        <v>91</v>
      </c>
      <c r="E2472" s="5" t="s">
        <v>128</v>
      </c>
      <c r="F2472" s="9">
        <v>9</v>
      </c>
      <c r="G2472" s="9">
        <v>90</v>
      </c>
      <c r="H2472" s="5" t="s">
        <v>21</v>
      </c>
      <c r="I2472" s="5" t="s">
        <v>6443</v>
      </c>
      <c r="J2472" s="12" t="str">
        <f>HYPERLINK("https://www.boe.es/gazeta/dias/1802/01/29/pdfs/GMD-1802-9.pdf#page=10","Abrir facsímil")</f>
        <v>Abrir facsímil</v>
      </c>
      <c r="K2472" s="15" t="s">
        <v>23</v>
      </c>
    </row>
    <row r="2473" spans="1:11" ht="42" customHeight="1">
      <c r="A2473" s="4" t="s">
        <v>6441</v>
      </c>
      <c r="B2473" s="5" t="s">
        <v>6442</v>
      </c>
      <c r="C2473" s="5" t="s">
        <v>160</v>
      </c>
      <c r="D2473" s="5" t="s">
        <v>91</v>
      </c>
      <c r="E2473" s="5" t="s">
        <v>206</v>
      </c>
      <c r="F2473" s="9">
        <v>22</v>
      </c>
      <c r="G2473" s="9">
        <v>251</v>
      </c>
      <c r="H2473" s="5" t="s">
        <v>21</v>
      </c>
      <c r="I2473" s="5" t="s">
        <v>6444</v>
      </c>
      <c r="J2473" s="12" t="str">
        <f>HYPERLINK("https://www.boe.es/gazeta/dias/1802/03/16/pdfs/GMD-C-1802-22.pdf#page=7","Abrir facsímil")</f>
        <v>Abrir facsímil</v>
      </c>
      <c r="K2473" s="15" t="s">
        <v>23</v>
      </c>
    </row>
    <row r="2474" spans="1:11" ht="42" customHeight="1">
      <c r="A2474" s="4" t="s">
        <v>6445</v>
      </c>
      <c r="B2474" s="5" t="s">
        <v>6446</v>
      </c>
      <c r="C2474" s="5" t="s">
        <v>160</v>
      </c>
      <c r="D2474" s="5" t="s">
        <v>91</v>
      </c>
      <c r="E2474" s="5" t="s">
        <v>60</v>
      </c>
      <c r="F2474" s="9">
        <v>5</v>
      </c>
      <c r="G2474" s="9">
        <v>52</v>
      </c>
      <c r="H2474" s="5" t="s">
        <v>21</v>
      </c>
      <c r="I2474" s="5" t="s">
        <v>6447</v>
      </c>
      <c r="J2474" s="12" t="str">
        <f>HYPERLINK("https://www.boe.es/gazeta/dias/1802/01/15/pdfs/GMD-1802-5.pdf#page=8","Abrir facsímil")</f>
        <v>Abrir facsímil</v>
      </c>
      <c r="K2474" s="15" t="s">
        <v>23</v>
      </c>
    </row>
    <row r="2475" spans="1:11" ht="42" customHeight="1">
      <c r="A2475" s="4" t="s">
        <v>6445</v>
      </c>
      <c r="B2475" s="5" t="s">
        <v>6446</v>
      </c>
      <c r="C2475" s="5" t="s">
        <v>29</v>
      </c>
      <c r="D2475" s="5" t="s">
        <v>30</v>
      </c>
      <c r="E2475" s="5" t="s">
        <v>109</v>
      </c>
      <c r="F2475" s="9">
        <v>10</v>
      </c>
      <c r="G2475" s="9">
        <v>100</v>
      </c>
      <c r="H2475" s="5" t="s">
        <v>21</v>
      </c>
      <c r="I2475" s="5" t="s">
        <v>6448</v>
      </c>
      <c r="J2475" s="12" t="str">
        <f>HYPERLINK("https://www.boe.es/gazeta/dias/1802/02/02/pdfs/GMD-1802-10.pdf#page=8","Abrir facsímil")</f>
        <v>Abrir facsímil</v>
      </c>
      <c r="K2475" s="15" t="s">
        <v>23</v>
      </c>
    </row>
    <row r="2476" spans="1:11" ht="42" customHeight="1">
      <c r="A2476" s="4" t="s">
        <v>6449</v>
      </c>
      <c r="B2476" s="5" t="s">
        <v>6450</v>
      </c>
      <c r="C2476" s="5" t="s">
        <v>160</v>
      </c>
      <c r="D2476" s="5" t="s">
        <v>91</v>
      </c>
      <c r="E2476" s="5" t="s">
        <v>865</v>
      </c>
      <c r="F2476" s="9">
        <v>12</v>
      </c>
      <c r="G2476" s="9">
        <v>122</v>
      </c>
      <c r="H2476" s="5" t="s">
        <v>21</v>
      </c>
      <c r="I2476" s="5" t="s">
        <v>6451</v>
      </c>
      <c r="J2476" s="12" t="str">
        <f>HYPERLINK("https://www.boe.es/gazeta/dias/1802/02/09/pdfs/GMD-1802-12.pdf#page=6","Abrir facsímil")</f>
        <v>Abrir facsímil</v>
      </c>
      <c r="K2476" s="15" t="s">
        <v>23</v>
      </c>
    </row>
    <row r="2477" spans="1:11" ht="42" customHeight="1">
      <c r="A2477" s="4" t="s">
        <v>6445</v>
      </c>
      <c r="B2477" s="5" t="s">
        <v>6446</v>
      </c>
      <c r="C2477" s="5" t="s">
        <v>160</v>
      </c>
      <c r="D2477" s="5" t="s">
        <v>91</v>
      </c>
      <c r="E2477" s="5" t="s">
        <v>381</v>
      </c>
      <c r="F2477" s="9">
        <v>13</v>
      </c>
      <c r="G2477" s="9">
        <v>131</v>
      </c>
      <c r="H2477" s="5" t="s">
        <v>21</v>
      </c>
      <c r="I2477" s="5" t="s">
        <v>6452</v>
      </c>
      <c r="J2477" s="12" t="str">
        <f>HYPERLINK("https://www.boe.es/gazeta/dias/1802/02/12/pdfs/GMD-1802-13.pdf#page=7","Abrir facsímil")</f>
        <v>Abrir facsímil</v>
      </c>
      <c r="K2477" s="15" t="s">
        <v>23</v>
      </c>
    </row>
    <row r="2478" spans="1:11" ht="42" customHeight="1">
      <c r="A2478" s="4" t="s">
        <v>6445</v>
      </c>
      <c r="B2478" s="5" t="s">
        <v>6446</v>
      </c>
      <c r="C2478" s="5" t="s">
        <v>160</v>
      </c>
      <c r="D2478" s="5" t="s">
        <v>91</v>
      </c>
      <c r="E2478" s="5" t="s">
        <v>247</v>
      </c>
      <c r="F2478" s="9">
        <v>14</v>
      </c>
      <c r="G2478" s="9">
        <v>146</v>
      </c>
      <c r="H2478" s="5" t="s">
        <v>21</v>
      </c>
      <c r="I2478" s="5" t="s">
        <v>6453</v>
      </c>
      <c r="J2478" s="12" t="str">
        <f>HYPERLINK("https://www.boe.es/gazeta/dias/1802/02/16/pdfs/GMD-1802-14.pdf#page=10","Abrir facsímil")</f>
        <v>Abrir facsímil</v>
      </c>
      <c r="K2478" s="15" t="s">
        <v>23</v>
      </c>
    </row>
    <row r="2479" spans="1:11" ht="42" customHeight="1">
      <c r="A2479" s="4" t="s">
        <v>6445</v>
      </c>
      <c r="B2479" s="5" t="s">
        <v>6446</v>
      </c>
      <c r="C2479" s="5" t="s">
        <v>160</v>
      </c>
      <c r="D2479" s="5" t="s">
        <v>91</v>
      </c>
      <c r="E2479" s="5" t="s">
        <v>1381</v>
      </c>
      <c r="F2479" s="9">
        <v>17</v>
      </c>
      <c r="G2479" s="9">
        <v>187</v>
      </c>
      <c r="H2479" s="5" t="s">
        <v>21</v>
      </c>
      <c r="I2479" s="5" t="s">
        <v>6454</v>
      </c>
      <c r="J2479" s="12" t="str">
        <f>HYPERLINK("https://www.boe.es/gazeta/dias/1802/02/26/pdfs/GMD-1802-17.pdf#page=11","Abrir facsímil")</f>
        <v>Abrir facsímil</v>
      </c>
      <c r="K2479" s="15" t="s">
        <v>23</v>
      </c>
    </row>
    <row r="2480" spans="1:11" ht="42" customHeight="1">
      <c r="A2480" s="4" t="s">
        <v>6445</v>
      </c>
      <c r="B2480" s="5" t="s">
        <v>6446</v>
      </c>
      <c r="C2480" s="5" t="s">
        <v>160</v>
      </c>
      <c r="D2480" s="5" t="s">
        <v>91</v>
      </c>
      <c r="E2480" s="5" t="s">
        <v>206</v>
      </c>
      <c r="F2480" s="9">
        <v>22</v>
      </c>
      <c r="G2480" s="9">
        <v>251</v>
      </c>
      <c r="H2480" s="5" t="s">
        <v>21</v>
      </c>
      <c r="I2480" s="5" t="s">
        <v>6455</v>
      </c>
      <c r="J2480" s="12" t="str">
        <f>HYPERLINK("https://www.boe.es/gazeta/dias/1802/03/16/pdfs/GMD-C-1802-22.pdf#page=7","Abrir facsímil")</f>
        <v>Abrir facsímil</v>
      </c>
      <c r="K2480" s="15" t="s">
        <v>23</v>
      </c>
    </row>
    <row r="2481" spans="1:11" ht="42" customHeight="1">
      <c r="A2481" s="4" t="s">
        <v>6445</v>
      </c>
      <c r="B2481" s="5" t="s">
        <v>6446</v>
      </c>
      <c r="C2481" s="5" t="s">
        <v>29</v>
      </c>
      <c r="D2481" s="5" t="s">
        <v>30</v>
      </c>
      <c r="E2481" s="5" t="s">
        <v>152</v>
      </c>
      <c r="F2481" s="9">
        <v>25</v>
      </c>
      <c r="G2481" s="9">
        <v>287</v>
      </c>
      <c r="H2481" s="5" t="s">
        <v>21</v>
      </c>
      <c r="I2481" s="5" t="s">
        <v>6456</v>
      </c>
      <c r="J2481" s="12" t="str">
        <f>HYPERLINK("https://www.boe.es/gazeta/dias/1802/03/26/pdfs/GMD-1802-25.pdf#page=11","Abrir facsímil")</f>
        <v>Abrir facsímil</v>
      </c>
      <c r="K2481" s="15" t="s">
        <v>23</v>
      </c>
    </row>
    <row r="2482" spans="1:11" ht="42" customHeight="1">
      <c r="A2482" s="4" t="s">
        <v>6445</v>
      </c>
      <c r="B2482" s="5" t="s">
        <v>6446</v>
      </c>
      <c r="C2482" s="5" t="s">
        <v>160</v>
      </c>
      <c r="D2482" s="5" t="s">
        <v>91</v>
      </c>
      <c r="E2482" s="5" t="s">
        <v>232</v>
      </c>
      <c r="F2482" s="9">
        <v>30</v>
      </c>
      <c r="G2482" s="9">
        <v>351</v>
      </c>
      <c r="H2482" s="5" t="s">
        <v>21</v>
      </c>
      <c r="I2482" s="5" t="s">
        <v>6457</v>
      </c>
      <c r="J2482" s="12" t="str">
        <f>HYPERLINK("https://www.boe.es/gazeta/dias/1802/04/13/pdfs/GMD-1802-30.pdf#page=7","Abrir facsímil")</f>
        <v>Abrir facsímil</v>
      </c>
      <c r="K2482" s="15" t="s">
        <v>23</v>
      </c>
    </row>
    <row r="2483" spans="1:11" ht="42" customHeight="1">
      <c r="A2483" s="4" t="s">
        <v>6445</v>
      </c>
      <c r="B2483" s="5" t="s">
        <v>6446</v>
      </c>
      <c r="C2483" s="5" t="s">
        <v>160</v>
      </c>
      <c r="D2483" s="5" t="s">
        <v>91</v>
      </c>
      <c r="E2483" s="5" t="s">
        <v>631</v>
      </c>
      <c r="F2483" s="9">
        <v>36</v>
      </c>
      <c r="G2483" s="9">
        <v>431</v>
      </c>
      <c r="H2483" s="5" t="s">
        <v>21</v>
      </c>
      <c r="I2483" s="5" t="s">
        <v>6458</v>
      </c>
      <c r="J2483" s="12" t="str">
        <f>HYPERLINK("https://www.boe.es/gazeta/dias/1802/05/04/pdfs/GMD-1802-36.pdf#page=11","Abrir facsímil")</f>
        <v>Abrir facsímil</v>
      </c>
      <c r="K2483" s="15" t="s">
        <v>23</v>
      </c>
    </row>
    <row r="2484" spans="1:11" ht="42" customHeight="1">
      <c r="A2484" s="4" t="s">
        <v>6445</v>
      </c>
      <c r="B2484" s="5" t="s">
        <v>6446</v>
      </c>
      <c r="C2484" s="5" t="s">
        <v>29</v>
      </c>
      <c r="D2484" s="5" t="s">
        <v>30</v>
      </c>
      <c r="E2484" s="5" t="s">
        <v>146</v>
      </c>
      <c r="F2484" s="9">
        <v>42</v>
      </c>
      <c r="G2484" s="9">
        <v>506</v>
      </c>
      <c r="H2484" s="5" t="s">
        <v>21</v>
      </c>
      <c r="I2484" s="5" t="s">
        <v>6459</v>
      </c>
      <c r="J2484" s="12" t="str">
        <f>HYPERLINK("https://www.boe.es/gazeta/dias/1802/05/25/pdfs/GMD-1802-42.pdf#page=10","Abrir facsímil")</f>
        <v>Abrir facsímil</v>
      </c>
      <c r="K2484" s="15" t="s">
        <v>23</v>
      </c>
    </row>
    <row r="2485" spans="1:11" ht="42" customHeight="1">
      <c r="A2485" s="4" t="s">
        <v>6445</v>
      </c>
      <c r="B2485" s="5" t="s">
        <v>6446</v>
      </c>
      <c r="C2485" s="5" t="s">
        <v>160</v>
      </c>
      <c r="D2485" s="5" t="s">
        <v>91</v>
      </c>
      <c r="E2485" s="5" t="s">
        <v>655</v>
      </c>
      <c r="F2485" s="9">
        <v>46</v>
      </c>
      <c r="G2485" s="9">
        <v>561</v>
      </c>
      <c r="H2485" s="5" t="s">
        <v>21</v>
      </c>
      <c r="I2485" s="5" t="s">
        <v>6460</v>
      </c>
      <c r="J2485" s="12" t="str">
        <f>HYPERLINK("https://www.boe.es/gazeta/dias/1802/06/08/pdfs/GMD-1802-46.pdf#page=13","Abrir facsímil")</f>
        <v>Abrir facsímil</v>
      </c>
      <c r="K2485" s="15" t="s">
        <v>23</v>
      </c>
    </row>
    <row r="2486" spans="1:11" ht="42" customHeight="1">
      <c r="A2486" s="4" t="s">
        <v>6461</v>
      </c>
      <c r="B2486" s="5" t="s">
        <v>6462</v>
      </c>
      <c r="C2486" s="5" t="s">
        <v>160</v>
      </c>
      <c r="D2486" s="5" t="s">
        <v>91</v>
      </c>
      <c r="E2486" s="5" t="s">
        <v>188</v>
      </c>
      <c r="F2486" s="9">
        <v>49</v>
      </c>
      <c r="G2486" s="9">
        <v>599</v>
      </c>
      <c r="H2486" s="5" t="s">
        <v>21</v>
      </c>
      <c r="I2486" s="5" t="s">
        <v>6463</v>
      </c>
      <c r="J2486" s="12" t="str">
        <f>HYPERLINK("https://www.boe.es/gazeta/dias/1802/06/18/pdfs/GMD-1802-49.pdf#page=11","Abrir facsímil")</f>
        <v>Abrir facsímil</v>
      </c>
      <c r="K2486" s="15" t="s">
        <v>23</v>
      </c>
    </row>
    <row r="2487" spans="1:11" ht="42" customHeight="1">
      <c r="A2487" s="4" t="s">
        <v>6464</v>
      </c>
      <c r="B2487" s="5" t="s">
        <v>6465</v>
      </c>
      <c r="C2487" s="5" t="s">
        <v>29</v>
      </c>
      <c r="D2487" s="5" t="s">
        <v>30</v>
      </c>
      <c r="E2487" s="5" t="s">
        <v>443</v>
      </c>
      <c r="F2487" s="9">
        <v>78</v>
      </c>
      <c r="G2487" s="9">
        <v>963</v>
      </c>
      <c r="H2487" s="5" t="s">
        <v>21</v>
      </c>
      <c r="I2487" s="5" t="s">
        <v>6466</v>
      </c>
      <c r="J2487" s="12" t="str">
        <f>HYPERLINK("https://www.boe.es/gazeta/dias/1802/09/24/pdfs/GMD-1802-78.pdf#page=11","Abrir facsímil")</f>
        <v>Abrir facsímil</v>
      </c>
      <c r="K2487" s="15" t="s">
        <v>23</v>
      </c>
    </row>
    <row r="2488" spans="1:11" ht="42" customHeight="1">
      <c r="A2488" s="4" t="s">
        <v>6467</v>
      </c>
      <c r="B2488" s="5" t="s">
        <v>6468</v>
      </c>
      <c r="C2488" s="5" t="s">
        <v>29</v>
      </c>
      <c r="D2488" s="5" t="s">
        <v>30</v>
      </c>
      <c r="E2488" s="5" t="s">
        <v>921</v>
      </c>
      <c r="F2488" s="9">
        <v>50</v>
      </c>
      <c r="G2488" s="9">
        <v>610</v>
      </c>
      <c r="H2488" s="5" t="s">
        <v>21</v>
      </c>
      <c r="I2488" s="5" t="s">
        <v>6469</v>
      </c>
      <c r="J2488" s="12" t="str">
        <f>HYPERLINK("https://www.boe.es/gazeta/dias/1802/06/22/pdfs/GMD-1802-50.pdf#page=10","Abrir facsímil")</f>
        <v>Abrir facsímil</v>
      </c>
      <c r="K2488" s="15" t="s">
        <v>23</v>
      </c>
    </row>
    <row r="2489" spans="1:11" ht="42" customHeight="1">
      <c r="A2489" s="4" t="s">
        <v>6470</v>
      </c>
      <c r="B2489" s="5" t="s">
        <v>6471</v>
      </c>
      <c r="C2489" s="5" t="s">
        <v>29</v>
      </c>
      <c r="D2489" s="5" t="s">
        <v>30</v>
      </c>
      <c r="E2489" s="5" t="s">
        <v>1749</v>
      </c>
      <c r="F2489" s="9">
        <v>60</v>
      </c>
      <c r="G2489" s="9">
        <v>728</v>
      </c>
      <c r="H2489" s="5" t="s">
        <v>21</v>
      </c>
      <c r="I2489" s="5" t="s">
        <v>6472</v>
      </c>
      <c r="J2489" s="12" t="str">
        <f>HYPERLINK("https://www.boe.es/gazeta/dias/1802/07/23/pdfs/GMD-1802-60.pdf#page=12","Abrir facsímil")</f>
        <v>Abrir facsímil</v>
      </c>
      <c r="K2489" s="15" t="s">
        <v>23</v>
      </c>
    </row>
    <row r="2490" spans="1:11" ht="42" customHeight="1">
      <c r="A2490" s="4" t="s">
        <v>6473</v>
      </c>
      <c r="B2490" s="5" t="s">
        <v>6474</v>
      </c>
      <c r="C2490" s="5" t="s">
        <v>18</v>
      </c>
      <c r="D2490" s="5" t="s">
        <v>19</v>
      </c>
      <c r="E2490" s="5" t="s">
        <v>131</v>
      </c>
      <c r="F2490" s="9">
        <v>11</v>
      </c>
      <c r="G2490" s="9">
        <v>113</v>
      </c>
      <c r="H2490" s="5" t="s">
        <v>21</v>
      </c>
      <c r="I2490" s="5" t="s">
        <v>6475</v>
      </c>
      <c r="J2490" s="12" t="str">
        <f>HYPERLINK("https://www.boe.es/gazeta/dias/1802/02/05/pdfs/GMD-1802-11.pdf#page=9","Abrir facsímil")</f>
        <v>Abrir facsímil</v>
      </c>
      <c r="K2490" s="15" t="s">
        <v>23</v>
      </c>
    </row>
    <row r="2491" spans="1:11" ht="42" customHeight="1">
      <c r="A2491" s="4" t="s">
        <v>6473</v>
      </c>
      <c r="B2491" s="5" t="s">
        <v>6474</v>
      </c>
      <c r="C2491" s="5" t="s">
        <v>42</v>
      </c>
      <c r="D2491" s="5" t="s">
        <v>43</v>
      </c>
      <c r="E2491" s="5" t="s">
        <v>44</v>
      </c>
      <c r="F2491" s="9">
        <v>99</v>
      </c>
      <c r="G2491" s="9" t="s">
        <v>78</v>
      </c>
      <c r="H2491" s="5" t="s">
        <v>21</v>
      </c>
      <c r="I2491" s="5" t="s">
        <v>6476</v>
      </c>
      <c r="J2491" s="12" t="str">
        <f>HYPERLINK("https://www.boe.es/gazeta/dias/1802/12/07/pdfs/GMD-D-1802-99.pdf#page=15","Abrir facsímil")</f>
        <v>Abrir facsímil</v>
      </c>
      <c r="K2491" s="15" t="s">
        <v>23</v>
      </c>
    </row>
    <row r="2492" spans="1:11" ht="42" customHeight="1">
      <c r="A2492" s="4" t="s">
        <v>6477</v>
      </c>
      <c r="B2492" s="5" t="s">
        <v>6478</v>
      </c>
      <c r="C2492" s="5" t="s">
        <v>90</v>
      </c>
      <c r="D2492" s="5" t="s">
        <v>91</v>
      </c>
      <c r="E2492" s="5" t="s">
        <v>749</v>
      </c>
      <c r="F2492" s="9">
        <v>97</v>
      </c>
      <c r="G2492" s="9">
        <v>1203</v>
      </c>
      <c r="H2492" s="5" t="s">
        <v>21</v>
      </c>
      <c r="I2492" s="5" t="s">
        <v>6479</v>
      </c>
      <c r="J2492" s="12" t="str">
        <f>HYPERLINK("https://www.boe.es/gazeta/dias/1802/11/30/pdfs/GMD-1802-97.pdf#page=11","Abrir facsímil")</f>
        <v>Abrir facsímil</v>
      </c>
      <c r="K2492" s="15" t="s">
        <v>23</v>
      </c>
    </row>
    <row r="2493" spans="1:11" ht="42" customHeight="1">
      <c r="A2493" s="4" t="s">
        <v>6480</v>
      </c>
      <c r="B2493" s="5" t="s">
        <v>6481</v>
      </c>
      <c r="C2493" s="5" t="s">
        <v>90</v>
      </c>
      <c r="D2493" s="5" t="s">
        <v>91</v>
      </c>
      <c r="E2493" s="5" t="s">
        <v>590</v>
      </c>
      <c r="F2493" s="9">
        <v>38</v>
      </c>
      <c r="G2493" s="9">
        <v>454</v>
      </c>
      <c r="H2493" s="5" t="s">
        <v>21</v>
      </c>
      <c r="I2493" s="5" t="s">
        <v>6482</v>
      </c>
      <c r="J2493" s="12" t="str">
        <f>HYPERLINK("https://www.boe.es/gazeta/dias/1802/05/11/pdfs/GMD-1802-38.pdf#page=10","Abrir facsímil")</f>
        <v>Abrir facsímil</v>
      </c>
      <c r="K2493" s="15" t="s">
        <v>23</v>
      </c>
    </row>
    <row r="2494" spans="1:11" ht="42" customHeight="1">
      <c r="A2494" s="4" t="s">
        <v>6483</v>
      </c>
      <c r="B2494" s="5" t="s">
        <v>6484</v>
      </c>
      <c r="C2494" s="5" t="s">
        <v>18</v>
      </c>
      <c r="D2494" s="5" t="s">
        <v>19</v>
      </c>
      <c r="E2494" s="5" t="s">
        <v>49</v>
      </c>
      <c r="F2494" s="9">
        <v>83</v>
      </c>
      <c r="G2494" s="9">
        <v>1025</v>
      </c>
      <c r="H2494" s="5" t="s">
        <v>21</v>
      </c>
      <c r="I2494" s="5" t="s">
        <v>6485</v>
      </c>
      <c r="J2494" s="12" t="str">
        <f>HYPERLINK("https://www.boe.es/gazeta/dias/1802/10/12/pdfs/GMD-1802-83.pdf#page=13","Abrir facsímil")</f>
        <v>Abrir facsímil</v>
      </c>
      <c r="K2494" s="15" t="s">
        <v>23</v>
      </c>
    </row>
    <row r="2495" spans="1:11" ht="42" customHeight="1">
      <c r="A2495" s="4" t="s">
        <v>6486</v>
      </c>
      <c r="B2495" s="5" t="s">
        <v>6487</v>
      </c>
      <c r="C2495" s="5" t="s">
        <v>42</v>
      </c>
      <c r="D2495" s="5" t="s">
        <v>43</v>
      </c>
      <c r="E2495" s="5" t="s">
        <v>44</v>
      </c>
      <c r="F2495" s="9">
        <v>99</v>
      </c>
      <c r="G2495" s="9" t="s">
        <v>558</v>
      </c>
      <c r="H2495" s="5" t="s">
        <v>21</v>
      </c>
      <c r="I2495" s="5" t="s">
        <v>6488</v>
      </c>
      <c r="J2495" s="12" t="str">
        <f>HYPERLINK("https://www.boe.es/gazeta/dias/1802/12/07/pdfs/GMD-D-1802-99.pdf#page=1","Abrir facsímil")</f>
        <v>Abrir facsímil</v>
      </c>
      <c r="K2495" s="15" t="s">
        <v>23</v>
      </c>
    </row>
    <row r="2496" spans="1:11" ht="42" customHeight="1">
      <c r="A2496" s="4" t="s">
        <v>6489</v>
      </c>
      <c r="B2496" s="5" t="s">
        <v>6490</v>
      </c>
      <c r="C2496" s="5" t="s">
        <v>90</v>
      </c>
      <c r="D2496" s="5" t="s">
        <v>91</v>
      </c>
      <c r="E2496" s="5" t="s">
        <v>678</v>
      </c>
      <c r="F2496" s="9">
        <v>15</v>
      </c>
      <c r="G2496" s="9">
        <v>157</v>
      </c>
      <c r="H2496" s="5" t="s">
        <v>21</v>
      </c>
      <c r="I2496" s="5" t="s">
        <v>6491</v>
      </c>
      <c r="J2496" s="12" t="str">
        <f>HYPERLINK("https://www.boe.es/gazeta/dias/1802/02/19/pdfs/GMD-1802-15.pdf#page=9","Abrir facsímil")</f>
        <v>Abrir facsímil</v>
      </c>
      <c r="K2496" s="15" t="s">
        <v>23</v>
      </c>
    </row>
    <row r="2497" spans="1:11" ht="42" customHeight="1">
      <c r="A2497" s="4" t="s">
        <v>6492</v>
      </c>
      <c r="B2497" s="5" t="s">
        <v>6492</v>
      </c>
      <c r="C2497" s="5" t="s">
        <v>29</v>
      </c>
      <c r="D2497" s="5" t="s">
        <v>30</v>
      </c>
      <c r="E2497" s="5" t="s">
        <v>900</v>
      </c>
      <c r="F2497" s="9">
        <v>16</v>
      </c>
      <c r="G2497" s="9">
        <v>165</v>
      </c>
      <c r="H2497" s="5" t="s">
        <v>21</v>
      </c>
      <c r="I2497" s="5" t="s">
        <v>6493</v>
      </c>
      <c r="J2497" s="12" t="str">
        <f>HYPERLINK("https://www.boe.es/gazeta/dias/1802/02/23/pdfs/GMD-1802-16.pdf#page=5","Abrir facsímil")</f>
        <v>Abrir facsímil</v>
      </c>
      <c r="K2497" s="15" t="s">
        <v>23</v>
      </c>
    </row>
    <row r="2498" spans="1:11" ht="42" customHeight="1">
      <c r="A2498" s="4" t="s">
        <v>6492</v>
      </c>
      <c r="B2498" s="5" t="s">
        <v>6492</v>
      </c>
      <c r="C2498" s="5" t="s">
        <v>35</v>
      </c>
      <c r="D2498" s="5" t="s">
        <v>36</v>
      </c>
      <c r="E2498" s="5" t="s">
        <v>311</v>
      </c>
      <c r="F2498" s="9">
        <v>88</v>
      </c>
      <c r="G2498" s="9">
        <v>1091</v>
      </c>
      <c r="H2498" s="5" t="s">
        <v>21</v>
      </c>
      <c r="I2498" s="5" t="s">
        <v>6494</v>
      </c>
      <c r="J2498" s="12" t="str">
        <f>HYPERLINK("https://www.boe.es/gazeta/dias/1802/10/29/pdfs/GMD-1802-88.pdf#page=7","Abrir facsímil")</f>
        <v>Abrir facsímil</v>
      </c>
      <c r="K2498" s="15" t="s">
        <v>23</v>
      </c>
    </row>
    <row r="2499" spans="1:11" ht="42" customHeight="1">
      <c r="A2499" s="4" t="s">
        <v>6495</v>
      </c>
      <c r="B2499" s="5" t="s">
        <v>6495</v>
      </c>
      <c r="C2499" s="5" t="s">
        <v>29</v>
      </c>
      <c r="D2499" s="5" t="s">
        <v>30</v>
      </c>
      <c r="E2499" s="5" t="s">
        <v>92</v>
      </c>
      <c r="F2499" s="9">
        <v>29</v>
      </c>
      <c r="G2499" s="9">
        <v>342</v>
      </c>
      <c r="H2499" s="5" t="s">
        <v>21</v>
      </c>
      <c r="I2499" s="5" t="s">
        <v>6496</v>
      </c>
      <c r="J2499" s="12" t="str">
        <f>HYPERLINK("https://www.boe.es/gazeta/dias/1802/04/09/pdfs/GMD-1802-29.pdf#page=10","Abrir facsímil")</f>
        <v>Abrir facsímil</v>
      </c>
      <c r="K2499" s="15" t="s">
        <v>23</v>
      </c>
    </row>
    <row r="2500" spans="1:11" ht="42" customHeight="1">
      <c r="A2500" s="4" t="s">
        <v>6495</v>
      </c>
      <c r="B2500" s="5" t="s">
        <v>6495</v>
      </c>
      <c r="C2500" s="5" t="s">
        <v>18</v>
      </c>
      <c r="D2500" s="5" t="s">
        <v>19</v>
      </c>
      <c r="E2500" s="5" t="s">
        <v>670</v>
      </c>
      <c r="F2500" s="9">
        <v>40</v>
      </c>
      <c r="G2500" s="9">
        <v>481</v>
      </c>
      <c r="H2500" s="5" t="s">
        <v>21</v>
      </c>
      <c r="I2500" s="5" t="s">
        <v>6497</v>
      </c>
      <c r="J2500" s="12" t="str">
        <f>HYPERLINK("https://www.boe.es/gazeta/dias/1802/05/18/pdfs/GMD-1802-40.pdf#page=9","Abrir facsímil")</f>
        <v>Abrir facsímil</v>
      </c>
      <c r="K2500" s="15" t="s">
        <v>23</v>
      </c>
    </row>
    <row r="2501" spans="1:11" ht="42" customHeight="1">
      <c r="A2501" s="4" t="s">
        <v>6498</v>
      </c>
      <c r="B2501" s="5" t="s">
        <v>6498</v>
      </c>
      <c r="C2501" s="5" t="s">
        <v>35</v>
      </c>
      <c r="D2501" s="5" t="s">
        <v>36</v>
      </c>
      <c r="E2501" s="5" t="s">
        <v>146</v>
      </c>
      <c r="F2501" s="9">
        <v>42</v>
      </c>
      <c r="G2501" s="9">
        <v>500</v>
      </c>
      <c r="H2501" s="5" t="s">
        <v>21</v>
      </c>
      <c r="I2501" s="5" t="s">
        <v>6499</v>
      </c>
      <c r="J2501" s="12" t="str">
        <f>HYPERLINK("https://www.boe.es/gazeta/dias/1802/05/25/pdfs/GMD-1802-42.pdf#page=4","Abrir facsímil")</f>
        <v>Abrir facsímil</v>
      </c>
      <c r="K2501" s="15" t="s">
        <v>23</v>
      </c>
    </row>
    <row r="2502" spans="1:11" ht="42" customHeight="1">
      <c r="A2502" s="4" t="s">
        <v>6500</v>
      </c>
      <c r="B2502" s="5" t="s">
        <v>6500</v>
      </c>
      <c r="C2502" s="5" t="s">
        <v>160</v>
      </c>
      <c r="D2502" s="5" t="s">
        <v>91</v>
      </c>
      <c r="E2502" s="5" t="s">
        <v>332</v>
      </c>
      <c r="F2502" s="9">
        <v>24</v>
      </c>
      <c r="G2502" s="9">
        <v>275</v>
      </c>
      <c r="H2502" s="5" t="s">
        <v>21</v>
      </c>
      <c r="I2502" s="5" t="s">
        <v>6501</v>
      </c>
      <c r="J2502" s="12" t="str">
        <f>HYPERLINK("https://www.boe.es/gazeta/dias/1802/03/23/pdfs/GMD-1802-24.pdf#page=11","Abrir facsímil")</f>
        <v>Abrir facsímil</v>
      </c>
      <c r="K2502" s="15" t="s">
        <v>23</v>
      </c>
    </row>
    <row r="2503" spans="1:11" ht="42" customHeight="1">
      <c r="A2503" s="4" t="s">
        <v>6502</v>
      </c>
      <c r="B2503" s="5" t="s">
        <v>6502</v>
      </c>
      <c r="C2503" s="5" t="s">
        <v>18</v>
      </c>
      <c r="D2503" s="5" t="s">
        <v>19</v>
      </c>
      <c r="E2503" s="5" t="s">
        <v>49</v>
      </c>
      <c r="F2503" s="9">
        <v>83</v>
      </c>
      <c r="G2503" s="9">
        <v>1019</v>
      </c>
      <c r="H2503" s="5" t="s">
        <v>21</v>
      </c>
      <c r="I2503" s="5" t="s">
        <v>6503</v>
      </c>
      <c r="J2503" s="12" t="str">
        <f>HYPERLINK("https://www.boe.es/gazeta/dias/1802/10/12/pdfs/GMD-1802-83.pdf#page=7","Abrir facsímil")</f>
        <v>Abrir facsímil</v>
      </c>
      <c r="K2503" s="15" t="s">
        <v>23</v>
      </c>
    </row>
    <row r="2504" spans="1:11" ht="42" customHeight="1">
      <c r="A2504" s="4" t="s">
        <v>6504</v>
      </c>
      <c r="B2504" s="5" t="s">
        <v>6504</v>
      </c>
      <c r="C2504" s="5" t="s">
        <v>42</v>
      </c>
      <c r="D2504" s="5" t="s">
        <v>43</v>
      </c>
      <c r="E2504" s="5" t="s">
        <v>44</v>
      </c>
      <c r="F2504" s="9">
        <v>99</v>
      </c>
      <c r="G2504" s="9" t="s">
        <v>554</v>
      </c>
      <c r="H2504" s="5" t="s">
        <v>21</v>
      </c>
      <c r="I2504" s="5" t="s">
        <v>6505</v>
      </c>
      <c r="J2504" s="12" t="str">
        <f>HYPERLINK("https://www.boe.es/gazeta/dias/1802/12/07/pdfs/GMD-D-1802-99.pdf#page=4","Abrir facsímil")</f>
        <v>Abrir facsímil</v>
      </c>
      <c r="K2504" s="15" t="s">
        <v>23</v>
      </c>
    </row>
    <row r="2505" spans="1:11" ht="42" customHeight="1">
      <c r="A2505" s="4" t="s">
        <v>6506</v>
      </c>
      <c r="B2505" s="5" t="s">
        <v>6507</v>
      </c>
      <c r="C2505" s="5" t="s">
        <v>55</v>
      </c>
      <c r="D2505" s="5" t="s">
        <v>56</v>
      </c>
      <c r="E2505" s="5" t="s">
        <v>75</v>
      </c>
      <c r="F2505" s="9">
        <v>103</v>
      </c>
      <c r="G2505" s="9">
        <v>1263</v>
      </c>
      <c r="H2505" s="5" t="s">
        <v>21</v>
      </c>
      <c r="I2505" s="5" t="s">
        <v>6508</v>
      </c>
      <c r="J2505" s="12" t="str">
        <f>HYPERLINK("https://www.boe.es/gazeta/dias/1802/12/21/pdfs/GMD-1802-103.pdf#page=7","Abrir facsímil")</f>
        <v>Abrir facsímil</v>
      </c>
      <c r="K2505" s="15" t="s">
        <v>23</v>
      </c>
    </row>
    <row r="2506" spans="1:11" ht="42" customHeight="1">
      <c r="A2506" s="4" t="s">
        <v>6509</v>
      </c>
      <c r="B2506" s="5" t="s">
        <v>6509</v>
      </c>
      <c r="C2506" s="5" t="s">
        <v>35</v>
      </c>
      <c r="D2506" s="5" t="s">
        <v>36</v>
      </c>
      <c r="E2506" s="5" t="s">
        <v>865</v>
      </c>
      <c r="F2506" s="9">
        <v>12</v>
      </c>
      <c r="G2506" s="9">
        <v>119</v>
      </c>
      <c r="H2506" s="5" t="s">
        <v>21</v>
      </c>
      <c r="I2506" s="5" t="s">
        <v>6510</v>
      </c>
      <c r="J2506" s="12" t="str">
        <f>HYPERLINK("https://www.boe.es/gazeta/dias/1802/02/09/pdfs/GMD-1802-12.pdf#page=3","Abrir facsímil")</f>
        <v>Abrir facsímil</v>
      </c>
      <c r="K2506" s="15" t="s">
        <v>23</v>
      </c>
    </row>
    <row r="2507" spans="1:11" ht="42" customHeight="1">
      <c r="A2507" s="4" t="s">
        <v>6509</v>
      </c>
      <c r="B2507" s="5" t="s">
        <v>6509</v>
      </c>
      <c r="C2507" s="5" t="s">
        <v>35</v>
      </c>
      <c r="D2507" s="5" t="s">
        <v>36</v>
      </c>
      <c r="E2507" s="5" t="s">
        <v>1618</v>
      </c>
      <c r="F2507" s="9">
        <v>31</v>
      </c>
      <c r="G2507" s="9">
        <v>358</v>
      </c>
      <c r="H2507" s="5" t="s">
        <v>21</v>
      </c>
      <c r="I2507" s="5" t="s">
        <v>6511</v>
      </c>
      <c r="J2507" s="12" t="str">
        <f>HYPERLINK("https://www.boe.es/gazeta/dias/1802/04/16/pdfs/GMD-1802-31.pdf#page=2","Abrir facsímil")</f>
        <v>Abrir facsímil</v>
      </c>
      <c r="K2507" s="15" t="s">
        <v>23</v>
      </c>
    </row>
    <row r="2508" spans="1:11" ht="42" customHeight="1">
      <c r="A2508" s="4" t="s">
        <v>6509</v>
      </c>
      <c r="B2508" s="5" t="s">
        <v>6509</v>
      </c>
      <c r="C2508" s="5" t="s">
        <v>18</v>
      </c>
      <c r="D2508" s="5" t="s">
        <v>19</v>
      </c>
      <c r="E2508" s="5" t="s">
        <v>1051</v>
      </c>
      <c r="F2508" s="9">
        <v>43</v>
      </c>
      <c r="G2508" s="9">
        <v>514</v>
      </c>
      <c r="H2508" s="5" t="s">
        <v>21</v>
      </c>
      <c r="I2508" s="5" t="s">
        <v>6512</v>
      </c>
      <c r="J2508" s="12" t="str">
        <f>HYPERLINK("https://www.boe.es/gazeta/dias/1802/05/28/pdfs/GMD-1802-43.pdf#page=6","Abrir facsímil")</f>
        <v>Abrir facsímil</v>
      </c>
      <c r="K2508" s="15" t="s">
        <v>23</v>
      </c>
    </row>
    <row r="2509" spans="1:11" ht="42" customHeight="1">
      <c r="A2509" s="4" t="s">
        <v>6509</v>
      </c>
      <c r="B2509" s="5" t="s">
        <v>6509</v>
      </c>
      <c r="C2509" s="5" t="s">
        <v>35</v>
      </c>
      <c r="D2509" s="5" t="s">
        <v>36</v>
      </c>
      <c r="E2509" s="5" t="s">
        <v>436</v>
      </c>
      <c r="F2509" s="9">
        <v>58</v>
      </c>
      <c r="G2509" s="9">
        <v>697</v>
      </c>
      <c r="H2509" s="5" t="s">
        <v>21</v>
      </c>
      <c r="I2509" s="5" t="s">
        <v>6513</v>
      </c>
      <c r="J2509" s="12" t="str">
        <f>HYPERLINK("https://www.boe.es/gazeta/dias/1802/07/20/pdfs/GMD-1802-58.pdf#page=5","Abrir facsímil")</f>
        <v>Abrir facsímil</v>
      </c>
      <c r="K2509" s="15" t="s">
        <v>23</v>
      </c>
    </row>
    <row r="2510" spans="1:11" ht="42" customHeight="1">
      <c r="A2510" s="4" t="s">
        <v>6509</v>
      </c>
      <c r="B2510" s="5" t="s">
        <v>6509</v>
      </c>
      <c r="C2510" s="5" t="s">
        <v>35</v>
      </c>
      <c r="D2510" s="5" t="s">
        <v>36</v>
      </c>
      <c r="E2510" s="5" t="s">
        <v>517</v>
      </c>
      <c r="F2510" s="9">
        <v>61</v>
      </c>
      <c r="G2510" s="9">
        <v>737</v>
      </c>
      <c r="H2510" s="5" t="s">
        <v>21</v>
      </c>
      <c r="I2510" s="5" t="s">
        <v>6514</v>
      </c>
      <c r="J2510" s="12" t="str">
        <f>HYPERLINK("https://www.boe.es/gazeta/dias/1802/07/27/pdfs/GMD-1802-61.pdf#page=5","Abrir facsímil")</f>
        <v>Abrir facsímil</v>
      </c>
      <c r="K2510" s="15" t="s">
        <v>23</v>
      </c>
    </row>
    <row r="2511" spans="1:11" ht="42" customHeight="1">
      <c r="A2511" s="4" t="s">
        <v>6515</v>
      </c>
      <c r="B2511" s="5" t="s">
        <v>6515</v>
      </c>
      <c r="C2511" s="5" t="s">
        <v>18</v>
      </c>
      <c r="D2511" s="5" t="s">
        <v>19</v>
      </c>
      <c r="E2511" s="5" t="s">
        <v>258</v>
      </c>
      <c r="F2511" s="9">
        <v>63</v>
      </c>
      <c r="G2511" s="9">
        <v>766</v>
      </c>
      <c r="H2511" s="5" t="s">
        <v>21</v>
      </c>
      <c r="I2511" s="5" t="s">
        <v>6516</v>
      </c>
      <c r="J2511" s="12" t="str">
        <f>HYPERLINK("https://www.boe.es/gazeta/dias/1802/08/03/pdfs/GMD-1802-63.pdf#page=6","Abrir facsímil")</f>
        <v>Abrir facsímil</v>
      </c>
      <c r="K2511" s="15" t="s">
        <v>23</v>
      </c>
    </row>
    <row r="2512" spans="1:11" ht="42" customHeight="1">
      <c r="A2512" s="4" t="s">
        <v>6517</v>
      </c>
      <c r="B2512" s="5" t="s">
        <v>6517</v>
      </c>
      <c r="C2512" s="5" t="s">
        <v>29</v>
      </c>
      <c r="D2512" s="5" t="s">
        <v>30</v>
      </c>
      <c r="E2512" s="5" t="s">
        <v>73</v>
      </c>
      <c r="F2512" s="9">
        <v>102</v>
      </c>
      <c r="G2512" s="9">
        <v>1250</v>
      </c>
      <c r="H2512" s="5" t="s">
        <v>21</v>
      </c>
      <c r="I2512" s="5" t="s">
        <v>6518</v>
      </c>
      <c r="J2512" s="12" t="str">
        <f>HYPERLINK("https://www.boe.es/gazeta/dias/1802/12/17/pdfs/GMD-1802-102.pdf#page=6","Abrir facsímil")</f>
        <v>Abrir facsímil</v>
      </c>
      <c r="K2512" s="15" t="s">
        <v>23</v>
      </c>
    </row>
    <row r="2513" spans="1:11" ht="42" customHeight="1">
      <c r="A2513" s="4" t="s">
        <v>6519</v>
      </c>
      <c r="B2513" s="5" t="s">
        <v>6520</v>
      </c>
      <c r="C2513" s="5" t="s">
        <v>29</v>
      </c>
      <c r="D2513" s="5" t="s">
        <v>30</v>
      </c>
      <c r="E2513" s="5" t="s">
        <v>823</v>
      </c>
      <c r="F2513" s="9">
        <v>94</v>
      </c>
      <c r="G2513" s="9">
        <v>1161</v>
      </c>
      <c r="H2513" s="5" t="s">
        <v>21</v>
      </c>
      <c r="I2513" s="5" t="s">
        <v>6521</v>
      </c>
      <c r="J2513" s="12" t="str">
        <f>HYPERLINK("https://www.boe.es/gazeta/dias/1802/11/19/pdfs/GMD-1802-94.pdf#page=9","Abrir facsímil")</f>
        <v>Abrir facsímil</v>
      </c>
      <c r="K2513" s="15" t="s">
        <v>23</v>
      </c>
    </row>
    <row r="2514" spans="1:11" ht="42" customHeight="1">
      <c r="A2514" s="4" t="s">
        <v>6522</v>
      </c>
      <c r="B2514" s="5" t="s">
        <v>6523</v>
      </c>
      <c r="C2514" s="5" t="s">
        <v>42</v>
      </c>
      <c r="D2514" s="5" t="s">
        <v>43</v>
      </c>
      <c r="E2514" s="5" t="s">
        <v>44</v>
      </c>
      <c r="F2514" s="9">
        <v>99</v>
      </c>
      <c r="G2514" s="9" t="s">
        <v>262</v>
      </c>
      <c r="H2514" s="5" t="s">
        <v>21</v>
      </c>
      <c r="I2514" s="5" t="s">
        <v>6524</v>
      </c>
      <c r="J2514" s="12" t="str">
        <f>HYPERLINK("https://www.boe.es/gazeta/dias/1802/12/07/pdfs/GMD-D-1802-99.pdf#page=8","Abrir facsímil")</f>
        <v>Abrir facsímil</v>
      </c>
      <c r="K2514" s="15" t="s">
        <v>23</v>
      </c>
    </row>
    <row r="2515" spans="1:11" ht="42" customHeight="1">
      <c r="A2515" s="4" t="s">
        <v>6525</v>
      </c>
      <c r="B2515" s="5" t="s">
        <v>6526</v>
      </c>
      <c r="C2515" s="5" t="s">
        <v>42</v>
      </c>
      <c r="D2515" s="5" t="s">
        <v>43</v>
      </c>
      <c r="E2515" s="5" t="s">
        <v>44</v>
      </c>
      <c r="F2515" s="9">
        <v>99</v>
      </c>
      <c r="G2515" s="9" t="s">
        <v>222</v>
      </c>
      <c r="H2515" s="5" t="s">
        <v>21</v>
      </c>
      <c r="I2515" s="5" t="s">
        <v>6527</v>
      </c>
      <c r="J2515" s="12" t="str">
        <f>HYPERLINK("https://www.boe.es/gazeta/dias/1802/12/07/pdfs/GMD-D-1802-99.pdf#page=5","Abrir facsímil")</f>
        <v>Abrir facsímil</v>
      </c>
      <c r="K2515" s="15" t="s">
        <v>23</v>
      </c>
    </row>
    <row r="2516" spans="1:11" ht="42" customHeight="1">
      <c r="A2516" s="4" t="s">
        <v>6528</v>
      </c>
      <c r="B2516" s="5" t="s">
        <v>6529</v>
      </c>
      <c r="C2516" s="5" t="s">
        <v>18</v>
      </c>
      <c r="D2516" s="5" t="s">
        <v>19</v>
      </c>
      <c r="E2516" s="5" t="s">
        <v>517</v>
      </c>
      <c r="F2516" s="9">
        <v>61</v>
      </c>
      <c r="G2516" s="9">
        <v>743</v>
      </c>
      <c r="H2516" s="5" t="s">
        <v>21</v>
      </c>
      <c r="I2516" s="5" t="s">
        <v>6530</v>
      </c>
      <c r="J2516" s="12" t="str">
        <f>HYPERLINK("https://www.boe.es/gazeta/dias/1802/07/27/pdfs/GMD-1802-61.pdf#page=11","Abrir facsímil")</f>
        <v>Abrir facsímil</v>
      </c>
      <c r="K2516" s="15" t="s">
        <v>23</v>
      </c>
    </row>
    <row r="2517" spans="1:11" ht="42" customHeight="1">
      <c r="A2517" s="4" t="s">
        <v>6531</v>
      </c>
      <c r="B2517" s="5" t="s">
        <v>6532</v>
      </c>
      <c r="C2517" s="5" t="s">
        <v>29</v>
      </c>
      <c r="D2517" s="5" t="s">
        <v>30</v>
      </c>
      <c r="E2517" s="5" t="s">
        <v>655</v>
      </c>
      <c r="F2517" s="9">
        <v>46</v>
      </c>
      <c r="G2517" s="9">
        <v>558</v>
      </c>
      <c r="H2517" s="5" t="s">
        <v>21</v>
      </c>
      <c r="I2517" s="5" t="s">
        <v>6533</v>
      </c>
      <c r="J2517" s="12" t="str">
        <f>HYPERLINK("https://www.boe.es/gazeta/dias/1802/06/08/pdfs/GMD-1802-46.pdf#page=10","Abrir facsímil")</f>
        <v>Abrir facsímil</v>
      </c>
      <c r="K2517" s="15" t="s">
        <v>23</v>
      </c>
    </row>
    <row r="2518" spans="1:11" ht="42" customHeight="1">
      <c r="A2518" s="4" t="s">
        <v>6534</v>
      </c>
      <c r="B2518" s="5" t="s">
        <v>6535</v>
      </c>
      <c r="C2518" s="5" t="s">
        <v>18</v>
      </c>
      <c r="D2518" s="5" t="s">
        <v>19</v>
      </c>
      <c r="E2518" s="5" t="s">
        <v>25</v>
      </c>
      <c r="F2518" s="9">
        <v>44</v>
      </c>
      <c r="G2518" s="9">
        <v>531</v>
      </c>
      <c r="H2518" s="5" t="s">
        <v>21</v>
      </c>
      <c r="I2518" s="5" t="s">
        <v>6536</v>
      </c>
      <c r="J2518" s="12" t="str">
        <f>HYPERLINK("https://www.boe.es/gazeta/dias/1802/06/01/pdfs/GMD-1802-44.pdf#page=7","Abrir facsímil")</f>
        <v>Abrir facsímil</v>
      </c>
      <c r="K2518" s="15" t="s">
        <v>23</v>
      </c>
    </row>
    <row r="2519" spans="1:11" ht="42" customHeight="1">
      <c r="A2519" s="4" t="s">
        <v>6537</v>
      </c>
      <c r="B2519" s="5" t="s">
        <v>6537</v>
      </c>
      <c r="C2519" s="5" t="s">
        <v>35</v>
      </c>
      <c r="D2519" s="5" t="s">
        <v>36</v>
      </c>
      <c r="E2519" s="5" t="s">
        <v>389</v>
      </c>
      <c r="F2519" s="9">
        <v>96</v>
      </c>
      <c r="G2519" s="9">
        <v>1185</v>
      </c>
      <c r="H2519" s="5" t="s">
        <v>21</v>
      </c>
      <c r="I2519" s="5" t="s">
        <v>6538</v>
      </c>
      <c r="J2519" s="12" t="str">
        <f>HYPERLINK("https://www.boe.es/gazeta/dias/1802/11/26/pdfs/GMD-1802-96.pdf#page=5","Abrir facsímil")</f>
        <v>Abrir facsímil</v>
      </c>
      <c r="K2519" s="15" t="s">
        <v>23</v>
      </c>
    </row>
    <row r="2520" spans="1:11" ht="42" customHeight="1">
      <c r="A2520" s="4" t="s">
        <v>6539</v>
      </c>
      <c r="B2520" s="5" t="s">
        <v>6539</v>
      </c>
      <c r="C2520" s="5" t="s">
        <v>55</v>
      </c>
      <c r="D2520" s="5" t="s">
        <v>56</v>
      </c>
      <c r="E2520" s="5" t="s">
        <v>73</v>
      </c>
      <c r="F2520" s="9">
        <v>102</v>
      </c>
      <c r="G2520" s="9">
        <v>1245</v>
      </c>
      <c r="H2520" s="5" t="s">
        <v>21</v>
      </c>
      <c r="I2520" s="5" t="s">
        <v>6540</v>
      </c>
      <c r="J2520" s="12" t="str">
        <f>HYPERLINK("https://www.boe.es/gazeta/dias/1802/12/17/pdfs/GMD-1802-102.pdf#page=1","Abrir facsímil")</f>
        <v>Abrir facsímil</v>
      </c>
      <c r="K2520" s="15" t="s">
        <v>23</v>
      </c>
    </row>
    <row r="2521" spans="1:11" ht="42" customHeight="1">
      <c r="A2521" s="4" t="s">
        <v>6541</v>
      </c>
      <c r="B2521" s="5" t="s">
        <v>6541</v>
      </c>
      <c r="C2521" s="5" t="s">
        <v>35</v>
      </c>
      <c r="D2521" s="5" t="s">
        <v>36</v>
      </c>
      <c r="E2521" s="5" t="s">
        <v>1185</v>
      </c>
      <c r="F2521" s="9">
        <v>93</v>
      </c>
      <c r="G2521" s="9">
        <v>1145</v>
      </c>
      <c r="H2521" s="5" t="s">
        <v>21</v>
      </c>
      <c r="I2521" s="5" t="s">
        <v>6542</v>
      </c>
      <c r="J2521" s="12" t="str">
        <f>HYPERLINK("https://www.boe.es/gazeta/dias/1802/11/16/pdfs/GMD-1802-93.pdf#page=5","Abrir facsímil")</f>
        <v>Abrir facsímil</v>
      </c>
      <c r="K2521" s="15" t="s">
        <v>23</v>
      </c>
    </row>
    <row r="2522" spans="1:11" ht="42" customHeight="1">
      <c r="A2522" s="4" t="s">
        <v>6543</v>
      </c>
      <c r="B2522" s="5" t="s">
        <v>6543</v>
      </c>
      <c r="C2522" s="5" t="s">
        <v>35</v>
      </c>
      <c r="D2522" s="5" t="s">
        <v>36</v>
      </c>
      <c r="E2522" s="5" t="s">
        <v>389</v>
      </c>
      <c r="F2522" s="9">
        <v>96</v>
      </c>
      <c r="G2522" s="9">
        <v>1185</v>
      </c>
      <c r="H2522" s="5" t="s">
        <v>21</v>
      </c>
      <c r="I2522" s="5" t="s">
        <v>6538</v>
      </c>
      <c r="J2522" s="12" t="str">
        <f>HYPERLINK("https://www.boe.es/gazeta/dias/1802/11/26/pdfs/GMD-1802-96.pdf#page=5","Abrir facsímil")</f>
        <v>Abrir facsímil</v>
      </c>
      <c r="K2522" s="15" t="s">
        <v>23</v>
      </c>
    </row>
    <row r="2523" spans="1:11" ht="42" customHeight="1">
      <c r="A2523" s="4" t="s">
        <v>6544</v>
      </c>
      <c r="B2523" s="5" t="s">
        <v>6544</v>
      </c>
      <c r="C2523" s="5" t="s">
        <v>18</v>
      </c>
      <c r="D2523" s="5" t="s">
        <v>19</v>
      </c>
      <c r="E2523" s="5" t="s">
        <v>128</v>
      </c>
      <c r="F2523" s="9">
        <v>9</v>
      </c>
      <c r="G2523" s="9">
        <v>87</v>
      </c>
      <c r="H2523" s="5" t="s">
        <v>21</v>
      </c>
      <c r="I2523" s="5" t="s">
        <v>6545</v>
      </c>
      <c r="J2523" s="12" t="str">
        <f>HYPERLINK("https://www.boe.es/gazeta/dias/1802/01/29/pdfs/GMD-1802-9.pdf#page=7","Abrir facsímil")</f>
        <v>Abrir facsímil</v>
      </c>
      <c r="K2523" s="15" t="s">
        <v>23</v>
      </c>
    </row>
    <row r="2524" spans="1:11" ht="42" customHeight="1">
      <c r="A2524" s="4" t="s">
        <v>6546</v>
      </c>
      <c r="B2524" s="5" t="s">
        <v>6546</v>
      </c>
      <c r="C2524" s="5" t="s">
        <v>35</v>
      </c>
      <c r="D2524" s="5" t="s">
        <v>36</v>
      </c>
      <c r="E2524" s="5" t="s">
        <v>31</v>
      </c>
      <c r="F2524" s="9">
        <v>27</v>
      </c>
      <c r="G2524" s="9">
        <v>312</v>
      </c>
      <c r="H2524" s="5" t="s">
        <v>21</v>
      </c>
      <c r="I2524" s="5" t="s">
        <v>6547</v>
      </c>
      <c r="J2524" s="12" t="str">
        <f>HYPERLINK("https://www.boe.es/gazeta/dias/1802/04/02/pdfs/GMD-1802-27.pdf#page=8","Abrir facsímil")</f>
        <v>Abrir facsímil</v>
      </c>
      <c r="K2524" s="15" t="s">
        <v>23</v>
      </c>
    </row>
    <row r="2525" spans="1:11" ht="42" customHeight="1">
      <c r="A2525" s="4" t="s">
        <v>6548</v>
      </c>
      <c r="B2525" s="5" t="s">
        <v>6548</v>
      </c>
      <c r="C2525" s="5" t="s">
        <v>35</v>
      </c>
      <c r="D2525" s="5" t="s">
        <v>36</v>
      </c>
      <c r="E2525" s="5" t="s">
        <v>170</v>
      </c>
      <c r="F2525" s="9">
        <v>28</v>
      </c>
      <c r="G2525" s="9">
        <v>324</v>
      </c>
      <c r="H2525" s="5" t="s">
        <v>21</v>
      </c>
      <c r="I2525" s="5" t="s">
        <v>6549</v>
      </c>
      <c r="J2525" s="12" t="str">
        <f>HYPERLINK("https://www.boe.es/gazeta/dias/1802/04/06/pdfs/GMD-1802-28.pdf#page=4","Abrir facsímil")</f>
        <v>Abrir facsímil</v>
      </c>
      <c r="K2525" s="15" t="s">
        <v>23</v>
      </c>
    </row>
    <row r="2526" spans="1:11" ht="42" customHeight="1">
      <c r="A2526" s="4" t="s">
        <v>6550</v>
      </c>
      <c r="B2526" s="5" t="s">
        <v>6550</v>
      </c>
      <c r="C2526" s="5" t="s">
        <v>18</v>
      </c>
      <c r="D2526" s="5" t="s">
        <v>19</v>
      </c>
      <c r="E2526" s="5" t="s">
        <v>20</v>
      </c>
      <c r="F2526" s="9">
        <v>84</v>
      </c>
      <c r="G2526" s="9">
        <v>1043</v>
      </c>
      <c r="H2526" s="5" t="s">
        <v>21</v>
      </c>
      <c r="I2526" s="5" t="s">
        <v>6551</v>
      </c>
      <c r="J2526" s="12" t="str">
        <f>HYPERLINK("https://www.boe.es/gazeta/dias/1802/10/15/pdfs/GMD-1802-84.pdf#page=11","Abrir facsímil")</f>
        <v>Abrir facsímil</v>
      </c>
      <c r="K2526" s="15" t="s">
        <v>23</v>
      </c>
    </row>
    <row r="2527" spans="1:11" ht="42" customHeight="1">
      <c r="A2527" s="4" t="s">
        <v>6552</v>
      </c>
      <c r="B2527" s="5" t="s">
        <v>6552</v>
      </c>
      <c r="C2527" s="5" t="s">
        <v>35</v>
      </c>
      <c r="D2527" s="5" t="s">
        <v>36</v>
      </c>
      <c r="E2527" s="5" t="s">
        <v>823</v>
      </c>
      <c r="F2527" s="9">
        <v>94</v>
      </c>
      <c r="G2527" s="9">
        <v>1157</v>
      </c>
      <c r="H2527" s="5" t="s">
        <v>21</v>
      </c>
      <c r="I2527" s="5" t="s">
        <v>6553</v>
      </c>
      <c r="J2527" s="12" t="str">
        <f>HYPERLINK("https://www.boe.es/gazeta/dias/1802/11/19/pdfs/GMD-1802-94.pdf#page=5","Abrir facsímil")</f>
        <v>Abrir facsímil</v>
      </c>
      <c r="K2527" s="15" t="s">
        <v>23</v>
      </c>
    </row>
    <row r="2528" spans="1:11" ht="42" customHeight="1">
      <c r="A2528" s="4" t="s">
        <v>6554</v>
      </c>
      <c r="B2528" s="5" t="s">
        <v>6555</v>
      </c>
      <c r="C2528" s="5" t="s">
        <v>29</v>
      </c>
      <c r="D2528" s="5" t="s">
        <v>30</v>
      </c>
      <c r="E2528" s="5" t="s">
        <v>453</v>
      </c>
      <c r="F2528" s="9">
        <v>52</v>
      </c>
      <c r="G2528" s="9">
        <v>627</v>
      </c>
      <c r="H2528" s="5" t="s">
        <v>21</v>
      </c>
      <c r="I2528" s="5" t="s">
        <v>6556</v>
      </c>
      <c r="J2528" s="12" t="str">
        <f>HYPERLINK("https://www.boe.es/gazeta/dias/1802/06/29/pdfs/GMD-1802-52.pdf#page=3","Abrir facsímil")</f>
        <v>Abrir facsímil</v>
      </c>
      <c r="K2528" s="15" t="s">
        <v>23</v>
      </c>
    </row>
    <row r="2529" spans="1:11" ht="42" customHeight="1">
      <c r="A2529" s="4" t="s">
        <v>6557</v>
      </c>
      <c r="B2529" s="5" t="s">
        <v>6557</v>
      </c>
      <c r="C2529" s="5" t="s">
        <v>29</v>
      </c>
      <c r="D2529" s="5" t="s">
        <v>30</v>
      </c>
      <c r="E2529" s="5" t="s">
        <v>49</v>
      </c>
      <c r="F2529" s="9">
        <v>83</v>
      </c>
      <c r="G2529" s="9">
        <v>1015</v>
      </c>
      <c r="H2529" s="5" t="s">
        <v>21</v>
      </c>
      <c r="I2529" s="5" t="s">
        <v>6558</v>
      </c>
      <c r="J2529" s="12" t="str">
        <f>HYPERLINK("https://www.boe.es/gazeta/dias/1802/10/12/pdfs/GMD-1802-83.pdf#page=3","Abrir facsímil")</f>
        <v>Abrir facsímil</v>
      </c>
      <c r="K2529" s="15" t="s">
        <v>23</v>
      </c>
    </row>
    <row r="2530" spans="1:11" ht="42" customHeight="1">
      <c r="A2530" s="4" t="s">
        <v>6559</v>
      </c>
      <c r="B2530" s="5" t="s">
        <v>6560</v>
      </c>
      <c r="C2530" s="5" t="s">
        <v>18</v>
      </c>
      <c r="D2530" s="5" t="s">
        <v>19</v>
      </c>
      <c r="E2530" s="5" t="s">
        <v>20</v>
      </c>
      <c r="F2530" s="9">
        <v>84</v>
      </c>
      <c r="G2530" s="9">
        <v>1043</v>
      </c>
      <c r="H2530" s="5" t="s">
        <v>21</v>
      </c>
      <c r="I2530" s="5" t="s">
        <v>6561</v>
      </c>
      <c r="J2530" s="12" t="str">
        <f>HYPERLINK("https://www.boe.es/gazeta/dias/1802/10/15/pdfs/GMD-1802-84.pdf#page=11","Abrir facsímil")</f>
        <v>Abrir facsímil</v>
      </c>
      <c r="K2530" s="15" t="s">
        <v>23</v>
      </c>
    </row>
    <row r="2531" spans="1:11" ht="42" customHeight="1">
      <c r="A2531" s="4" t="s">
        <v>6562</v>
      </c>
      <c r="B2531" s="5" t="s">
        <v>6562</v>
      </c>
      <c r="C2531" s="5" t="s">
        <v>35</v>
      </c>
      <c r="D2531" s="5" t="s">
        <v>36</v>
      </c>
      <c r="E2531" s="5" t="s">
        <v>206</v>
      </c>
      <c r="F2531" s="9">
        <v>22</v>
      </c>
      <c r="G2531" s="9">
        <v>235</v>
      </c>
      <c r="H2531" s="5" t="s">
        <v>21</v>
      </c>
      <c r="I2531" s="5" t="s">
        <v>6563</v>
      </c>
      <c r="J2531" s="12" t="str">
        <f>HYPERLINK("https://www.boe.es/gazeta/dias/1802/03/16/pdfs/GMD-1802-22.pdf#page=3","Abrir facsímil")</f>
        <v>Abrir facsímil</v>
      </c>
      <c r="K2531" s="15" t="s">
        <v>23</v>
      </c>
    </row>
    <row r="2532" spans="1:11" ht="42" customHeight="1">
      <c r="A2532" s="4" t="s">
        <v>6562</v>
      </c>
      <c r="B2532" s="5" t="s">
        <v>6562</v>
      </c>
      <c r="C2532" s="5" t="s">
        <v>29</v>
      </c>
      <c r="D2532" s="5" t="s">
        <v>30</v>
      </c>
      <c r="E2532" s="5" t="s">
        <v>1051</v>
      </c>
      <c r="F2532" s="9">
        <v>43</v>
      </c>
      <c r="G2532" s="9">
        <v>514</v>
      </c>
      <c r="H2532" s="5" t="s">
        <v>21</v>
      </c>
      <c r="I2532" s="5" t="s">
        <v>6564</v>
      </c>
      <c r="J2532" s="12" t="str">
        <f>HYPERLINK("https://www.boe.es/gazeta/dias/1802/05/28/pdfs/GMD-1802-43.pdf#page=6","Abrir facsímil")</f>
        <v>Abrir facsímil</v>
      </c>
      <c r="K2532" s="15" t="s">
        <v>23</v>
      </c>
    </row>
    <row r="2533" spans="1:11" ht="42" customHeight="1">
      <c r="A2533" s="4" t="s">
        <v>6565</v>
      </c>
      <c r="B2533" s="5" t="s">
        <v>6565</v>
      </c>
      <c r="C2533" s="5" t="s">
        <v>35</v>
      </c>
      <c r="D2533" s="5" t="s">
        <v>36</v>
      </c>
      <c r="E2533" s="5" t="s">
        <v>142</v>
      </c>
      <c r="F2533" s="9">
        <v>64</v>
      </c>
      <c r="G2533" s="9">
        <v>776</v>
      </c>
      <c r="H2533" s="5" t="s">
        <v>21</v>
      </c>
      <c r="I2533" s="5" t="s">
        <v>6566</v>
      </c>
      <c r="J2533" s="12" t="str">
        <f>HYPERLINK("https://www.boe.es/gazeta/dias/1802/08/06/pdfs/GMD-1802-64.pdf#page=4","Abrir facsímil")</f>
        <v>Abrir facsímil</v>
      </c>
      <c r="K2533" s="15" t="s">
        <v>23</v>
      </c>
    </row>
    <row r="2534" spans="1:11" ht="42" customHeight="1">
      <c r="A2534" s="4" t="s">
        <v>6562</v>
      </c>
      <c r="B2534" s="5" t="s">
        <v>6562</v>
      </c>
      <c r="C2534" s="5" t="s">
        <v>29</v>
      </c>
      <c r="D2534" s="5" t="s">
        <v>30</v>
      </c>
      <c r="E2534" s="5" t="s">
        <v>710</v>
      </c>
      <c r="F2534" s="9">
        <v>85</v>
      </c>
      <c r="G2534" s="9">
        <v>1053</v>
      </c>
      <c r="H2534" s="5" t="s">
        <v>21</v>
      </c>
      <c r="I2534" s="5" t="s">
        <v>6567</v>
      </c>
      <c r="J2534" s="12" t="str">
        <f>HYPERLINK("https://www.boe.es/gazeta/dias/1802/10/19/pdfs/GMD-1802-85.pdf#page=5","Abrir facsímil")</f>
        <v>Abrir facsímil</v>
      </c>
      <c r="K2534" s="15" t="s">
        <v>23</v>
      </c>
    </row>
    <row r="2535" spans="1:11" ht="42" customHeight="1">
      <c r="A2535" s="4" t="s">
        <v>6568</v>
      </c>
      <c r="B2535" s="5" t="s">
        <v>6569</v>
      </c>
      <c r="C2535" s="5" t="s">
        <v>90</v>
      </c>
      <c r="D2535" s="5" t="s">
        <v>91</v>
      </c>
      <c r="E2535" s="5" t="s">
        <v>921</v>
      </c>
      <c r="F2535" s="9">
        <v>50</v>
      </c>
      <c r="G2535" s="9">
        <v>603</v>
      </c>
      <c r="H2535" s="5" t="s">
        <v>21</v>
      </c>
      <c r="I2535" s="5" t="s">
        <v>6570</v>
      </c>
      <c r="J2535" s="12" t="str">
        <f>HYPERLINK("https://www.boe.es/gazeta/dias/1802/06/22/pdfs/GMD-1802-50.pdf#page=3","Abrir facsímil")</f>
        <v>Abrir facsímil</v>
      </c>
      <c r="K2535" s="15" t="s">
        <v>23</v>
      </c>
    </row>
    <row r="2536" spans="1:11" ht="42" customHeight="1">
      <c r="A2536" s="4" t="s">
        <v>6571</v>
      </c>
      <c r="B2536" s="5" t="s">
        <v>6571</v>
      </c>
      <c r="C2536" s="5" t="s">
        <v>29</v>
      </c>
      <c r="D2536" s="5" t="s">
        <v>30</v>
      </c>
      <c r="E2536" s="5" t="s">
        <v>1959</v>
      </c>
      <c r="F2536" s="9">
        <v>34</v>
      </c>
      <c r="G2536" s="9">
        <v>391</v>
      </c>
      <c r="H2536" s="5" t="s">
        <v>21</v>
      </c>
      <c r="I2536" s="5" t="s">
        <v>6572</v>
      </c>
      <c r="J2536" s="12" t="str">
        <f>HYPERLINK("https://www.boe.es/gazeta/dias/1802/04/27/pdfs/GMD-1802-34.pdf#page=3","Abrir facsímil")</f>
        <v>Abrir facsímil</v>
      </c>
      <c r="K2536" s="15" t="s">
        <v>23</v>
      </c>
    </row>
    <row r="2537" spans="1:11" ht="42" customHeight="1">
      <c r="A2537" s="4" t="s">
        <v>6573</v>
      </c>
      <c r="B2537" s="5" t="s">
        <v>6574</v>
      </c>
      <c r="C2537" s="5" t="s">
        <v>29</v>
      </c>
      <c r="D2537" s="5" t="s">
        <v>30</v>
      </c>
      <c r="E2537" s="5" t="s">
        <v>152</v>
      </c>
      <c r="F2537" s="9">
        <v>25</v>
      </c>
      <c r="G2537" s="9">
        <v>286</v>
      </c>
      <c r="H2537" s="5" t="s">
        <v>21</v>
      </c>
      <c r="I2537" s="5" t="s">
        <v>6575</v>
      </c>
      <c r="J2537" s="12" t="str">
        <f>HYPERLINK("https://www.boe.es/gazeta/dias/1802/03/26/pdfs/GMD-1802-25.pdf#page=10","Abrir facsímil")</f>
        <v>Abrir facsímil</v>
      </c>
      <c r="K2537" s="15" t="s">
        <v>23</v>
      </c>
    </row>
    <row r="2538" spans="1:11" ht="42" customHeight="1">
      <c r="A2538" s="4" t="s">
        <v>6576</v>
      </c>
      <c r="B2538" s="5" t="s">
        <v>6577</v>
      </c>
      <c r="C2538" s="5" t="s">
        <v>18</v>
      </c>
      <c r="D2538" s="5" t="s">
        <v>19</v>
      </c>
      <c r="E2538" s="5" t="s">
        <v>20</v>
      </c>
      <c r="F2538" s="9">
        <v>84</v>
      </c>
      <c r="G2538" s="9">
        <v>1047</v>
      </c>
      <c r="H2538" s="5" t="s">
        <v>21</v>
      </c>
      <c r="I2538" s="5" t="s">
        <v>6578</v>
      </c>
      <c r="J2538" s="12" t="str">
        <f>HYPERLINK("https://www.boe.es/gazeta/dias/1802/10/15/pdfs/GMD-1802-84.pdf#page=15","Abrir facsímil")</f>
        <v>Abrir facsímil</v>
      </c>
      <c r="K2538" s="15" t="s">
        <v>23</v>
      </c>
    </row>
    <row r="2539" spans="1:11" ht="42" customHeight="1">
      <c r="A2539" s="4" t="s">
        <v>6579</v>
      </c>
      <c r="B2539" s="5" t="s">
        <v>6580</v>
      </c>
      <c r="C2539" s="5" t="s">
        <v>55</v>
      </c>
      <c r="D2539" s="5" t="s">
        <v>56</v>
      </c>
      <c r="E2539" s="5" t="s">
        <v>57</v>
      </c>
      <c r="F2539" s="9">
        <v>54</v>
      </c>
      <c r="G2539" s="9">
        <v>656</v>
      </c>
      <c r="H2539" s="5" t="s">
        <v>21</v>
      </c>
      <c r="I2539" s="5" t="s">
        <v>6581</v>
      </c>
      <c r="J2539" s="12" t="str">
        <f>HYPERLINK("https://www.boe.es/gazeta/dias/1802/07/06/pdfs/GMD-1802-54.pdf#page=12","Abrir facsímil")</f>
        <v>Abrir facsímil</v>
      </c>
      <c r="K2539" s="15" t="s">
        <v>23</v>
      </c>
    </row>
    <row r="2540" spans="1:11" ht="42" customHeight="1">
      <c r="A2540" s="4" t="s">
        <v>6582</v>
      </c>
      <c r="B2540" s="5" t="s">
        <v>6582</v>
      </c>
      <c r="C2540" s="5" t="s">
        <v>160</v>
      </c>
      <c r="D2540" s="5" t="s">
        <v>91</v>
      </c>
      <c r="E2540" s="5" t="s">
        <v>1332</v>
      </c>
      <c r="F2540" s="9">
        <v>4</v>
      </c>
      <c r="G2540" s="9">
        <v>38</v>
      </c>
      <c r="H2540" s="5" t="s">
        <v>21</v>
      </c>
      <c r="I2540" s="5" t="s">
        <v>6583</v>
      </c>
      <c r="J2540" s="12" t="str">
        <f>HYPERLINK("https://www.boe.es/gazeta/dias/1802/01/12/pdfs/GMD-1802-4.pdf#page=10","Abrir facsímil")</f>
        <v>Abrir facsímil</v>
      </c>
      <c r="K2540" s="15" t="s">
        <v>23</v>
      </c>
    </row>
    <row r="2541" spans="1:11" ht="42" customHeight="1">
      <c r="A2541" s="4" t="s">
        <v>6584</v>
      </c>
      <c r="B2541" s="5" t="s">
        <v>6584</v>
      </c>
      <c r="C2541" s="5" t="s">
        <v>18</v>
      </c>
      <c r="D2541" s="5" t="s">
        <v>19</v>
      </c>
      <c r="E2541" s="5" t="s">
        <v>20</v>
      </c>
      <c r="F2541" s="9">
        <v>84</v>
      </c>
      <c r="G2541" s="9">
        <v>1045</v>
      </c>
      <c r="H2541" s="5" t="s">
        <v>21</v>
      </c>
      <c r="I2541" s="5" t="s">
        <v>6585</v>
      </c>
      <c r="J2541" s="12" t="str">
        <f>HYPERLINK("https://www.boe.es/gazeta/dias/1802/10/15/pdfs/GMD-1802-84.pdf#page=13","Abrir facsímil")</f>
        <v>Abrir facsímil</v>
      </c>
      <c r="K2541" s="15" t="s">
        <v>23</v>
      </c>
    </row>
    <row r="2542" spans="1:11" ht="42" customHeight="1">
      <c r="A2542" s="4" t="s">
        <v>6586</v>
      </c>
      <c r="B2542" s="5" t="s">
        <v>6587</v>
      </c>
      <c r="C2542" s="5" t="s">
        <v>18</v>
      </c>
      <c r="D2542" s="5" t="s">
        <v>19</v>
      </c>
      <c r="E2542" s="5" t="s">
        <v>20</v>
      </c>
      <c r="F2542" s="9">
        <v>84</v>
      </c>
      <c r="G2542" s="9">
        <v>1043</v>
      </c>
      <c r="H2542" s="5" t="s">
        <v>21</v>
      </c>
      <c r="I2542" s="5" t="s">
        <v>6588</v>
      </c>
      <c r="J2542" s="12" t="str">
        <f>HYPERLINK("https://www.boe.es/gazeta/dias/1802/10/15/pdfs/GMD-1802-84.pdf#page=11","Abrir facsímil")</f>
        <v>Abrir facsímil</v>
      </c>
      <c r="K2542" s="15" t="s">
        <v>23</v>
      </c>
    </row>
    <row r="2543" spans="1:11" ht="42" customHeight="1">
      <c r="A2543" s="4" t="s">
        <v>6589</v>
      </c>
      <c r="B2543" s="5" t="s">
        <v>6590</v>
      </c>
      <c r="C2543" s="5" t="s">
        <v>90</v>
      </c>
      <c r="D2543" s="5" t="s">
        <v>91</v>
      </c>
      <c r="E2543" s="5" t="s">
        <v>206</v>
      </c>
      <c r="F2543" s="9">
        <v>22</v>
      </c>
      <c r="G2543" s="9">
        <v>241</v>
      </c>
      <c r="H2543" s="5" t="s">
        <v>21</v>
      </c>
      <c r="I2543" s="5" t="s">
        <v>6591</v>
      </c>
      <c r="J2543" s="12" t="str">
        <f>HYPERLINK("https://www.boe.es/gazeta/dias/1802/03/16/pdfs/GMD-1802-22.pdf#page=9","Abrir facsímil")</f>
        <v>Abrir facsímil</v>
      </c>
      <c r="K2543" s="15" t="s">
        <v>23</v>
      </c>
    </row>
    <row r="2544" spans="1:11" ht="42" customHeight="1">
      <c r="A2544" s="4" t="s">
        <v>6592</v>
      </c>
      <c r="B2544" s="5" t="s">
        <v>6593</v>
      </c>
      <c r="C2544" s="5" t="s">
        <v>42</v>
      </c>
      <c r="D2544" s="5" t="s">
        <v>43</v>
      </c>
      <c r="E2544" s="5" t="s">
        <v>44</v>
      </c>
      <c r="F2544" s="9">
        <v>99</v>
      </c>
      <c r="G2544" s="9" t="s">
        <v>537</v>
      </c>
      <c r="H2544" s="5" t="s">
        <v>21</v>
      </c>
      <c r="I2544" s="5" t="s">
        <v>6594</v>
      </c>
      <c r="J2544" s="12" t="str">
        <f>HYPERLINK("https://www.boe.es/gazeta/dias/1802/12/07/pdfs/GMD-D-1802-99.pdf#page=9","Abrir facsímil")</f>
        <v>Abrir facsímil</v>
      </c>
      <c r="K2544" s="15" t="s">
        <v>23</v>
      </c>
    </row>
    <row r="2545" spans="1:11" ht="42" customHeight="1">
      <c r="A2545" s="4" t="s">
        <v>6595</v>
      </c>
      <c r="B2545" s="5" t="s">
        <v>6596</v>
      </c>
      <c r="C2545" s="5" t="s">
        <v>42</v>
      </c>
      <c r="D2545" s="5" t="s">
        <v>43</v>
      </c>
      <c r="E2545" s="5" t="s">
        <v>44</v>
      </c>
      <c r="F2545" s="9">
        <v>99</v>
      </c>
      <c r="G2545" s="9" t="s">
        <v>262</v>
      </c>
      <c r="H2545" s="5" t="s">
        <v>21</v>
      </c>
      <c r="I2545" s="5" t="s">
        <v>6597</v>
      </c>
      <c r="J2545" s="12" t="str">
        <f>HYPERLINK("https://www.boe.es/gazeta/dias/1802/12/07/pdfs/GMD-D-1802-99.pdf#page=8","Abrir facsímil")</f>
        <v>Abrir facsímil</v>
      </c>
      <c r="K2545" s="15" t="s">
        <v>23</v>
      </c>
    </row>
    <row r="2546" spans="1:11" ht="42" customHeight="1">
      <c r="A2546" s="4" t="s">
        <v>6598</v>
      </c>
      <c r="B2546" s="5" t="s">
        <v>6599</v>
      </c>
      <c r="C2546" s="5" t="s">
        <v>42</v>
      </c>
      <c r="D2546" s="5" t="s">
        <v>43</v>
      </c>
      <c r="E2546" s="5" t="s">
        <v>44</v>
      </c>
      <c r="F2546" s="9">
        <v>99</v>
      </c>
      <c r="G2546" s="9" t="s">
        <v>548</v>
      </c>
      <c r="H2546" s="5" t="s">
        <v>21</v>
      </c>
      <c r="I2546" s="5" t="s">
        <v>6600</v>
      </c>
      <c r="J2546" s="12" t="str">
        <f>HYPERLINK("https://www.boe.es/gazeta/dias/1802/12/07/pdfs/GMD-D-1802-99.pdf#page=12","Abrir facsímil")</f>
        <v>Abrir facsímil</v>
      </c>
      <c r="K2546" s="15" t="s">
        <v>23</v>
      </c>
    </row>
    <row r="2547" spans="1:11" ht="42" customHeight="1">
      <c r="A2547" s="4" t="s">
        <v>6601</v>
      </c>
      <c r="B2547" s="5" t="s">
        <v>6602</v>
      </c>
      <c r="C2547" s="5" t="s">
        <v>42</v>
      </c>
      <c r="D2547" s="5" t="s">
        <v>43</v>
      </c>
      <c r="E2547" s="5" t="s">
        <v>44</v>
      </c>
      <c r="F2547" s="9">
        <v>99</v>
      </c>
      <c r="G2547" s="9" t="s">
        <v>262</v>
      </c>
      <c r="H2547" s="5" t="s">
        <v>21</v>
      </c>
      <c r="I2547" s="5" t="s">
        <v>6603</v>
      </c>
      <c r="J2547" s="12" t="str">
        <f>HYPERLINK("https://www.boe.es/gazeta/dias/1802/12/07/pdfs/GMD-D-1802-99.pdf#page=8","Abrir facsímil")</f>
        <v>Abrir facsímil</v>
      </c>
      <c r="K2547" s="15" t="s">
        <v>23</v>
      </c>
    </row>
    <row r="2548" spans="1:11" ht="42" customHeight="1">
      <c r="A2548" s="4" t="s">
        <v>6604</v>
      </c>
      <c r="B2548" s="5" t="s">
        <v>6605</v>
      </c>
      <c r="C2548" s="5" t="s">
        <v>29</v>
      </c>
      <c r="D2548" s="5" t="s">
        <v>30</v>
      </c>
      <c r="E2548" s="5" t="s">
        <v>517</v>
      </c>
      <c r="F2548" s="9">
        <v>61</v>
      </c>
      <c r="G2548" s="9">
        <v>739</v>
      </c>
      <c r="H2548" s="5" t="s">
        <v>21</v>
      </c>
      <c r="I2548" s="5" t="s">
        <v>6606</v>
      </c>
      <c r="J2548" s="12" t="str">
        <f>HYPERLINK("https://www.boe.es/gazeta/dias/1802/07/27/pdfs/GMD-1802-61.pdf#page=7","Abrir facsímil")</f>
        <v>Abrir facsímil</v>
      </c>
      <c r="K2548" s="15" t="s">
        <v>23</v>
      </c>
    </row>
    <row r="2549" spans="1:11" ht="42" customHeight="1">
      <c r="A2549" s="4" t="s">
        <v>6607</v>
      </c>
      <c r="B2549" s="5" t="s">
        <v>6608</v>
      </c>
      <c r="C2549" s="5" t="s">
        <v>160</v>
      </c>
      <c r="D2549" s="5" t="s">
        <v>91</v>
      </c>
      <c r="E2549" s="5" t="s">
        <v>247</v>
      </c>
      <c r="F2549" s="9">
        <v>14</v>
      </c>
      <c r="G2549" s="9">
        <v>146</v>
      </c>
      <c r="H2549" s="5" t="s">
        <v>21</v>
      </c>
      <c r="I2549" s="5" t="s">
        <v>6609</v>
      </c>
      <c r="J2549" s="12" t="str">
        <f>HYPERLINK("https://www.boe.es/gazeta/dias/1802/02/16/pdfs/GMD-1802-14.pdf#page=10","Abrir facsímil")</f>
        <v>Abrir facsímil</v>
      </c>
      <c r="K2549" s="15" t="s">
        <v>23</v>
      </c>
    </row>
    <row r="2550" spans="1:11" ht="42" customHeight="1">
      <c r="A2550" s="4" t="s">
        <v>6610</v>
      </c>
      <c r="B2550" s="5" t="s">
        <v>6611</v>
      </c>
      <c r="C2550" s="5" t="s">
        <v>42</v>
      </c>
      <c r="D2550" s="5" t="s">
        <v>43</v>
      </c>
      <c r="E2550" s="5" t="s">
        <v>44</v>
      </c>
      <c r="F2550" s="9">
        <v>99</v>
      </c>
      <c r="G2550" s="9" t="s">
        <v>45</v>
      </c>
      <c r="H2550" s="5" t="s">
        <v>21</v>
      </c>
      <c r="I2550" s="5" t="s">
        <v>6612</v>
      </c>
      <c r="J2550" s="12" t="str">
        <f>HYPERLINK("https://www.boe.es/gazeta/dias/1802/12/07/pdfs/GMD-D-1802-99.pdf#page=14","Abrir facsímil")</f>
        <v>Abrir facsímil</v>
      </c>
      <c r="K2550" s="15" t="s">
        <v>23</v>
      </c>
    </row>
    <row r="2551" spans="1:11" ht="42" customHeight="1">
      <c r="A2551" s="4" t="s">
        <v>6613</v>
      </c>
      <c r="B2551" s="5" t="s">
        <v>6614</v>
      </c>
      <c r="C2551" s="5" t="s">
        <v>42</v>
      </c>
      <c r="D2551" s="5" t="s">
        <v>43</v>
      </c>
      <c r="E2551" s="5" t="s">
        <v>44</v>
      </c>
      <c r="F2551" s="9">
        <v>99</v>
      </c>
      <c r="G2551" s="9" t="s">
        <v>222</v>
      </c>
      <c r="H2551" s="5" t="s">
        <v>21</v>
      </c>
      <c r="I2551" s="5" t="s">
        <v>6615</v>
      </c>
      <c r="J2551" s="12" t="str">
        <f>HYPERLINK("https://www.boe.es/gazeta/dias/1802/12/07/pdfs/GMD-D-1802-99.pdf#page=5","Abrir facsímil")</f>
        <v>Abrir facsímil</v>
      </c>
      <c r="K2551" s="15" t="s">
        <v>23</v>
      </c>
    </row>
    <row r="2552" spans="1:11" ht="42" customHeight="1">
      <c r="A2552" s="4" t="s">
        <v>6616</v>
      </c>
      <c r="B2552" s="5" t="s">
        <v>6617</v>
      </c>
      <c r="C2552" s="5" t="s">
        <v>42</v>
      </c>
      <c r="D2552" s="5" t="s">
        <v>43</v>
      </c>
      <c r="E2552" s="5" t="s">
        <v>44</v>
      </c>
      <c r="F2552" s="9">
        <v>99</v>
      </c>
      <c r="G2552" s="9" t="s">
        <v>558</v>
      </c>
      <c r="H2552" s="5" t="s">
        <v>21</v>
      </c>
      <c r="I2552" s="5" t="s">
        <v>6618</v>
      </c>
      <c r="J2552" s="12" t="str">
        <f>HYPERLINK("https://www.boe.es/gazeta/dias/1802/12/07/pdfs/GMD-D-1802-99.pdf#page=1","Abrir facsímil")</f>
        <v>Abrir facsímil</v>
      </c>
      <c r="K2552" s="15" t="s">
        <v>23</v>
      </c>
    </row>
    <row r="2553" spans="1:11" ht="42" customHeight="1">
      <c r="A2553" s="4" t="s">
        <v>6619</v>
      </c>
      <c r="B2553" s="5" t="s">
        <v>6620</v>
      </c>
      <c r="C2553" s="5" t="s">
        <v>42</v>
      </c>
      <c r="D2553" s="5" t="s">
        <v>43</v>
      </c>
      <c r="E2553" s="5" t="s">
        <v>44</v>
      </c>
      <c r="F2553" s="9">
        <v>99</v>
      </c>
      <c r="G2553" s="9" t="s">
        <v>262</v>
      </c>
      <c r="H2553" s="5" t="s">
        <v>21</v>
      </c>
      <c r="I2553" s="5" t="s">
        <v>6621</v>
      </c>
      <c r="J2553" s="12" t="str">
        <f>HYPERLINK("https://www.boe.es/gazeta/dias/1802/12/07/pdfs/GMD-D-1802-99.pdf#page=8","Abrir facsímil")</f>
        <v>Abrir facsímil</v>
      </c>
      <c r="K2553" s="15" t="s">
        <v>23</v>
      </c>
    </row>
    <row r="2554" spans="1:11" ht="42" customHeight="1">
      <c r="A2554" s="4" t="s">
        <v>6622</v>
      </c>
      <c r="B2554" s="5" t="s">
        <v>6622</v>
      </c>
      <c r="C2554" s="5" t="s">
        <v>55</v>
      </c>
      <c r="D2554" s="5" t="s">
        <v>56</v>
      </c>
      <c r="E2554" s="5" t="s">
        <v>710</v>
      </c>
      <c r="F2554" s="9">
        <v>85</v>
      </c>
      <c r="G2554" s="9">
        <v>1060</v>
      </c>
      <c r="H2554" s="5" t="s">
        <v>21</v>
      </c>
      <c r="I2554" s="5" t="s">
        <v>6623</v>
      </c>
      <c r="J2554" s="12" t="str">
        <f>HYPERLINK("https://www.boe.es/gazeta/dias/1802/10/19/pdfs/GMD-1802-85.pdf#page=12","Abrir facsímil")</f>
        <v>Abrir facsímil</v>
      </c>
      <c r="K2554" s="15" t="s">
        <v>23</v>
      </c>
    </row>
    <row r="2555" spans="1:11" ht="42" customHeight="1">
      <c r="A2555" s="4" t="s">
        <v>6624</v>
      </c>
      <c r="B2555" s="5" t="s">
        <v>6625</v>
      </c>
      <c r="C2555" s="5" t="s">
        <v>29</v>
      </c>
      <c r="D2555" s="5" t="s">
        <v>30</v>
      </c>
      <c r="E2555" s="5" t="s">
        <v>170</v>
      </c>
      <c r="F2555" s="9">
        <v>28</v>
      </c>
      <c r="G2555" s="9">
        <v>330</v>
      </c>
      <c r="H2555" s="5" t="s">
        <v>21</v>
      </c>
      <c r="I2555" s="5" t="s">
        <v>6626</v>
      </c>
      <c r="J2555" s="12" t="str">
        <f>HYPERLINK("https://www.boe.es/gazeta/dias/1802/04/06/pdfs/GMD-1802-28.pdf#page=10","Abrir facsímil")</f>
        <v>Abrir facsímil</v>
      </c>
      <c r="K2555" s="15" t="s">
        <v>23</v>
      </c>
    </row>
    <row r="2556" spans="1:11" ht="42" customHeight="1">
      <c r="A2556" s="4" t="s">
        <v>6627</v>
      </c>
      <c r="B2556" s="5" t="s">
        <v>6627</v>
      </c>
      <c r="C2556" s="5" t="s">
        <v>90</v>
      </c>
      <c r="D2556" s="5" t="s">
        <v>91</v>
      </c>
      <c r="E2556" s="5" t="s">
        <v>710</v>
      </c>
      <c r="F2556" s="9">
        <v>85</v>
      </c>
      <c r="G2556" s="9">
        <v>1056</v>
      </c>
      <c r="H2556" s="5" t="s">
        <v>21</v>
      </c>
      <c r="I2556" s="5" t="s">
        <v>6628</v>
      </c>
      <c r="J2556" s="12" t="str">
        <f>HYPERLINK("https://www.boe.es/gazeta/dias/1802/10/19/pdfs/GMD-1802-85.pdf#page=8","Abrir facsímil")</f>
        <v>Abrir facsímil</v>
      </c>
      <c r="K2556" s="15" t="s">
        <v>23</v>
      </c>
    </row>
    <row r="2557" spans="1:11" ht="42" customHeight="1">
      <c r="A2557" s="4" t="s">
        <v>6629</v>
      </c>
      <c r="B2557" s="5" t="s">
        <v>6629</v>
      </c>
      <c r="C2557" s="5" t="s">
        <v>42</v>
      </c>
      <c r="D2557" s="5" t="s">
        <v>43</v>
      </c>
      <c r="E2557" s="5" t="s">
        <v>44</v>
      </c>
      <c r="F2557" s="9">
        <v>99</v>
      </c>
      <c r="G2557" s="9" t="s">
        <v>251</v>
      </c>
      <c r="H2557" s="5" t="s">
        <v>21</v>
      </c>
      <c r="I2557" s="5" t="s">
        <v>6630</v>
      </c>
      <c r="J2557" s="12" t="str">
        <f>HYPERLINK("https://www.boe.es/gazeta/dias/1802/12/07/pdfs/GMD-D-1802-99.pdf#page=6","Abrir facsímil")</f>
        <v>Abrir facsímil</v>
      </c>
      <c r="K2557" s="15" t="s">
        <v>23</v>
      </c>
    </row>
    <row r="2558" spans="1:11" ht="42" customHeight="1">
      <c r="A2558" s="4" t="s">
        <v>6631</v>
      </c>
      <c r="B2558" s="5" t="s">
        <v>6631</v>
      </c>
      <c r="C2558" s="5" t="s">
        <v>18</v>
      </c>
      <c r="D2558" s="5" t="s">
        <v>19</v>
      </c>
      <c r="E2558" s="5" t="s">
        <v>389</v>
      </c>
      <c r="F2558" s="9">
        <v>96</v>
      </c>
      <c r="G2558" s="9">
        <v>1189</v>
      </c>
      <c r="H2558" s="5" t="s">
        <v>21</v>
      </c>
      <c r="I2558" s="5" t="s">
        <v>6632</v>
      </c>
      <c r="J2558" s="12" t="str">
        <f>HYPERLINK("https://www.boe.es/gazeta/dias/1802/11/26/pdfs/GMD-1802-96.pdf#page=9","Abrir facsímil")</f>
        <v>Abrir facsímil</v>
      </c>
      <c r="K2558" s="15" t="s">
        <v>23</v>
      </c>
    </row>
    <row r="2559" spans="1:11" ht="42" customHeight="1">
      <c r="A2559" s="4" t="s">
        <v>6633</v>
      </c>
      <c r="B2559" s="5" t="s">
        <v>6634</v>
      </c>
      <c r="C2559" s="5" t="s">
        <v>18</v>
      </c>
      <c r="D2559" s="5" t="s">
        <v>19</v>
      </c>
      <c r="E2559" s="5" t="s">
        <v>49</v>
      </c>
      <c r="F2559" s="9">
        <v>83</v>
      </c>
      <c r="G2559" s="9">
        <v>1024</v>
      </c>
      <c r="H2559" s="5" t="s">
        <v>21</v>
      </c>
      <c r="I2559" s="5" t="s">
        <v>6635</v>
      </c>
      <c r="J2559" s="12" t="str">
        <f>HYPERLINK("https://www.boe.es/gazeta/dias/1802/10/12/pdfs/GMD-1802-83.pdf#page=12","Abrir facsímil")</f>
        <v>Abrir facsímil</v>
      </c>
      <c r="K2559" s="15" t="s">
        <v>23</v>
      </c>
    </row>
    <row r="2560" spans="1:11" ht="42" customHeight="1">
      <c r="A2560" s="4" t="s">
        <v>6636</v>
      </c>
      <c r="B2560" s="5" t="s">
        <v>6636</v>
      </c>
      <c r="C2560" s="5" t="s">
        <v>160</v>
      </c>
      <c r="D2560" s="5" t="s">
        <v>91</v>
      </c>
      <c r="E2560" s="5" t="s">
        <v>481</v>
      </c>
      <c r="F2560" s="9">
        <v>79</v>
      </c>
      <c r="G2560" s="9">
        <v>975</v>
      </c>
      <c r="H2560" s="5" t="s">
        <v>21</v>
      </c>
      <c r="I2560" s="5" t="s">
        <v>6637</v>
      </c>
      <c r="J2560" s="12" t="str">
        <f>HYPERLINK("https://www.boe.es/gazeta/dias/1802/09/28/pdfs/GMD-1802-79.pdf#page=11","Abrir facsímil")</f>
        <v>Abrir facsímil</v>
      </c>
      <c r="K2560" s="15" t="s">
        <v>23</v>
      </c>
    </row>
    <row r="2561" spans="1:11" ht="42" customHeight="1">
      <c r="A2561" s="4" t="s">
        <v>6638</v>
      </c>
      <c r="B2561" s="5" t="s">
        <v>6639</v>
      </c>
      <c r="C2561" s="5" t="s">
        <v>29</v>
      </c>
      <c r="D2561" s="5" t="s">
        <v>30</v>
      </c>
      <c r="E2561" s="5" t="s">
        <v>75</v>
      </c>
      <c r="F2561" s="9">
        <v>103</v>
      </c>
      <c r="G2561" s="9">
        <v>1262</v>
      </c>
      <c r="H2561" s="5" t="s">
        <v>21</v>
      </c>
      <c r="I2561" s="5" t="s">
        <v>6640</v>
      </c>
      <c r="J2561" s="12" t="str">
        <f>HYPERLINK("https://www.boe.es/gazeta/dias/1802/12/21/pdfs/GMD-1802-103.pdf#page=6","Abrir facsímil")</f>
        <v>Abrir facsímil</v>
      </c>
      <c r="K2561" s="15" t="s">
        <v>23</v>
      </c>
    </row>
    <row r="2562" spans="1:11" ht="42" customHeight="1">
      <c r="A2562" s="4" t="s">
        <v>6641</v>
      </c>
      <c r="B2562" s="5" t="s">
        <v>6641</v>
      </c>
      <c r="C2562" s="5" t="s">
        <v>18</v>
      </c>
      <c r="D2562" s="5" t="s">
        <v>19</v>
      </c>
      <c r="E2562" s="5" t="s">
        <v>25</v>
      </c>
      <c r="F2562" s="9">
        <v>44</v>
      </c>
      <c r="G2562" s="9">
        <v>531</v>
      </c>
      <c r="H2562" s="5" t="s">
        <v>21</v>
      </c>
      <c r="I2562" s="5" t="s">
        <v>6642</v>
      </c>
      <c r="J2562" s="12" t="str">
        <f>HYPERLINK("https://www.boe.es/gazeta/dias/1802/06/01/pdfs/GMD-1802-44.pdf#page=7","Abrir facsímil")</f>
        <v>Abrir facsímil</v>
      </c>
      <c r="K2562" s="15" t="s">
        <v>23</v>
      </c>
    </row>
    <row r="2563" spans="1:11" ht="42" customHeight="1">
      <c r="A2563" s="4" t="s">
        <v>6643</v>
      </c>
      <c r="B2563" s="5" t="s">
        <v>6644</v>
      </c>
      <c r="C2563" s="5" t="s">
        <v>42</v>
      </c>
      <c r="D2563" s="5" t="s">
        <v>43</v>
      </c>
      <c r="E2563" s="5" t="s">
        <v>44</v>
      </c>
      <c r="F2563" s="9">
        <v>99</v>
      </c>
      <c r="G2563" s="9" t="s">
        <v>222</v>
      </c>
      <c r="H2563" s="5" t="s">
        <v>21</v>
      </c>
      <c r="I2563" s="5" t="s">
        <v>6645</v>
      </c>
      <c r="J2563" s="12" t="str">
        <f>HYPERLINK("https://www.boe.es/gazeta/dias/1802/12/07/pdfs/GMD-D-1802-99.pdf#page=5","Abrir facsímil")</f>
        <v>Abrir facsímil</v>
      </c>
      <c r="K2563" s="15" t="s">
        <v>23</v>
      </c>
    </row>
    <row r="2564" spans="1:11" ht="42" customHeight="1">
      <c r="A2564" s="4" t="s">
        <v>6646</v>
      </c>
      <c r="B2564" s="5" t="s">
        <v>6647</v>
      </c>
      <c r="C2564" s="5" t="s">
        <v>42</v>
      </c>
      <c r="D2564" s="5" t="s">
        <v>43</v>
      </c>
      <c r="E2564" s="5" t="s">
        <v>44</v>
      </c>
      <c r="F2564" s="9">
        <v>99</v>
      </c>
      <c r="G2564" s="9" t="s">
        <v>322</v>
      </c>
      <c r="H2564" s="5" t="s">
        <v>21</v>
      </c>
      <c r="I2564" s="5" t="s">
        <v>6648</v>
      </c>
      <c r="J2564" s="12" t="str">
        <f>HYPERLINK("https://www.boe.es/gazeta/dias/1802/12/07/pdfs/GMD-D-1802-99.pdf#page=10","Abrir facsímil")</f>
        <v>Abrir facsímil</v>
      </c>
      <c r="K2564" s="15" t="s">
        <v>23</v>
      </c>
    </row>
    <row r="2565" spans="1:11" ht="42" customHeight="1">
      <c r="A2565" s="4" t="s">
        <v>6649</v>
      </c>
      <c r="B2565" s="5" t="s">
        <v>6650</v>
      </c>
      <c r="C2565" s="5" t="s">
        <v>42</v>
      </c>
      <c r="D2565" s="5" t="s">
        <v>43</v>
      </c>
      <c r="E2565" s="5" t="s">
        <v>44</v>
      </c>
      <c r="F2565" s="9">
        <v>99</v>
      </c>
      <c r="G2565" s="9" t="s">
        <v>544</v>
      </c>
      <c r="H2565" s="5" t="s">
        <v>21</v>
      </c>
      <c r="I2565" s="5" t="s">
        <v>6651</v>
      </c>
      <c r="J2565" s="12" t="str">
        <f>HYPERLINK("https://www.boe.es/gazeta/dias/1802/12/07/pdfs/GMD-D-1802-99.pdf#page=11","Abrir facsímil")</f>
        <v>Abrir facsímil</v>
      </c>
      <c r="K2565" s="15" t="s">
        <v>23</v>
      </c>
    </row>
    <row r="2566" spans="1:11" ht="42" customHeight="1">
      <c r="A2566" s="4" t="s">
        <v>6652</v>
      </c>
      <c r="B2566" s="5" t="s">
        <v>6653</v>
      </c>
      <c r="C2566" s="5" t="s">
        <v>35</v>
      </c>
      <c r="D2566" s="5" t="s">
        <v>36</v>
      </c>
      <c r="E2566" s="5" t="s">
        <v>60</v>
      </c>
      <c r="F2566" s="9">
        <v>5</v>
      </c>
      <c r="G2566" s="9">
        <v>46</v>
      </c>
      <c r="H2566" s="5" t="s">
        <v>21</v>
      </c>
      <c r="I2566" s="5" t="s">
        <v>6654</v>
      </c>
      <c r="J2566" s="12" t="str">
        <f>HYPERLINK("https://www.boe.es/gazeta/dias/1802/01/15/pdfs/GMD-1802-5.pdf#page=2","Abrir facsímil")</f>
        <v>Abrir facsímil</v>
      </c>
      <c r="K2566" s="15" t="s">
        <v>23</v>
      </c>
    </row>
    <row r="2567" spans="1:11" ht="42" customHeight="1">
      <c r="A2567" s="4" t="s">
        <v>6655</v>
      </c>
      <c r="B2567" s="5" t="s">
        <v>6656</v>
      </c>
      <c r="C2567" s="5" t="s">
        <v>35</v>
      </c>
      <c r="D2567" s="5" t="s">
        <v>36</v>
      </c>
      <c r="E2567" s="5" t="s">
        <v>749</v>
      </c>
      <c r="F2567" s="9">
        <v>97</v>
      </c>
      <c r="G2567" s="9">
        <v>1197</v>
      </c>
      <c r="H2567" s="5" t="s">
        <v>21</v>
      </c>
      <c r="I2567" s="5" t="s">
        <v>6657</v>
      </c>
      <c r="J2567" s="12" t="str">
        <f>HYPERLINK("https://www.boe.es/gazeta/dias/1802/11/30/pdfs/GMD-1802-97.pdf#page=5","Abrir facsímil")</f>
        <v>Abrir facsímil</v>
      </c>
      <c r="K2567" s="15" t="s">
        <v>23</v>
      </c>
    </row>
    <row r="2568" spans="1:11" ht="42" customHeight="1">
      <c r="A2568" s="4" t="s">
        <v>6658</v>
      </c>
      <c r="B2568" s="5" t="s">
        <v>6659</v>
      </c>
      <c r="C2568" s="5" t="s">
        <v>18</v>
      </c>
      <c r="D2568" s="5" t="s">
        <v>19</v>
      </c>
      <c r="E2568" s="5" t="s">
        <v>20</v>
      </c>
      <c r="F2568" s="9">
        <v>84</v>
      </c>
      <c r="G2568" s="9">
        <v>1040</v>
      </c>
      <c r="H2568" s="5" t="s">
        <v>21</v>
      </c>
      <c r="I2568" s="5" t="s">
        <v>6660</v>
      </c>
      <c r="J2568" s="12" t="str">
        <f>HYPERLINK("https://www.boe.es/gazeta/dias/1802/10/15/pdfs/GMD-1802-84.pdf#page=8","Abrir facsímil")</f>
        <v>Abrir facsímil</v>
      </c>
      <c r="K2568" s="15" t="s">
        <v>23</v>
      </c>
    </row>
    <row r="2569" spans="1:11" ht="42" customHeight="1">
      <c r="A2569" s="4" t="s">
        <v>6661</v>
      </c>
      <c r="B2569" s="5" t="s">
        <v>6661</v>
      </c>
      <c r="C2569" s="5" t="s">
        <v>90</v>
      </c>
      <c r="D2569" s="5" t="s">
        <v>91</v>
      </c>
      <c r="E2569" s="5" t="s">
        <v>181</v>
      </c>
      <c r="F2569" s="9">
        <v>55</v>
      </c>
      <c r="G2569" s="9">
        <v>667</v>
      </c>
      <c r="H2569" s="5" t="s">
        <v>21</v>
      </c>
      <c r="I2569" s="5" t="s">
        <v>6662</v>
      </c>
      <c r="J2569" s="12" t="str">
        <f>HYPERLINK("https://www.boe.es/gazeta/dias/1802/07/09/pdfs/GMD-1802-55.pdf#page=11","Abrir facsímil")</f>
        <v>Abrir facsímil</v>
      </c>
      <c r="K2569" s="15" t="s">
        <v>23</v>
      </c>
    </row>
    <row r="2570" spans="1:11" ht="42" customHeight="1">
      <c r="A2570" s="4" t="s">
        <v>6661</v>
      </c>
      <c r="B2570" s="5" t="s">
        <v>6661</v>
      </c>
      <c r="C2570" s="5" t="s">
        <v>90</v>
      </c>
      <c r="D2570" s="5" t="s">
        <v>91</v>
      </c>
      <c r="E2570" s="5" t="s">
        <v>574</v>
      </c>
      <c r="F2570" s="9" t="s">
        <v>575</v>
      </c>
      <c r="G2570" s="9">
        <v>705</v>
      </c>
      <c r="H2570" s="5" t="s">
        <v>21</v>
      </c>
      <c r="I2570" s="5" t="s">
        <v>6663</v>
      </c>
      <c r="J2570" s="12" t="str">
        <f>HYPERLINK("https://www.boe.es/gazeta/dias/1802/07/21/pdfs/GMD-1802-59E.pdf#page=1","Abrir facsímil")</f>
        <v>Abrir facsímil</v>
      </c>
      <c r="K2570" s="15" t="s">
        <v>23</v>
      </c>
    </row>
    <row r="2571" spans="1:11" ht="42" customHeight="1">
      <c r="A2571" s="4" t="s">
        <v>6664</v>
      </c>
      <c r="B2571" s="5" t="s">
        <v>6664</v>
      </c>
      <c r="C2571" s="5" t="s">
        <v>29</v>
      </c>
      <c r="D2571" s="5" t="s">
        <v>30</v>
      </c>
      <c r="E2571" s="5" t="s">
        <v>49</v>
      </c>
      <c r="F2571" s="9">
        <v>83</v>
      </c>
      <c r="G2571" s="9">
        <v>1019</v>
      </c>
      <c r="H2571" s="5" t="s">
        <v>21</v>
      </c>
      <c r="I2571" s="5" t="s">
        <v>6665</v>
      </c>
      <c r="J2571" s="12" t="str">
        <f>HYPERLINK("https://www.boe.es/gazeta/dias/1802/10/12/pdfs/GMD-1802-83.pdf#page=7","Abrir facsímil")</f>
        <v>Abrir facsímil</v>
      </c>
      <c r="K2571" s="15" t="s">
        <v>23</v>
      </c>
    </row>
    <row r="2572" spans="1:11" ht="42" customHeight="1">
      <c r="A2572" s="4" t="s">
        <v>6666</v>
      </c>
      <c r="B2572" s="5" t="s">
        <v>6666</v>
      </c>
      <c r="C2572" s="5" t="s">
        <v>29</v>
      </c>
      <c r="D2572" s="5" t="s">
        <v>30</v>
      </c>
      <c r="E2572" s="5" t="s">
        <v>258</v>
      </c>
      <c r="F2572" s="9">
        <v>63</v>
      </c>
      <c r="G2572" s="9">
        <v>765</v>
      </c>
      <c r="H2572" s="5" t="s">
        <v>21</v>
      </c>
      <c r="I2572" s="5" t="s">
        <v>6667</v>
      </c>
      <c r="J2572" s="12" t="str">
        <f>HYPERLINK("https://www.boe.es/gazeta/dias/1802/08/03/pdfs/GMD-1802-63.pdf#page=5","Abrir facsímil")</f>
        <v>Abrir facsímil</v>
      </c>
      <c r="K2572" s="15" t="s">
        <v>23</v>
      </c>
    </row>
    <row r="2573" spans="1:11" ht="42" customHeight="1">
      <c r="A2573" s="4" t="s">
        <v>6668</v>
      </c>
      <c r="B2573" s="5" t="s">
        <v>6669</v>
      </c>
      <c r="C2573" s="5" t="s">
        <v>55</v>
      </c>
      <c r="D2573" s="5" t="s">
        <v>56</v>
      </c>
      <c r="E2573" s="5" t="s">
        <v>1618</v>
      </c>
      <c r="F2573" s="9">
        <v>31</v>
      </c>
      <c r="G2573" s="9">
        <v>368</v>
      </c>
      <c r="H2573" s="5" t="s">
        <v>21</v>
      </c>
      <c r="I2573" s="5" t="s">
        <v>6670</v>
      </c>
      <c r="J2573" s="12" t="str">
        <f>HYPERLINK("https://www.boe.es/gazeta/dias/1802/04/16/pdfs/GMD-1802-31.pdf#page=12","Abrir facsímil")</f>
        <v>Abrir facsímil</v>
      </c>
      <c r="K2573" s="15" t="s">
        <v>23</v>
      </c>
    </row>
    <row r="2574" spans="1:11" ht="42" customHeight="1">
      <c r="A2574" s="4" t="s">
        <v>6671</v>
      </c>
      <c r="B2574" s="5" t="s">
        <v>6671</v>
      </c>
      <c r="C2574" s="5" t="s">
        <v>35</v>
      </c>
      <c r="D2574" s="5" t="s">
        <v>36</v>
      </c>
      <c r="E2574" s="5" t="s">
        <v>1588</v>
      </c>
      <c r="F2574" s="9">
        <v>18</v>
      </c>
      <c r="G2574" s="9">
        <v>194</v>
      </c>
      <c r="H2574" s="5" t="s">
        <v>21</v>
      </c>
      <c r="I2574" s="5" t="s">
        <v>6672</v>
      </c>
      <c r="J2574" s="12" t="str">
        <f>HYPERLINK("https://www.boe.es/gazeta/dias/1802/03/02/pdfs/GMD-1802-18.pdf#page=6","Abrir facsímil")</f>
        <v>Abrir facsímil</v>
      </c>
      <c r="K2574" s="15" t="s">
        <v>23</v>
      </c>
    </row>
    <row r="2575" spans="1:11" ht="42" customHeight="1">
      <c r="A2575" s="4" t="s">
        <v>6671</v>
      </c>
      <c r="B2575" s="5" t="s">
        <v>6671</v>
      </c>
      <c r="C2575" s="5" t="s">
        <v>35</v>
      </c>
      <c r="D2575" s="5" t="s">
        <v>36</v>
      </c>
      <c r="E2575" s="5" t="s">
        <v>86</v>
      </c>
      <c r="F2575" s="9">
        <v>26</v>
      </c>
      <c r="G2575" s="9">
        <v>295</v>
      </c>
      <c r="H2575" s="5" t="s">
        <v>21</v>
      </c>
      <c r="I2575" s="5" t="s">
        <v>6673</v>
      </c>
      <c r="J2575" s="12" t="str">
        <f>HYPERLINK("https://www.boe.es/gazeta/dias/1802/03/30/pdfs/GMD-1802-26.pdf#page=7","Abrir facsímil")</f>
        <v>Abrir facsímil</v>
      </c>
      <c r="K2575" s="15" t="s">
        <v>23</v>
      </c>
    </row>
    <row r="2576" spans="1:11" ht="42" customHeight="1">
      <c r="A2576" s="4" t="s">
        <v>6674</v>
      </c>
      <c r="B2576" s="5" t="s">
        <v>6674</v>
      </c>
      <c r="C2576" s="5" t="s">
        <v>18</v>
      </c>
      <c r="D2576" s="5" t="s">
        <v>19</v>
      </c>
      <c r="E2576" s="5" t="s">
        <v>163</v>
      </c>
      <c r="F2576" s="9">
        <v>1</v>
      </c>
      <c r="G2576" s="9">
        <v>4</v>
      </c>
      <c r="H2576" s="5" t="s">
        <v>21</v>
      </c>
      <c r="I2576" s="5" t="s">
        <v>6675</v>
      </c>
      <c r="J2576" s="12" t="str">
        <f>HYPERLINK("https://www.boe.es/gazeta/dias/1802/01/01/pdfs/GMD-1802-1.pdf#page=4","Abrir facsímil")</f>
        <v>Abrir facsímil</v>
      </c>
      <c r="K2576" s="15" t="s">
        <v>23</v>
      </c>
    </row>
    <row r="2577" spans="1:11" ht="42" customHeight="1">
      <c r="A2577" s="4" t="s">
        <v>6676</v>
      </c>
      <c r="B2577" s="5" t="s">
        <v>6677</v>
      </c>
      <c r="C2577" s="5" t="s">
        <v>35</v>
      </c>
      <c r="D2577" s="5" t="s">
        <v>36</v>
      </c>
      <c r="E2577" s="5" t="s">
        <v>754</v>
      </c>
      <c r="F2577" s="9">
        <v>101</v>
      </c>
      <c r="G2577" s="9">
        <v>1240</v>
      </c>
      <c r="H2577" s="5" t="s">
        <v>21</v>
      </c>
      <c r="I2577" s="5" t="s">
        <v>6678</v>
      </c>
      <c r="J2577" s="12" t="str">
        <f>HYPERLINK("https://www.boe.es/gazeta/dias/1802/12/14/pdfs/GMD-1802-101.pdf#page=4","Abrir facsímil")</f>
        <v>Abrir facsímil</v>
      </c>
      <c r="K2577" s="15" t="s">
        <v>23</v>
      </c>
    </row>
    <row r="2578" spans="1:11" ht="42" customHeight="1">
      <c r="A2578" s="4" t="s">
        <v>6679</v>
      </c>
      <c r="B2578" s="5" t="s">
        <v>6679</v>
      </c>
      <c r="C2578" s="5" t="s">
        <v>18</v>
      </c>
      <c r="D2578" s="5" t="s">
        <v>19</v>
      </c>
      <c r="E2578" s="5" t="s">
        <v>49</v>
      </c>
      <c r="F2578" s="9">
        <v>83</v>
      </c>
      <c r="G2578" s="9">
        <v>1017</v>
      </c>
      <c r="H2578" s="5" t="s">
        <v>21</v>
      </c>
      <c r="I2578" s="5" t="s">
        <v>6680</v>
      </c>
      <c r="J2578" s="12" t="str">
        <f>HYPERLINK("https://www.boe.es/gazeta/dias/1802/10/12/pdfs/GMD-1802-83.pdf#page=5","Abrir facsímil")</f>
        <v>Abrir facsímil</v>
      </c>
      <c r="K2578" s="15" t="s">
        <v>23</v>
      </c>
    </row>
    <row r="2579" spans="1:11" ht="42" customHeight="1">
      <c r="A2579" s="4" t="s">
        <v>6681</v>
      </c>
      <c r="B2579" s="5" t="s">
        <v>6682</v>
      </c>
      <c r="C2579" s="5" t="s">
        <v>29</v>
      </c>
      <c r="D2579" s="5" t="s">
        <v>30</v>
      </c>
      <c r="E2579" s="5" t="s">
        <v>172</v>
      </c>
      <c r="F2579" s="9">
        <v>35</v>
      </c>
      <c r="G2579" s="9">
        <v>409</v>
      </c>
      <c r="H2579" s="5" t="s">
        <v>21</v>
      </c>
      <c r="I2579" s="5" t="s">
        <v>6683</v>
      </c>
      <c r="J2579" s="12" t="str">
        <f>HYPERLINK("https://www.boe.es/gazeta/dias/1802/04/30/pdfs/GMD-1802-35.pdf#page=9","Abrir facsímil")</f>
        <v>Abrir facsímil</v>
      </c>
      <c r="K2579" s="15" t="s">
        <v>23</v>
      </c>
    </row>
    <row r="2580" spans="1:11" ht="42" customHeight="1">
      <c r="A2580" s="4" t="s">
        <v>6684</v>
      </c>
      <c r="B2580" s="5" t="s">
        <v>6684</v>
      </c>
      <c r="C2580" s="5" t="s">
        <v>18</v>
      </c>
      <c r="D2580" s="5" t="s">
        <v>19</v>
      </c>
      <c r="E2580" s="5" t="s">
        <v>670</v>
      </c>
      <c r="F2580" s="9">
        <v>40</v>
      </c>
      <c r="G2580" s="9">
        <v>479</v>
      </c>
      <c r="H2580" s="5" t="s">
        <v>21</v>
      </c>
      <c r="I2580" s="5" t="s">
        <v>6685</v>
      </c>
      <c r="J2580" s="12" t="str">
        <f>HYPERLINK("https://www.boe.es/gazeta/dias/1802/05/18/pdfs/GMD-1802-40.pdf#page=7","Abrir facsímil")</f>
        <v>Abrir facsímil</v>
      </c>
      <c r="K2580" s="15" t="s">
        <v>23</v>
      </c>
    </row>
    <row r="2581" spans="1:11" ht="42" customHeight="1">
      <c r="A2581" s="4" t="s">
        <v>6686</v>
      </c>
      <c r="B2581" s="5" t="s">
        <v>6686</v>
      </c>
      <c r="C2581" s="5" t="s">
        <v>18</v>
      </c>
      <c r="D2581" s="5" t="s">
        <v>19</v>
      </c>
      <c r="E2581" s="5" t="s">
        <v>670</v>
      </c>
      <c r="F2581" s="9">
        <v>40</v>
      </c>
      <c r="G2581" s="9">
        <v>479</v>
      </c>
      <c r="H2581" s="5" t="s">
        <v>21</v>
      </c>
      <c r="I2581" s="5" t="s">
        <v>6687</v>
      </c>
      <c r="J2581" s="12" t="str">
        <f>HYPERLINK("https://www.boe.es/gazeta/dias/1802/05/18/pdfs/GMD-1802-40.pdf#page=7","Abrir facsímil")</f>
        <v>Abrir facsímil</v>
      </c>
      <c r="K2581" s="15" t="s">
        <v>23</v>
      </c>
    </row>
    <row r="2582" spans="1:11" ht="42" customHeight="1">
      <c r="A2582" s="4" t="s">
        <v>6688</v>
      </c>
      <c r="B2582" s="5" t="s">
        <v>6688</v>
      </c>
      <c r="C2582" s="5" t="s">
        <v>35</v>
      </c>
      <c r="D2582" s="5" t="s">
        <v>36</v>
      </c>
      <c r="E2582" s="5" t="s">
        <v>706</v>
      </c>
      <c r="F2582" s="9">
        <v>80</v>
      </c>
      <c r="G2582" s="9">
        <v>984</v>
      </c>
      <c r="H2582" s="5" t="s">
        <v>21</v>
      </c>
      <c r="I2582" s="5" t="s">
        <v>6689</v>
      </c>
      <c r="J2582" s="12" t="str">
        <f>HYPERLINK("https://www.boe.es/gazeta/dias/1802/10/01/pdfs/GMD-1802-80.pdf#page=8","Abrir facsímil")</f>
        <v>Abrir facsímil</v>
      </c>
      <c r="K2582" s="15" t="s">
        <v>23</v>
      </c>
    </row>
    <row r="2583" spans="1:11" ht="42" customHeight="1">
      <c r="A2583" s="4" t="s">
        <v>6690</v>
      </c>
      <c r="B2583" s="5" t="s">
        <v>6691</v>
      </c>
      <c r="C2583" s="5" t="s">
        <v>29</v>
      </c>
      <c r="D2583" s="5" t="s">
        <v>30</v>
      </c>
      <c r="E2583" s="5" t="s">
        <v>299</v>
      </c>
      <c r="F2583" s="9">
        <v>19</v>
      </c>
      <c r="G2583" s="9">
        <v>206</v>
      </c>
      <c r="H2583" s="5" t="s">
        <v>21</v>
      </c>
      <c r="I2583" s="5" t="s">
        <v>6692</v>
      </c>
      <c r="J2583" s="12" t="str">
        <f>HYPERLINK("https://www.boe.es/gazeta/dias/1802/03/05/pdfs/GMD-1802-19.pdf#page=6","Abrir facsímil")</f>
        <v>Abrir facsímil</v>
      </c>
      <c r="K2583" s="15" t="s">
        <v>23</v>
      </c>
    </row>
    <row r="2584" spans="1:11" ht="42" customHeight="1">
      <c r="A2584" s="4" t="s">
        <v>6693</v>
      </c>
      <c r="B2584" s="5" t="s">
        <v>6693</v>
      </c>
      <c r="C2584" s="5" t="s">
        <v>29</v>
      </c>
      <c r="D2584" s="5" t="s">
        <v>30</v>
      </c>
      <c r="E2584" s="5" t="s">
        <v>299</v>
      </c>
      <c r="F2584" s="9">
        <v>19</v>
      </c>
      <c r="G2584" s="9">
        <v>207</v>
      </c>
      <c r="H2584" s="5" t="s">
        <v>21</v>
      </c>
      <c r="I2584" s="5" t="s">
        <v>6694</v>
      </c>
      <c r="J2584" s="12" t="str">
        <f>HYPERLINK("https://www.boe.es/gazeta/dias/1802/03/05/pdfs/GMD-1802-19.pdf#page=7","Abrir facsímil")</f>
        <v>Abrir facsímil</v>
      </c>
      <c r="K2584" s="15" t="s">
        <v>23</v>
      </c>
    </row>
    <row r="2585" spans="1:11" ht="42" customHeight="1">
      <c r="A2585" s="4" t="s">
        <v>6695</v>
      </c>
      <c r="B2585" s="5" t="s">
        <v>6695</v>
      </c>
      <c r="C2585" s="5" t="s">
        <v>18</v>
      </c>
      <c r="D2585" s="5" t="s">
        <v>19</v>
      </c>
      <c r="E2585" s="5" t="s">
        <v>530</v>
      </c>
      <c r="F2585" s="9">
        <v>48</v>
      </c>
      <c r="G2585" s="9">
        <v>584</v>
      </c>
      <c r="H2585" s="5" t="s">
        <v>21</v>
      </c>
      <c r="I2585" s="5" t="s">
        <v>6696</v>
      </c>
      <c r="J2585" s="12" t="str">
        <f>HYPERLINK("https://www.boe.es/gazeta/dias/1802/06/15/pdfs/GMD-1802-48.pdf#page=8","Abrir facsímil")</f>
        <v>Abrir facsímil</v>
      </c>
      <c r="K2585" s="15" t="s">
        <v>23</v>
      </c>
    </row>
    <row r="2586" spans="1:11" ht="42" customHeight="1">
      <c r="A2586" s="4" t="s">
        <v>6695</v>
      </c>
      <c r="B2586" s="5" t="s">
        <v>6695</v>
      </c>
      <c r="C2586" s="5" t="s">
        <v>18</v>
      </c>
      <c r="D2586" s="5" t="s">
        <v>19</v>
      </c>
      <c r="E2586" s="5" t="s">
        <v>530</v>
      </c>
      <c r="F2586" s="9">
        <v>48</v>
      </c>
      <c r="G2586" s="9">
        <v>585</v>
      </c>
      <c r="H2586" s="5" t="s">
        <v>21</v>
      </c>
      <c r="I2586" s="5" t="s">
        <v>6697</v>
      </c>
      <c r="J2586" s="12" t="str">
        <f>HYPERLINK("https://www.boe.es/gazeta/dias/1802/06/15/pdfs/GMD-1802-48.pdf#page=9","Abrir facsímil")</f>
        <v>Abrir facsímil</v>
      </c>
      <c r="K2586" s="15" t="s">
        <v>23</v>
      </c>
    </row>
    <row r="2587" spans="1:11" ht="42" customHeight="1">
      <c r="A2587" s="4" t="s">
        <v>6698</v>
      </c>
      <c r="B2587" s="5" t="s">
        <v>6699</v>
      </c>
      <c r="C2587" s="5" t="s">
        <v>35</v>
      </c>
      <c r="D2587" s="5" t="s">
        <v>36</v>
      </c>
      <c r="E2587" s="5" t="s">
        <v>142</v>
      </c>
      <c r="F2587" s="9">
        <v>64</v>
      </c>
      <c r="G2587" s="9">
        <v>781</v>
      </c>
      <c r="H2587" s="5" t="s">
        <v>21</v>
      </c>
      <c r="I2587" s="5" t="s">
        <v>6700</v>
      </c>
      <c r="J2587" s="12" t="str">
        <f>HYPERLINK("https://www.boe.es/gazeta/dias/1802/08/06/pdfs/GMD-1802-64.pdf#page=9","Abrir facsímil")</f>
        <v>Abrir facsímil</v>
      </c>
      <c r="K2587" s="15" t="s">
        <v>23</v>
      </c>
    </row>
    <row r="2588" spans="1:11" ht="42" customHeight="1">
      <c r="A2588" s="4" t="s">
        <v>6701</v>
      </c>
      <c r="B2588" s="5" t="s">
        <v>6702</v>
      </c>
      <c r="C2588" s="5" t="s">
        <v>18</v>
      </c>
      <c r="D2588" s="5" t="s">
        <v>19</v>
      </c>
      <c r="E2588" s="5" t="s">
        <v>814</v>
      </c>
      <c r="F2588" s="9">
        <v>41</v>
      </c>
      <c r="G2588" s="9">
        <v>491</v>
      </c>
      <c r="H2588" s="5" t="s">
        <v>21</v>
      </c>
      <c r="I2588" s="5" t="s">
        <v>6703</v>
      </c>
      <c r="J2588" s="12" t="str">
        <f>HYPERLINK("https://www.boe.es/gazeta/dias/1802/05/21/pdfs/GMD-1802-41.pdf#page=7","Abrir facsímil")</f>
        <v>Abrir facsímil</v>
      </c>
      <c r="K2588" s="15" t="s">
        <v>23</v>
      </c>
    </row>
    <row r="2589" spans="1:11" ht="42" customHeight="1">
      <c r="A2589" s="4" t="s">
        <v>6704</v>
      </c>
      <c r="B2589" s="5" t="s">
        <v>6705</v>
      </c>
      <c r="C2589" s="5" t="s">
        <v>35</v>
      </c>
      <c r="D2589" s="5" t="s">
        <v>36</v>
      </c>
      <c r="E2589" s="5" t="s">
        <v>631</v>
      </c>
      <c r="F2589" s="9">
        <v>36</v>
      </c>
      <c r="G2589" s="9">
        <v>424</v>
      </c>
      <c r="H2589" s="5" t="s">
        <v>21</v>
      </c>
      <c r="I2589" s="5" t="s">
        <v>6706</v>
      </c>
      <c r="J2589" s="12" t="str">
        <f>HYPERLINK("https://www.boe.es/gazeta/dias/1802/05/04/pdfs/GMD-1802-36.pdf#page=4","Abrir facsímil")</f>
        <v>Abrir facsímil</v>
      </c>
      <c r="K2589" s="15" t="s">
        <v>23</v>
      </c>
    </row>
    <row r="2590" spans="1:11" ht="42" customHeight="1">
      <c r="A2590" s="4" t="s">
        <v>6704</v>
      </c>
      <c r="B2590" s="5" t="s">
        <v>6705</v>
      </c>
      <c r="C2590" s="5" t="s">
        <v>35</v>
      </c>
      <c r="D2590" s="5" t="s">
        <v>36</v>
      </c>
      <c r="E2590" s="5" t="s">
        <v>436</v>
      </c>
      <c r="F2590" s="9">
        <v>58</v>
      </c>
      <c r="G2590" s="9">
        <v>696</v>
      </c>
      <c r="H2590" s="5" t="s">
        <v>21</v>
      </c>
      <c r="I2590" s="5" t="s">
        <v>6707</v>
      </c>
      <c r="J2590" s="12" t="str">
        <f>HYPERLINK("https://www.boe.es/gazeta/dias/1802/07/20/pdfs/GMD-1802-58.pdf#page=4","Abrir facsímil")</f>
        <v>Abrir facsímil</v>
      </c>
      <c r="K2590" s="15" t="s">
        <v>23</v>
      </c>
    </row>
    <row r="2591" spans="1:11" ht="42" customHeight="1">
      <c r="A2591" s="4" t="s">
        <v>6708</v>
      </c>
      <c r="B2591" s="5" t="s">
        <v>6709</v>
      </c>
      <c r="C2591" s="5" t="s">
        <v>18</v>
      </c>
      <c r="D2591" s="5" t="s">
        <v>19</v>
      </c>
      <c r="E2591" s="5" t="s">
        <v>814</v>
      </c>
      <c r="F2591" s="9">
        <v>41</v>
      </c>
      <c r="G2591" s="9">
        <v>491</v>
      </c>
      <c r="H2591" s="5" t="s">
        <v>21</v>
      </c>
      <c r="I2591" s="5" t="s">
        <v>6710</v>
      </c>
      <c r="J2591" s="12" t="str">
        <f>HYPERLINK("https://www.boe.es/gazeta/dias/1802/05/21/pdfs/GMD-1802-41.pdf#page=7","Abrir facsímil")</f>
        <v>Abrir facsímil</v>
      </c>
      <c r="K2591" s="15" t="s">
        <v>23</v>
      </c>
    </row>
    <row r="2592" spans="1:11" ht="42" customHeight="1">
      <c r="A2592" s="4" t="s">
        <v>6711</v>
      </c>
      <c r="B2592" s="5" t="s">
        <v>6711</v>
      </c>
      <c r="C2592" s="5" t="s">
        <v>35</v>
      </c>
      <c r="D2592" s="5" t="s">
        <v>36</v>
      </c>
      <c r="E2592" s="5" t="s">
        <v>332</v>
      </c>
      <c r="F2592" s="9">
        <v>24</v>
      </c>
      <c r="G2592" s="9">
        <v>271</v>
      </c>
      <c r="H2592" s="5" t="s">
        <v>21</v>
      </c>
      <c r="I2592" s="5" t="s">
        <v>6712</v>
      </c>
      <c r="J2592" s="12" t="str">
        <f>HYPERLINK("https://www.boe.es/gazeta/dias/1802/03/23/pdfs/GMD-1802-24.pdf#page=7","Abrir facsímil")</f>
        <v>Abrir facsímil</v>
      </c>
      <c r="K2592" s="15" t="s">
        <v>23</v>
      </c>
    </row>
    <row r="2593" spans="1:11" ht="42" customHeight="1">
      <c r="A2593" s="4" t="s">
        <v>6713</v>
      </c>
      <c r="B2593" s="5" t="s">
        <v>6713</v>
      </c>
      <c r="C2593" s="5" t="s">
        <v>35</v>
      </c>
      <c r="D2593" s="5" t="s">
        <v>36</v>
      </c>
      <c r="E2593" s="5" t="s">
        <v>1374</v>
      </c>
      <c r="F2593" s="9">
        <v>71</v>
      </c>
      <c r="G2593" s="9">
        <v>869</v>
      </c>
      <c r="H2593" s="5" t="s">
        <v>21</v>
      </c>
      <c r="I2593" s="5" t="s">
        <v>3088</v>
      </c>
      <c r="J2593" s="12" t="str">
        <f>HYPERLINK("https://www.boe.es/gazeta/dias/1802/08/31/pdfs/GMD-1802-71.pdf#page=5","Abrir facsímil")</f>
        <v>Abrir facsímil</v>
      </c>
      <c r="K2593" s="15" t="s">
        <v>23</v>
      </c>
    </row>
    <row r="2594" spans="1:11" ht="42" customHeight="1">
      <c r="A2594" s="4" t="s">
        <v>6714</v>
      </c>
      <c r="B2594" s="5" t="s">
        <v>6715</v>
      </c>
      <c r="C2594" s="5" t="s">
        <v>29</v>
      </c>
      <c r="D2594" s="5" t="s">
        <v>30</v>
      </c>
      <c r="E2594" s="5" t="s">
        <v>167</v>
      </c>
      <c r="F2594" s="9">
        <v>23</v>
      </c>
      <c r="G2594" s="9">
        <v>259</v>
      </c>
      <c r="H2594" s="5" t="s">
        <v>21</v>
      </c>
      <c r="I2594" s="5" t="s">
        <v>6716</v>
      </c>
      <c r="J2594" s="12" t="str">
        <f>HYPERLINK("https://www.boe.es/gazeta/dias/1802/03/19/pdfs/GMD-1802-23.pdf#page=7","Abrir facsímil")</f>
        <v>Abrir facsímil</v>
      </c>
      <c r="K2594" s="15" t="s">
        <v>23</v>
      </c>
    </row>
    <row r="2595" spans="1:11" ht="42" customHeight="1">
      <c r="A2595" s="4" t="s">
        <v>6714</v>
      </c>
      <c r="B2595" s="5" t="s">
        <v>6715</v>
      </c>
      <c r="C2595" s="5" t="s">
        <v>29</v>
      </c>
      <c r="D2595" s="5" t="s">
        <v>30</v>
      </c>
      <c r="E2595" s="5" t="s">
        <v>1051</v>
      </c>
      <c r="F2595" s="9">
        <v>43</v>
      </c>
      <c r="G2595" s="9">
        <v>518</v>
      </c>
      <c r="H2595" s="5" t="s">
        <v>21</v>
      </c>
      <c r="I2595" s="5" t="s">
        <v>6717</v>
      </c>
      <c r="J2595" s="12" t="str">
        <f>HYPERLINK("https://www.boe.es/gazeta/dias/1802/05/28/pdfs/GMD-1802-43.pdf#page=10","Abrir facsímil")</f>
        <v>Abrir facsímil</v>
      </c>
      <c r="K2595" s="15" t="s">
        <v>23</v>
      </c>
    </row>
    <row r="2596" spans="1:11" ht="42" customHeight="1">
      <c r="A2596" s="4" t="s">
        <v>6718</v>
      </c>
      <c r="B2596" s="5" t="s">
        <v>6719</v>
      </c>
      <c r="C2596" s="5" t="s">
        <v>35</v>
      </c>
      <c r="D2596" s="5" t="s">
        <v>36</v>
      </c>
      <c r="E2596" s="5" t="s">
        <v>921</v>
      </c>
      <c r="F2596" s="9">
        <v>50</v>
      </c>
      <c r="G2596" s="9">
        <v>607</v>
      </c>
      <c r="H2596" s="5" t="s">
        <v>21</v>
      </c>
      <c r="I2596" s="5" t="s">
        <v>6720</v>
      </c>
      <c r="J2596" s="12" t="str">
        <f>HYPERLINK("https://www.boe.es/gazeta/dias/1802/06/22/pdfs/GMD-1802-50.pdf#page=7","Abrir facsímil")</f>
        <v>Abrir facsímil</v>
      </c>
      <c r="K2596" s="15" t="s">
        <v>23</v>
      </c>
    </row>
    <row r="2597" spans="1:11" ht="42" customHeight="1">
      <c r="A2597" s="4" t="s">
        <v>6718</v>
      </c>
      <c r="B2597" s="5" t="s">
        <v>6719</v>
      </c>
      <c r="C2597" s="5" t="s">
        <v>35</v>
      </c>
      <c r="D2597" s="5" t="s">
        <v>36</v>
      </c>
      <c r="E2597" s="5" t="s">
        <v>57</v>
      </c>
      <c r="F2597" s="9">
        <v>54</v>
      </c>
      <c r="G2597" s="9">
        <v>652</v>
      </c>
      <c r="H2597" s="5" t="s">
        <v>21</v>
      </c>
      <c r="I2597" s="5" t="s">
        <v>6721</v>
      </c>
      <c r="J2597" s="12" t="str">
        <f>HYPERLINK("https://www.boe.es/gazeta/dias/1802/07/06/pdfs/GMD-1802-54.pdf#page=8","Abrir facsímil")</f>
        <v>Abrir facsímil</v>
      </c>
      <c r="K2597" s="15" t="s">
        <v>23</v>
      </c>
    </row>
    <row r="2598" spans="1:11" ht="42" customHeight="1">
      <c r="A2598" s="4" t="s">
        <v>6722</v>
      </c>
      <c r="B2598" s="5" t="s">
        <v>6722</v>
      </c>
      <c r="C2598" s="5" t="s">
        <v>55</v>
      </c>
      <c r="D2598" s="5" t="s">
        <v>56</v>
      </c>
      <c r="E2598" s="5" t="s">
        <v>71</v>
      </c>
      <c r="F2598" s="9">
        <v>21</v>
      </c>
      <c r="G2598" s="9">
        <v>236</v>
      </c>
      <c r="H2598" s="5" t="s">
        <v>21</v>
      </c>
      <c r="I2598" s="5" t="s">
        <v>6723</v>
      </c>
      <c r="J2598" s="12" t="str">
        <f>HYPERLINK("https://www.boe.es/gazeta/dias/1802/03/12/pdfs/GMD-1802-21.pdf#page=12","Abrir facsímil")</f>
        <v>Abrir facsímil</v>
      </c>
      <c r="K2598" s="15" t="s">
        <v>23</v>
      </c>
    </row>
    <row r="2599" spans="1:11" ht="42" customHeight="1">
      <c r="A2599" s="4" t="s">
        <v>6724</v>
      </c>
      <c r="B2599" s="5" t="s">
        <v>6724</v>
      </c>
      <c r="C2599" s="5" t="s">
        <v>35</v>
      </c>
      <c r="D2599" s="5" t="s">
        <v>36</v>
      </c>
      <c r="E2599" s="5" t="s">
        <v>258</v>
      </c>
      <c r="F2599" s="9">
        <v>63</v>
      </c>
      <c r="G2599" s="9">
        <v>765</v>
      </c>
      <c r="H2599" s="5" t="s">
        <v>21</v>
      </c>
      <c r="I2599" s="5" t="s">
        <v>6725</v>
      </c>
      <c r="J2599" s="12" t="str">
        <f>HYPERLINK("https://www.boe.es/gazeta/dias/1802/08/03/pdfs/GMD-1802-63.pdf#page=5","Abrir facsímil")</f>
        <v>Abrir facsímil</v>
      </c>
      <c r="K2599" s="15" t="s">
        <v>23</v>
      </c>
    </row>
    <row r="2600" spans="1:11" ht="42" customHeight="1">
      <c r="A2600" s="4" t="s">
        <v>6726</v>
      </c>
      <c r="B2600" s="5" t="s">
        <v>6726</v>
      </c>
      <c r="C2600" s="5" t="s">
        <v>35</v>
      </c>
      <c r="D2600" s="5" t="s">
        <v>36</v>
      </c>
      <c r="E2600" s="5" t="s">
        <v>71</v>
      </c>
      <c r="F2600" s="9">
        <v>21</v>
      </c>
      <c r="G2600" s="9">
        <v>227</v>
      </c>
      <c r="H2600" s="5" t="s">
        <v>21</v>
      </c>
      <c r="I2600" s="5" t="s">
        <v>6727</v>
      </c>
      <c r="J2600" s="12" t="str">
        <f>HYPERLINK("https://www.boe.es/gazeta/dias/1802/03/12/pdfs/GMD-1802-21.pdf#page=3","Abrir facsímil")</f>
        <v>Abrir facsímil</v>
      </c>
      <c r="K2600" s="15" t="s">
        <v>23</v>
      </c>
    </row>
    <row r="2601" spans="1:11" ht="42" customHeight="1">
      <c r="A2601" s="4" t="s">
        <v>6728</v>
      </c>
      <c r="B2601" s="5" t="s">
        <v>6729</v>
      </c>
      <c r="C2601" s="5" t="s">
        <v>29</v>
      </c>
      <c r="D2601" s="5" t="s">
        <v>30</v>
      </c>
      <c r="E2601" s="5" t="s">
        <v>37</v>
      </c>
      <c r="F2601" s="9">
        <v>106</v>
      </c>
      <c r="G2601" s="9">
        <v>1295</v>
      </c>
      <c r="H2601" s="5" t="s">
        <v>21</v>
      </c>
      <c r="I2601" s="5" t="s">
        <v>6730</v>
      </c>
      <c r="J2601" s="12" t="str">
        <f>HYPERLINK("https://www.boe.es/gazeta/dias/1802/12/31/pdfs/GMD-1802-106.pdf#page=7","Abrir facsímil")</f>
        <v>Abrir facsímil</v>
      </c>
      <c r="K2601" s="15" t="s">
        <v>23</v>
      </c>
    </row>
    <row r="2602" spans="1:11" ht="42" customHeight="1">
      <c r="A2602" s="4" t="s">
        <v>6731</v>
      </c>
      <c r="B2602" s="5" t="s">
        <v>6732</v>
      </c>
      <c r="C2602" s="5" t="s">
        <v>18</v>
      </c>
      <c r="D2602" s="5" t="s">
        <v>19</v>
      </c>
      <c r="E2602" s="5" t="s">
        <v>49</v>
      </c>
      <c r="F2602" s="9">
        <v>83</v>
      </c>
      <c r="G2602" s="9">
        <v>1026</v>
      </c>
      <c r="H2602" s="5" t="s">
        <v>21</v>
      </c>
      <c r="I2602" s="5" t="s">
        <v>6733</v>
      </c>
      <c r="J2602" s="12" t="str">
        <f>HYPERLINK("https://www.boe.es/gazeta/dias/1802/10/12/pdfs/GMD-1802-83.pdf#page=14","Abrir facsímil")</f>
        <v>Abrir facsímil</v>
      </c>
      <c r="K2602" s="15" t="s">
        <v>23</v>
      </c>
    </row>
    <row r="2603" spans="1:11" ht="42" customHeight="1">
      <c r="A2603" s="4" t="s">
        <v>6734</v>
      </c>
      <c r="B2603" s="5" t="s">
        <v>6734</v>
      </c>
      <c r="C2603" s="5" t="s">
        <v>29</v>
      </c>
      <c r="D2603" s="5" t="s">
        <v>30</v>
      </c>
      <c r="E2603" s="5" t="s">
        <v>339</v>
      </c>
      <c r="F2603" s="9">
        <v>39</v>
      </c>
      <c r="G2603" s="9">
        <v>467</v>
      </c>
      <c r="H2603" s="5" t="s">
        <v>21</v>
      </c>
      <c r="I2603" s="5" t="s">
        <v>6735</v>
      </c>
      <c r="J2603" s="12" t="str">
        <f>HYPERLINK("https://www.boe.es/gazeta/dias/1802/05/14/pdfs/GMD-1802-39.pdf#page=11","Abrir facsímil")</f>
        <v>Abrir facsímil</v>
      </c>
      <c r="K2603" s="15" t="s">
        <v>23</v>
      </c>
    </row>
    <row r="2604" spans="1:11" ht="42" customHeight="1">
      <c r="A2604" s="4" t="s">
        <v>6736</v>
      </c>
      <c r="B2604" s="5" t="s">
        <v>6737</v>
      </c>
      <c r="C2604" s="5" t="s">
        <v>35</v>
      </c>
      <c r="D2604" s="5" t="s">
        <v>36</v>
      </c>
      <c r="E2604" s="5" t="s">
        <v>754</v>
      </c>
      <c r="F2604" s="9">
        <v>101</v>
      </c>
      <c r="G2604" s="9">
        <v>1241</v>
      </c>
      <c r="H2604" s="5" t="s">
        <v>21</v>
      </c>
      <c r="I2604" s="5" t="s">
        <v>6738</v>
      </c>
      <c r="J2604" s="12" t="str">
        <f>HYPERLINK("https://www.boe.es/gazeta/dias/1802/12/14/pdfs/GMD-1802-101.pdf#page=5","Abrir facsímil")</f>
        <v>Abrir facsímil</v>
      </c>
      <c r="K2604" s="15" t="s">
        <v>23</v>
      </c>
    </row>
    <row r="2605" spans="1:11" ht="42" customHeight="1">
      <c r="A2605" s="4" t="s">
        <v>6739</v>
      </c>
      <c r="B2605" s="5" t="s">
        <v>6740</v>
      </c>
      <c r="C2605" s="5" t="s">
        <v>35</v>
      </c>
      <c r="D2605" s="5" t="s">
        <v>36</v>
      </c>
      <c r="E2605" s="5" t="s">
        <v>754</v>
      </c>
      <c r="F2605" s="9">
        <v>101</v>
      </c>
      <c r="G2605" s="9">
        <v>1241</v>
      </c>
      <c r="H2605" s="5" t="s">
        <v>21</v>
      </c>
      <c r="I2605" s="5" t="s">
        <v>6741</v>
      </c>
      <c r="J2605" s="12" t="str">
        <f>HYPERLINK("https://www.boe.es/gazeta/dias/1802/12/14/pdfs/GMD-1802-101.pdf#page=5","Abrir facsímil")</f>
        <v>Abrir facsímil</v>
      </c>
      <c r="K2605" s="15" t="s">
        <v>23</v>
      </c>
    </row>
    <row r="2606" spans="1:11" ht="42" customHeight="1">
      <c r="A2606" s="4" t="s">
        <v>6742</v>
      </c>
      <c r="B2606" s="5" t="s">
        <v>6743</v>
      </c>
      <c r="C2606" s="5" t="s">
        <v>18</v>
      </c>
      <c r="D2606" s="5" t="s">
        <v>19</v>
      </c>
      <c r="E2606" s="5" t="s">
        <v>764</v>
      </c>
      <c r="F2606" s="9">
        <v>69</v>
      </c>
      <c r="G2606" s="9">
        <v>851</v>
      </c>
      <c r="H2606" s="5" t="s">
        <v>21</v>
      </c>
      <c r="I2606" s="5" t="s">
        <v>6744</v>
      </c>
      <c r="J2606" s="12" t="str">
        <f>HYPERLINK("https://www.boe.es/gazeta/dias/1802/08/24/pdfs/GMD-1802-69.pdf#page=11","Abrir facsímil")</f>
        <v>Abrir facsímil</v>
      </c>
      <c r="K2606" s="15" t="s">
        <v>23</v>
      </c>
    </row>
    <row r="2607" spans="1:11" ht="42" customHeight="1">
      <c r="A2607" s="4" t="s">
        <v>6745</v>
      </c>
      <c r="B2607" s="5" t="s">
        <v>6746</v>
      </c>
      <c r="C2607" s="5" t="s">
        <v>18</v>
      </c>
      <c r="D2607" s="5" t="s">
        <v>19</v>
      </c>
      <c r="E2607" s="5" t="s">
        <v>381</v>
      </c>
      <c r="F2607" s="9">
        <v>13</v>
      </c>
      <c r="G2607" s="9">
        <v>131</v>
      </c>
      <c r="H2607" s="5" t="s">
        <v>21</v>
      </c>
      <c r="I2607" s="5" t="s">
        <v>6747</v>
      </c>
      <c r="J2607" s="12" t="str">
        <f>HYPERLINK("https://www.boe.es/gazeta/dias/1802/02/12/pdfs/GMD-1802-13.pdf#page=7","Abrir facsímil")</f>
        <v>Abrir facsímil</v>
      </c>
      <c r="K2607" s="15" t="s">
        <v>23</v>
      </c>
    </row>
    <row r="2608" spans="1:11" ht="42" customHeight="1">
      <c r="A2608" s="4" t="s">
        <v>6748</v>
      </c>
      <c r="B2608" s="5" t="s">
        <v>6749</v>
      </c>
      <c r="C2608" s="5" t="s">
        <v>18</v>
      </c>
      <c r="D2608" s="5" t="s">
        <v>19</v>
      </c>
      <c r="E2608" s="5" t="s">
        <v>20</v>
      </c>
      <c r="F2608" s="9">
        <v>84</v>
      </c>
      <c r="G2608" s="9">
        <v>1045</v>
      </c>
      <c r="H2608" s="5" t="s">
        <v>21</v>
      </c>
      <c r="I2608" s="5" t="s">
        <v>6750</v>
      </c>
      <c r="J2608" s="12" t="str">
        <f>HYPERLINK("https://www.boe.es/gazeta/dias/1802/10/15/pdfs/GMD-1802-84.pdf#page=13","Abrir facsímil")</f>
        <v>Abrir facsímil</v>
      </c>
      <c r="K2608" s="15" t="s">
        <v>23</v>
      </c>
    </row>
    <row r="2609" spans="1:11" ht="42" customHeight="1">
      <c r="A2609" s="4" t="s">
        <v>6751</v>
      </c>
      <c r="B2609" s="5" t="s">
        <v>6752</v>
      </c>
      <c r="C2609" s="5" t="s">
        <v>35</v>
      </c>
      <c r="D2609" s="5" t="s">
        <v>36</v>
      </c>
      <c r="E2609" s="5" t="s">
        <v>148</v>
      </c>
      <c r="F2609" s="9">
        <v>66</v>
      </c>
      <c r="G2609" s="9">
        <v>808</v>
      </c>
      <c r="H2609" s="5" t="s">
        <v>21</v>
      </c>
      <c r="I2609" s="5" t="s">
        <v>6753</v>
      </c>
      <c r="J2609" s="12" t="str">
        <f>HYPERLINK("https://www.boe.es/gazeta/dias/1802/08/13/pdfs/GMD-1802-66.pdf#page=12","Abrir facsímil")</f>
        <v>Abrir facsímil</v>
      </c>
      <c r="K2609" s="15" t="s">
        <v>23</v>
      </c>
    </row>
    <row r="2610" spans="1:11" ht="42" customHeight="1">
      <c r="A2610" s="4" t="s">
        <v>6754</v>
      </c>
      <c r="B2610" s="5" t="s">
        <v>6755</v>
      </c>
      <c r="C2610" s="5" t="s">
        <v>29</v>
      </c>
      <c r="D2610" s="5" t="s">
        <v>30</v>
      </c>
      <c r="E2610" s="5" t="s">
        <v>670</v>
      </c>
      <c r="F2610" s="9">
        <v>40</v>
      </c>
      <c r="G2610" s="9">
        <v>481</v>
      </c>
      <c r="H2610" s="5" t="s">
        <v>21</v>
      </c>
      <c r="I2610" s="5" t="s">
        <v>6756</v>
      </c>
      <c r="J2610" s="12" t="str">
        <f>HYPERLINK("https://www.boe.es/gazeta/dias/1802/05/18/pdfs/GMD-1802-40.pdf#page=9","Abrir facsímil")</f>
        <v>Abrir facsímil</v>
      </c>
      <c r="K2610" s="15" t="s">
        <v>23</v>
      </c>
    </row>
    <row r="2611" spans="1:11" ht="42" customHeight="1">
      <c r="A2611" s="4" t="s">
        <v>6757</v>
      </c>
      <c r="B2611" s="5" t="s">
        <v>6758</v>
      </c>
      <c r="C2611" s="5" t="s">
        <v>18</v>
      </c>
      <c r="D2611" s="5" t="s">
        <v>19</v>
      </c>
      <c r="E2611" s="5" t="s">
        <v>49</v>
      </c>
      <c r="F2611" s="9">
        <v>83</v>
      </c>
      <c r="G2611" s="9">
        <v>1024</v>
      </c>
      <c r="H2611" s="5" t="s">
        <v>21</v>
      </c>
      <c r="I2611" s="5" t="s">
        <v>6759</v>
      </c>
      <c r="J2611" s="12" t="str">
        <f>HYPERLINK("https://www.boe.es/gazeta/dias/1802/10/12/pdfs/GMD-1802-83.pdf#page=12","Abrir facsímil")</f>
        <v>Abrir facsímil</v>
      </c>
      <c r="K2611" s="15" t="s">
        <v>23</v>
      </c>
    </row>
    <row r="2612" spans="1:11" ht="42" customHeight="1">
      <c r="A2612" s="4" t="s">
        <v>6760</v>
      </c>
      <c r="B2612" s="5" t="s">
        <v>6760</v>
      </c>
      <c r="C2612" s="5" t="s">
        <v>35</v>
      </c>
      <c r="D2612" s="5" t="s">
        <v>36</v>
      </c>
      <c r="E2612" s="5" t="s">
        <v>131</v>
      </c>
      <c r="F2612" s="9">
        <v>11</v>
      </c>
      <c r="G2612" s="9">
        <v>112</v>
      </c>
      <c r="H2612" s="5" t="s">
        <v>21</v>
      </c>
      <c r="I2612" s="5" t="s">
        <v>6761</v>
      </c>
      <c r="J2612" s="12" t="str">
        <f>HYPERLINK("https://www.boe.es/gazeta/dias/1802/02/05/pdfs/GMD-1802-11.pdf#page=8","Abrir facsímil")</f>
        <v>Abrir facsímil</v>
      </c>
      <c r="K2612" s="15" t="s">
        <v>23</v>
      </c>
    </row>
    <row r="2613" spans="1:11" ht="42" customHeight="1">
      <c r="A2613" s="4" t="s">
        <v>6762</v>
      </c>
      <c r="B2613" s="5" t="s">
        <v>6762</v>
      </c>
      <c r="C2613" s="5" t="s">
        <v>18</v>
      </c>
      <c r="D2613" s="5" t="s">
        <v>19</v>
      </c>
      <c r="E2613" s="5" t="s">
        <v>655</v>
      </c>
      <c r="F2613" s="9">
        <v>46</v>
      </c>
      <c r="G2613" s="9">
        <v>557</v>
      </c>
      <c r="H2613" s="5" t="s">
        <v>21</v>
      </c>
      <c r="I2613" s="5" t="s">
        <v>6763</v>
      </c>
      <c r="J2613" s="12" t="str">
        <f>HYPERLINK("https://www.boe.es/gazeta/dias/1802/06/08/pdfs/GMD-1802-46.pdf#page=9","Abrir facsímil")</f>
        <v>Abrir facsímil</v>
      </c>
      <c r="K2613" s="15" t="s">
        <v>23</v>
      </c>
    </row>
    <row r="2614" spans="1:11" ht="42" customHeight="1">
      <c r="A2614" s="4" t="s">
        <v>6764</v>
      </c>
      <c r="B2614" s="5" t="s">
        <v>6765</v>
      </c>
      <c r="C2614" s="5" t="s">
        <v>160</v>
      </c>
      <c r="D2614" s="5" t="s">
        <v>91</v>
      </c>
      <c r="E2614" s="5" t="s">
        <v>206</v>
      </c>
      <c r="F2614" s="9">
        <v>22</v>
      </c>
      <c r="G2614" s="9">
        <v>247</v>
      </c>
      <c r="H2614" s="5" t="s">
        <v>21</v>
      </c>
      <c r="I2614" s="5" t="s">
        <v>6766</v>
      </c>
      <c r="J2614" s="12" t="str">
        <f>HYPERLINK("https://www.boe.es/gazeta/dias/1802/03/16/pdfs/GMD-C-1802-22.pdf#page=3","Abrir facsímil")</f>
        <v>Abrir facsímil</v>
      </c>
      <c r="K2614" s="15" t="s">
        <v>23</v>
      </c>
    </row>
    <row r="2615" spans="1:11" ht="42" customHeight="1">
      <c r="A2615" s="4" t="s">
        <v>6764</v>
      </c>
      <c r="B2615" s="5" t="s">
        <v>6765</v>
      </c>
      <c r="C2615" s="5" t="s">
        <v>160</v>
      </c>
      <c r="D2615" s="5" t="s">
        <v>91</v>
      </c>
      <c r="E2615" s="5" t="s">
        <v>167</v>
      </c>
      <c r="F2615" s="9">
        <v>23</v>
      </c>
      <c r="G2615" s="9">
        <v>261</v>
      </c>
      <c r="H2615" s="5" t="s">
        <v>21</v>
      </c>
      <c r="I2615" s="5" t="s">
        <v>6767</v>
      </c>
      <c r="J2615" s="12" t="str">
        <f>HYPERLINK("https://www.boe.es/gazeta/dias/1802/03/19/pdfs/GMD-1802-23.pdf#page=9","Abrir facsímil")</f>
        <v>Abrir facsímil</v>
      </c>
      <c r="K2615" s="15" t="s">
        <v>23</v>
      </c>
    </row>
    <row r="2616" spans="1:11" ht="42" customHeight="1">
      <c r="A2616" s="4" t="s">
        <v>6764</v>
      </c>
      <c r="B2616" s="5" t="s">
        <v>6765</v>
      </c>
      <c r="C2616" s="5" t="s">
        <v>160</v>
      </c>
      <c r="D2616" s="5" t="s">
        <v>91</v>
      </c>
      <c r="E2616" s="5" t="s">
        <v>332</v>
      </c>
      <c r="F2616" s="9">
        <v>24</v>
      </c>
      <c r="G2616" s="9">
        <v>273</v>
      </c>
      <c r="H2616" s="5" t="s">
        <v>21</v>
      </c>
      <c r="I2616" s="5" t="s">
        <v>6768</v>
      </c>
      <c r="J2616" s="12" t="str">
        <f>HYPERLINK("https://www.boe.es/gazeta/dias/1802/03/23/pdfs/GMD-1802-24.pdf#page=9","Abrir facsímil")</f>
        <v>Abrir facsímil</v>
      </c>
      <c r="K2616" s="15" t="s">
        <v>23</v>
      </c>
    </row>
    <row r="2617" spans="1:11" ht="42" customHeight="1">
      <c r="A2617" s="4" t="s">
        <v>6764</v>
      </c>
      <c r="B2617" s="5" t="s">
        <v>6765</v>
      </c>
      <c r="C2617" s="5" t="s">
        <v>160</v>
      </c>
      <c r="D2617" s="5" t="s">
        <v>91</v>
      </c>
      <c r="E2617" s="5" t="s">
        <v>1749</v>
      </c>
      <c r="F2617" s="9">
        <v>60</v>
      </c>
      <c r="G2617" s="9">
        <v>730</v>
      </c>
      <c r="H2617" s="5" t="s">
        <v>21</v>
      </c>
      <c r="I2617" s="5" t="s">
        <v>6769</v>
      </c>
      <c r="J2617" s="12" t="str">
        <f>HYPERLINK("https://www.boe.es/gazeta/dias/1802/07/23/pdfs/GMD-1802-60.pdf#page=14","Abrir facsímil")</f>
        <v>Abrir facsímil</v>
      </c>
      <c r="K2617" s="15" t="s">
        <v>23</v>
      </c>
    </row>
    <row r="2618" spans="1:11" ht="42" customHeight="1">
      <c r="A2618" s="4" t="s">
        <v>6764</v>
      </c>
      <c r="B2618" s="5" t="s">
        <v>6765</v>
      </c>
      <c r="C2618" s="5" t="s">
        <v>160</v>
      </c>
      <c r="D2618" s="5" t="s">
        <v>91</v>
      </c>
      <c r="E2618" s="5" t="s">
        <v>1185</v>
      </c>
      <c r="F2618" s="9">
        <v>93</v>
      </c>
      <c r="G2618" s="9">
        <v>1151</v>
      </c>
      <c r="H2618" s="5" t="s">
        <v>21</v>
      </c>
      <c r="I2618" s="5" t="s">
        <v>6770</v>
      </c>
      <c r="J2618" s="12" t="str">
        <f>HYPERLINK("https://www.boe.es/gazeta/dias/1802/11/16/pdfs/GMD-1802-93.pdf#page=11","Abrir facsímil")</f>
        <v>Abrir facsímil</v>
      </c>
      <c r="K2618" s="15" t="s">
        <v>23</v>
      </c>
    </row>
    <row r="2619" spans="1:11" ht="42" customHeight="1">
      <c r="A2619" s="4" t="s">
        <v>6764</v>
      </c>
      <c r="B2619" s="5" t="s">
        <v>6765</v>
      </c>
      <c r="C2619" s="5" t="s">
        <v>160</v>
      </c>
      <c r="D2619" s="5" t="s">
        <v>91</v>
      </c>
      <c r="E2619" s="5" t="s">
        <v>185</v>
      </c>
      <c r="F2619" s="9">
        <v>95</v>
      </c>
      <c r="G2619" s="9">
        <v>1175</v>
      </c>
      <c r="H2619" s="5" t="s">
        <v>21</v>
      </c>
      <c r="I2619" s="5" t="s">
        <v>6771</v>
      </c>
      <c r="J2619" s="12" t="str">
        <f>HYPERLINK("https://www.boe.es/gazeta/dias/1802/11/23/pdfs/GMD-1802-95.pdf#page=11","Abrir facsímil")</f>
        <v>Abrir facsímil</v>
      </c>
      <c r="K2619" s="15" t="s">
        <v>23</v>
      </c>
    </row>
    <row r="2620" spans="1:11" ht="42" customHeight="1">
      <c r="A2620" s="4" t="s">
        <v>6772</v>
      </c>
      <c r="B2620" s="5" t="s">
        <v>6773</v>
      </c>
      <c r="C2620" s="5" t="s">
        <v>35</v>
      </c>
      <c r="D2620" s="5" t="s">
        <v>36</v>
      </c>
      <c r="E2620" s="5" t="s">
        <v>232</v>
      </c>
      <c r="F2620" s="9">
        <v>30</v>
      </c>
      <c r="G2620" s="9">
        <v>348</v>
      </c>
      <c r="H2620" s="5" t="s">
        <v>21</v>
      </c>
      <c r="I2620" s="5" t="s">
        <v>6774</v>
      </c>
      <c r="J2620" s="12" t="str">
        <f>HYPERLINK("https://www.boe.es/gazeta/dias/1802/04/13/pdfs/GMD-1802-30.pdf#page=4","Abrir facsímil")</f>
        <v>Abrir facsímil</v>
      </c>
      <c r="K2620" s="15" t="s">
        <v>23</v>
      </c>
    </row>
    <row r="2621" spans="1:11" ht="42" customHeight="1">
      <c r="A2621" s="4" t="s">
        <v>6775</v>
      </c>
      <c r="B2621" s="5" t="s">
        <v>6776</v>
      </c>
      <c r="C2621" s="5" t="s">
        <v>29</v>
      </c>
      <c r="D2621" s="5" t="s">
        <v>30</v>
      </c>
      <c r="E2621" s="5" t="s">
        <v>574</v>
      </c>
      <c r="F2621" s="9" t="s">
        <v>575</v>
      </c>
      <c r="G2621" s="9">
        <v>714</v>
      </c>
      <c r="H2621" s="5" t="s">
        <v>21</v>
      </c>
      <c r="I2621" s="5" t="s">
        <v>6777</v>
      </c>
      <c r="J2621" s="12" t="str">
        <f>HYPERLINK("https://www.boe.es/gazeta/dias/1802/07/21/pdfs/GMD-1802-59E.pdf#page=10","Abrir facsímil")</f>
        <v>Abrir facsímil</v>
      </c>
      <c r="K2621" s="15" t="s">
        <v>23</v>
      </c>
    </row>
    <row r="2622" spans="1:11" ht="42" customHeight="1">
      <c r="A2622" s="4" t="s">
        <v>6778</v>
      </c>
      <c r="B2622" s="5" t="s">
        <v>6779</v>
      </c>
      <c r="C2622" s="5" t="s">
        <v>18</v>
      </c>
      <c r="D2622" s="5" t="s">
        <v>19</v>
      </c>
      <c r="E2622" s="5" t="s">
        <v>678</v>
      </c>
      <c r="F2622" s="9">
        <v>15</v>
      </c>
      <c r="G2622" s="9">
        <v>158</v>
      </c>
      <c r="H2622" s="5" t="s">
        <v>21</v>
      </c>
      <c r="I2622" s="5" t="s">
        <v>6780</v>
      </c>
      <c r="J2622" s="12" t="str">
        <f>HYPERLINK("https://www.boe.es/gazeta/dias/1802/02/19/pdfs/GMD-1802-15.pdf#page=10","Abrir facsímil")</f>
        <v>Abrir facsímil</v>
      </c>
      <c r="K2622" s="15" t="s">
        <v>23</v>
      </c>
    </row>
    <row r="2623" spans="1:11" ht="42" customHeight="1">
      <c r="A2623" s="4" t="s">
        <v>6781</v>
      </c>
      <c r="B2623" s="5" t="s">
        <v>6782</v>
      </c>
      <c r="C2623" s="5" t="s">
        <v>90</v>
      </c>
      <c r="D2623" s="5" t="s">
        <v>91</v>
      </c>
      <c r="E2623" s="5" t="s">
        <v>745</v>
      </c>
      <c r="F2623" s="9">
        <v>92</v>
      </c>
      <c r="G2623" s="9">
        <v>1139</v>
      </c>
      <c r="H2623" s="5" t="s">
        <v>21</v>
      </c>
      <c r="I2623" s="5" t="s">
        <v>6783</v>
      </c>
      <c r="J2623" s="12" t="str">
        <f>HYPERLINK("https://www.boe.es/gazeta/dias/1802/11/12/pdfs/GMD-1802-92.pdf#page=7","Abrir facsímil")</f>
        <v>Abrir facsímil</v>
      </c>
      <c r="K2623" s="15" t="s">
        <v>23</v>
      </c>
    </row>
    <row r="2624" spans="1:11" ht="42" customHeight="1">
      <c r="A2624" s="4" t="s">
        <v>6784</v>
      </c>
      <c r="B2624" s="5" t="s">
        <v>6785</v>
      </c>
      <c r="C2624" s="5" t="s">
        <v>29</v>
      </c>
      <c r="D2624" s="5" t="s">
        <v>30</v>
      </c>
      <c r="E2624" s="5" t="s">
        <v>491</v>
      </c>
      <c r="F2624" s="9">
        <v>57</v>
      </c>
      <c r="G2624" s="9">
        <v>681</v>
      </c>
      <c r="H2624" s="5" t="s">
        <v>21</v>
      </c>
      <c r="I2624" s="5" t="s">
        <v>6786</v>
      </c>
      <c r="J2624" s="12" t="str">
        <f>HYPERLINK("https://www.boe.es/gazeta/dias/1802/07/16/pdfs/GMD-1802-57.pdf#page=1","Abrir facsímil")</f>
        <v>Abrir facsímil</v>
      </c>
      <c r="K2624" s="15" t="s">
        <v>23</v>
      </c>
    </row>
    <row r="2625" spans="1:11" ht="42" customHeight="1">
      <c r="A2625" s="4" t="s">
        <v>6787</v>
      </c>
      <c r="B2625" s="5" t="s">
        <v>6788</v>
      </c>
      <c r="C2625" s="5" t="s">
        <v>35</v>
      </c>
      <c r="D2625" s="5" t="s">
        <v>36</v>
      </c>
      <c r="E2625" s="5" t="s">
        <v>907</v>
      </c>
      <c r="F2625" s="9">
        <v>77</v>
      </c>
      <c r="G2625" s="9">
        <v>943</v>
      </c>
      <c r="H2625" s="5" t="s">
        <v>21</v>
      </c>
      <c r="I2625" s="5" t="s">
        <v>6789</v>
      </c>
      <c r="J2625" s="12" t="str">
        <f>HYPERLINK("https://www.boe.es/gazeta/dias/1802/09/21/pdfs/GMD-1802-77.pdf#page=3","Abrir facsímil")</f>
        <v>Abrir facsímil</v>
      </c>
      <c r="K2625" s="15" t="s">
        <v>23</v>
      </c>
    </row>
    <row r="2626" spans="1:11" ht="42" customHeight="1">
      <c r="A2626" s="4" t="s">
        <v>6787</v>
      </c>
      <c r="B2626" s="5" t="s">
        <v>6788</v>
      </c>
      <c r="C2626" s="5" t="s">
        <v>35</v>
      </c>
      <c r="D2626" s="5" t="s">
        <v>36</v>
      </c>
      <c r="E2626" s="5" t="s">
        <v>907</v>
      </c>
      <c r="F2626" s="9">
        <v>77</v>
      </c>
      <c r="G2626" s="9">
        <v>944</v>
      </c>
      <c r="H2626" s="5" t="s">
        <v>21</v>
      </c>
      <c r="I2626" s="5" t="s">
        <v>6790</v>
      </c>
      <c r="J2626" s="12" t="str">
        <f>HYPERLINK("https://www.boe.es/gazeta/dias/1802/09/21/pdfs/GMD-1802-77.pdf#page=4","Abrir facsímil")</f>
        <v>Abrir facsímil</v>
      </c>
      <c r="K2626" s="15" t="s">
        <v>23</v>
      </c>
    </row>
    <row r="2627" spans="1:11" ht="42" customHeight="1">
      <c r="A2627" s="4" t="s">
        <v>6791</v>
      </c>
      <c r="B2627" s="5" t="s">
        <v>6792</v>
      </c>
      <c r="C2627" s="5" t="s">
        <v>29</v>
      </c>
      <c r="D2627" s="5" t="s">
        <v>30</v>
      </c>
      <c r="E2627" s="5" t="s">
        <v>57</v>
      </c>
      <c r="F2627" s="9">
        <v>54</v>
      </c>
      <c r="G2627" s="9">
        <v>652</v>
      </c>
      <c r="H2627" s="5" t="s">
        <v>21</v>
      </c>
      <c r="I2627" s="5" t="s">
        <v>6793</v>
      </c>
      <c r="J2627" s="12" t="str">
        <f>HYPERLINK("https://www.boe.es/gazeta/dias/1802/07/06/pdfs/GMD-1802-54.pdf#page=8","Abrir facsímil")</f>
        <v>Abrir facsímil</v>
      </c>
      <c r="K2627" s="15" t="s">
        <v>23</v>
      </c>
    </row>
    <row r="2628" spans="1:11" ht="42" customHeight="1">
      <c r="A2628" s="4" t="s">
        <v>6794</v>
      </c>
      <c r="B2628" s="5" t="s">
        <v>6794</v>
      </c>
      <c r="C2628" s="5" t="s">
        <v>35</v>
      </c>
      <c r="D2628" s="5" t="s">
        <v>36</v>
      </c>
      <c r="E2628" s="5" t="s">
        <v>439</v>
      </c>
      <c r="F2628" s="9">
        <v>76</v>
      </c>
      <c r="G2628" s="9">
        <v>934</v>
      </c>
      <c r="H2628" s="5" t="s">
        <v>21</v>
      </c>
      <c r="I2628" s="5" t="s">
        <v>6795</v>
      </c>
      <c r="J2628" s="12" t="str">
        <f>HYPERLINK("https://www.boe.es/gazeta/dias/1802/09/17/pdfs/GMD-1802-76.pdf#page=6","Abrir facsímil")</f>
        <v>Abrir facsímil</v>
      </c>
      <c r="K2628" s="15" t="s">
        <v>23</v>
      </c>
    </row>
    <row r="2629" spans="1:11" ht="42" customHeight="1">
      <c r="A2629" s="4" t="s">
        <v>6796</v>
      </c>
      <c r="B2629" s="5" t="s">
        <v>6797</v>
      </c>
      <c r="C2629" s="5" t="s">
        <v>29</v>
      </c>
      <c r="D2629" s="5" t="s">
        <v>30</v>
      </c>
      <c r="E2629" s="5" t="s">
        <v>131</v>
      </c>
      <c r="F2629" s="9">
        <v>11</v>
      </c>
      <c r="G2629" s="9">
        <v>114</v>
      </c>
      <c r="H2629" s="5" t="s">
        <v>21</v>
      </c>
      <c r="I2629" s="5" t="s">
        <v>6798</v>
      </c>
      <c r="J2629" s="12" t="str">
        <f>HYPERLINK("https://www.boe.es/gazeta/dias/1802/02/05/pdfs/GMD-1802-11.pdf#page=10","Abrir facsímil")</f>
        <v>Abrir facsímil</v>
      </c>
      <c r="K2629" s="15" t="s">
        <v>23</v>
      </c>
    </row>
    <row r="2630" spans="1:11" ht="42" customHeight="1">
      <c r="A2630" s="4" t="s">
        <v>6799</v>
      </c>
      <c r="B2630" s="5" t="s">
        <v>6799</v>
      </c>
      <c r="C2630" s="5" t="s">
        <v>29</v>
      </c>
      <c r="D2630" s="5" t="s">
        <v>30</v>
      </c>
      <c r="E2630" s="5" t="s">
        <v>1829</v>
      </c>
      <c r="F2630" s="9">
        <v>32</v>
      </c>
      <c r="G2630" s="9">
        <v>369</v>
      </c>
      <c r="H2630" s="5" t="s">
        <v>21</v>
      </c>
      <c r="I2630" s="5" t="s">
        <v>6800</v>
      </c>
      <c r="J2630" s="12" t="str">
        <f>HYPERLINK("https://www.boe.es/gazeta/dias/1802/04/20/pdfs/GMD-1802-32.pdf#page=1","Abrir facsímil")</f>
        <v>Abrir facsímil</v>
      </c>
      <c r="K2630" s="15" t="s">
        <v>23</v>
      </c>
    </row>
    <row r="2631" spans="1:11" ht="42" customHeight="1">
      <c r="A2631" s="4" t="s">
        <v>6801</v>
      </c>
      <c r="B2631" s="5" t="s">
        <v>6801</v>
      </c>
      <c r="C2631" s="5" t="s">
        <v>18</v>
      </c>
      <c r="D2631" s="5" t="s">
        <v>19</v>
      </c>
      <c r="E2631" s="5" t="s">
        <v>886</v>
      </c>
      <c r="F2631" s="9">
        <v>7</v>
      </c>
      <c r="G2631" s="9">
        <v>65</v>
      </c>
      <c r="H2631" s="5" t="s">
        <v>21</v>
      </c>
      <c r="I2631" s="5" t="s">
        <v>6802</v>
      </c>
      <c r="J2631" s="12" t="str">
        <f>HYPERLINK("https://www.boe.es/gazeta/dias/1802/01/22/pdfs/GMD-1802-7.pdf#page=5","Abrir facsímil")</f>
        <v>Abrir facsímil</v>
      </c>
      <c r="K2631" s="15" t="s">
        <v>23</v>
      </c>
    </row>
    <row r="2632" spans="1:11" ht="42" customHeight="1">
      <c r="A2632" s="4" t="s">
        <v>6803</v>
      </c>
      <c r="B2632" s="5" t="s">
        <v>6803</v>
      </c>
      <c r="C2632" s="5" t="s">
        <v>55</v>
      </c>
      <c r="D2632" s="5" t="s">
        <v>56</v>
      </c>
      <c r="E2632" s="5" t="s">
        <v>443</v>
      </c>
      <c r="F2632" s="9">
        <v>78</v>
      </c>
      <c r="G2632" s="9" t="s">
        <v>558</v>
      </c>
      <c r="H2632" s="5" t="s">
        <v>21</v>
      </c>
      <c r="I2632" s="5" t="s">
        <v>6804</v>
      </c>
      <c r="J2632" s="12" t="str">
        <f>HYPERLINK("https://www.boe.es/gazeta/dias/1802/09/24/pdfs/GMD-C-1802-78.pdf#page=1","Abrir facsímil")</f>
        <v>Abrir facsímil</v>
      </c>
      <c r="K2632" s="15" t="s">
        <v>23</v>
      </c>
    </row>
    <row r="2633" spans="1:11" ht="42" customHeight="1">
      <c r="A2633" s="4" t="s">
        <v>6805</v>
      </c>
      <c r="B2633" s="5" t="s">
        <v>6805</v>
      </c>
      <c r="C2633" s="5" t="s">
        <v>55</v>
      </c>
      <c r="D2633" s="5" t="s">
        <v>56</v>
      </c>
      <c r="E2633" s="5" t="s">
        <v>152</v>
      </c>
      <c r="F2633" s="9">
        <v>25</v>
      </c>
      <c r="G2633" s="9">
        <v>281</v>
      </c>
      <c r="H2633" s="5" t="s">
        <v>21</v>
      </c>
      <c r="I2633" s="5" t="s">
        <v>6806</v>
      </c>
      <c r="J2633" s="12" t="str">
        <f>HYPERLINK("https://www.boe.es/gazeta/dias/1802/03/26/pdfs/GMD-1802-25.pdf#page=5","Abrir facsímil")</f>
        <v>Abrir facsímil</v>
      </c>
      <c r="K2633" s="15" t="s">
        <v>23</v>
      </c>
    </row>
    <row r="2634" spans="1:11" ht="42" customHeight="1">
      <c r="A2634" s="4" t="s">
        <v>6807</v>
      </c>
      <c r="B2634" s="5" t="s">
        <v>6808</v>
      </c>
      <c r="C2634" s="5" t="s">
        <v>42</v>
      </c>
      <c r="D2634" s="5" t="s">
        <v>43</v>
      </c>
      <c r="E2634" s="5" t="s">
        <v>44</v>
      </c>
      <c r="F2634" s="9">
        <v>99</v>
      </c>
      <c r="G2634" s="9" t="s">
        <v>251</v>
      </c>
      <c r="H2634" s="5" t="s">
        <v>21</v>
      </c>
      <c r="I2634" s="5" t="s">
        <v>6809</v>
      </c>
      <c r="J2634" s="12" t="str">
        <f>HYPERLINK("https://www.boe.es/gazeta/dias/1802/12/07/pdfs/GMD-D-1802-99.pdf#page=6","Abrir facsímil")</f>
        <v>Abrir facsímil</v>
      </c>
      <c r="K2634" s="15" t="s">
        <v>23</v>
      </c>
    </row>
    <row r="2635" spans="1:11" ht="42" customHeight="1">
      <c r="A2635" s="4" t="s">
        <v>6810</v>
      </c>
      <c r="B2635" s="5" t="s">
        <v>6811</v>
      </c>
      <c r="C2635" s="5" t="s">
        <v>90</v>
      </c>
      <c r="D2635" s="5" t="s">
        <v>91</v>
      </c>
      <c r="E2635" s="5" t="s">
        <v>1749</v>
      </c>
      <c r="F2635" s="9">
        <v>60</v>
      </c>
      <c r="G2635" s="9">
        <v>731</v>
      </c>
      <c r="H2635" s="5" t="s">
        <v>21</v>
      </c>
      <c r="I2635" s="5" t="s">
        <v>6812</v>
      </c>
      <c r="J2635" s="12" t="str">
        <f>HYPERLINK("https://www.boe.es/gazeta/dias/1802/07/23/pdfs/GMD-1802-60.pdf#page=15","Abrir facsímil")</f>
        <v>Abrir facsímil</v>
      </c>
      <c r="K2635" s="15" t="s">
        <v>23</v>
      </c>
    </row>
    <row r="2636" spans="1:11" ht="42" customHeight="1">
      <c r="A2636" s="4" t="s">
        <v>6813</v>
      </c>
      <c r="B2636" s="5" t="s">
        <v>6814</v>
      </c>
      <c r="C2636" s="5" t="s">
        <v>90</v>
      </c>
      <c r="D2636" s="5" t="s">
        <v>91</v>
      </c>
      <c r="E2636" s="5" t="s">
        <v>481</v>
      </c>
      <c r="F2636" s="9">
        <v>79</v>
      </c>
      <c r="G2636" s="9">
        <v>975</v>
      </c>
      <c r="H2636" s="5" t="s">
        <v>21</v>
      </c>
      <c r="I2636" s="5" t="s">
        <v>6815</v>
      </c>
      <c r="J2636" s="12" t="str">
        <f>HYPERLINK("https://www.boe.es/gazeta/dias/1802/09/28/pdfs/GMD-1802-79.pdf#page=11","Abrir facsímil")</f>
        <v>Abrir facsímil</v>
      </c>
      <c r="K2636" s="15" t="s">
        <v>23</v>
      </c>
    </row>
    <row r="2637" spans="1:11" ht="42" customHeight="1">
      <c r="A2637" s="4" t="s">
        <v>6816</v>
      </c>
      <c r="B2637" s="5" t="s">
        <v>6817</v>
      </c>
      <c r="C2637" s="5" t="s">
        <v>18</v>
      </c>
      <c r="D2637" s="5" t="s">
        <v>19</v>
      </c>
      <c r="E2637" s="5" t="s">
        <v>20</v>
      </c>
      <c r="F2637" s="9">
        <v>84</v>
      </c>
      <c r="G2637" s="9">
        <v>1042</v>
      </c>
      <c r="H2637" s="5" t="s">
        <v>21</v>
      </c>
      <c r="I2637" s="5" t="s">
        <v>6818</v>
      </c>
      <c r="J2637" s="12" t="str">
        <f>HYPERLINK("https://www.boe.es/gazeta/dias/1802/10/15/pdfs/GMD-1802-84.pdf#page=10","Abrir facsímil")</f>
        <v>Abrir facsímil</v>
      </c>
      <c r="K2637" s="15" t="s">
        <v>23</v>
      </c>
    </row>
    <row r="2638" spans="1:11" ht="42" customHeight="1">
      <c r="A2638" s="4" t="s">
        <v>6819</v>
      </c>
      <c r="B2638" s="5" t="s">
        <v>6820</v>
      </c>
      <c r="C2638" s="5" t="s">
        <v>29</v>
      </c>
      <c r="D2638" s="5" t="s">
        <v>30</v>
      </c>
      <c r="E2638" s="5" t="s">
        <v>1097</v>
      </c>
      <c r="F2638" s="9">
        <v>20</v>
      </c>
      <c r="G2638" s="9">
        <v>222</v>
      </c>
      <c r="H2638" s="5" t="s">
        <v>21</v>
      </c>
      <c r="I2638" s="5" t="s">
        <v>6821</v>
      </c>
      <c r="J2638" s="12" t="str">
        <f>HYPERLINK("https://www.boe.es/gazeta/dias/1802/03/09/pdfs/GMD-1802-20.pdf#page=10","Abrir facsímil")</f>
        <v>Abrir facsímil</v>
      </c>
      <c r="K2638" s="15" t="s">
        <v>23</v>
      </c>
    </row>
    <row r="2639" spans="1:11" ht="42" customHeight="1">
      <c r="A2639" s="4" t="s">
        <v>6822</v>
      </c>
      <c r="B2639" s="5" t="s">
        <v>6823</v>
      </c>
      <c r="C2639" s="5" t="s">
        <v>29</v>
      </c>
      <c r="D2639" s="5" t="s">
        <v>30</v>
      </c>
      <c r="E2639" s="5" t="s">
        <v>678</v>
      </c>
      <c r="F2639" s="9">
        <v>15</v>
      </c>
      <c r="G2639" s="9">
        <v>158</v>
      </c>
      <c r="H2639" s="5" t="s">
        <v>21</v>
      </c>
      <c r="I2639" s="5" t="s">
        <v>6824</v>
      </c>
      <c r="J2639" s="12" t="str">
        <f>HYPERLINK("https://www.boe.es/gazeta/dias/1802/02/19/pdfs/GMD-1802-15.pdf#page=10","Abrir facsímil")</f>
        <v>Abrir facsímil</v>
      </c>
      <c r="K2639" s="15" t="s">
        <v>23</v>
      </c>
    </row>
    <row r="2640" spans="1:11" ht="42" customHeight="1">
      <c r="A2640" s="4" t="s">
        <v>6825</v>
      </c>
      <c r="B2640" s="5" t="s">
        <v>6826</v>
      </c>
      <c r="C2640" s="5" t="s">
        <v>18</v>
      </c>
      <c r="D2640" s="5" t="s">
        <v>19</v>
      </c>
      <c r="E2640" s="5" t="s">
        <v>20</v>
      </c>
      <c r="F2640" s="9">
        <v>84</v>
      </c>
      <c r="G2640" s="9">
        <v>1043</v>
      </c>
      <c r="H2640" s="5" t="s">
        <v>21</v>
      </c>
      <c r="I2640" s="5" t="s">
        <v>6827</v>
      </c>
      <c r="J2640" s="12" t="str">
        <f>HYPERLINK("https://www.boe.es/gazeta/dias/1802/10/15/pdfs/GMD-1802-84.pdf#page=11","Abrir facsímil")</f>
        <v>Abrir facsímil</v>
      </c>
      <c r="K2640" s="15" t="s">
        <v>23</v>
      </c>
    </row>
    <row r="2641" spans="1:11" ht="42" customHeight="1">
      <c r="A2641" s="4" t="s">
        <v>6828</v>
      </c>
      <c r="B2641" s="5" t="s">
        <v>6828</v>
      </c>
      <c r="C2641" s="5" t="s">
        <v>18</v>
      </c>
      <c r="D2641" s="5" t="s">
        <v>19</v>
      </c>
      <c r="E2641" s="5" t="s">
        <v>20</v>
      </c>
      <c r="F2641" s="9">
        <v>84</v>
      </c>
      <c r="G2641" s="9">
        <v>1045</v>
      </c>
      <c r="H2641" s="5" t="s">
        <v>21</v>
      </c>
      <c r="I2641" s="5" t="s">
        <v>6829</v>
      </c>
      <c r="J2641" s="12" t="str">
        <f>HYPERLINK("https://www.boe.es/gazeta/dias/1802/10/15/pdfs/GMD-1802-84.pdf#page=13","Abrir facsímil")</f>
        <v>Abrir facsímil</v>
      </c>
      <c r="K2641" s="15" t="s">
        <v>23</v>
      </c>
    </row>
    <row r="2642" spans="1:11" ht="42" customHeight="1">
      <c r="A2642" s="4" t="s">
        <v>6830</v>
      </c>
      <c r="B2642" s="5" t="s">
        <v>6831</v>
      </c>
      <c r="C2642" s="5" t="s">
        <v>29</v>
      </c>
      <c r="D2642" s="5" t="s">
        <v>30</v>
      </c>
      <c r="E2642" s="5" t="s">
        <v>299</v>
      </c>
      <c r="F2642" s="9">
        <v>19</v>
      </c>
      <c r="G2642" s="9">
        <v>209</v>
      </c>
      <c r="H2642" s="5" t="s">
        <v>21</v>
      </c>
      <c r="I2642" s="5" t="s">
        <v>6832</v>
      </c>
      <c r="J2642" s="12" t="str">
        <f>HYPERLINK("https://www.boe.es/gazeta/dias/1802/03/05/pdfs/GMD-1802-19.pdf#page=9","Abrir facsímil")</f>
        <v>Abrir facsímil</v>
      </c>
      <c r="K2642" s="15" t="s">
        <v>23</v>
      </c>
    </row>
    <row r="2643" spans="1:11" ht="42" customHeight="1">
      <c r="A2643" s="4" t="s">
        <v>6833</v>
      </c>
      <c r="B2643" s="5" t="s">
        <v>6834</v>
      </c>
      <c r="C2643" s="5" t="s">
        <v>42</v>
      </c>
      <c r="D2643" s="5" t="s">
        <v>43</v>
      </c>
      <c r="E2643" s="5" t="s">
        <v>44</v>
      </c>
      <c r="F2643" s="9">
        <v>99</v>
      </c>
      <c r="G2643" s="9" t="s">
        <v>222</v>
      </c>
      <c r="H2643" s="5" t="s">
        <v>21</v>
      </c>
      <c r="I2643" s="5" t="s">
        <v>6835</v>
      </c>
      <c r="J2643" s="12" t="str">
        <f>HYPERLINK("https://www.boe.es/gazeta/dias/1802/12/07/pdfs/GMD-D-1802-99.pdf#page=5","Abrir facsímil")</f>
        <v>Abrir facsímil</v>
      </c>
      <c r="K2643" s="15" t="s">
        <v>23</v>
      </c>
    </row>
    <row r="2644" spans="1:11" ht="42" customHeight="1">
      <c r="A2644" s="4" t="s">
        <v>6836</v>
      </c>
      <c r="B2644" s="5" t="s">
        <v>6836</v>
      </c>
      <c r="C2644" s="5" t="s">
        <v>29</v>
      </c>
      <c r="D2644" s="5" t="s">
        <v>30</v>
      </c>
      <c r="E2644" s="5" t="s">
        <v>188</v>
      </c>
      <c r="F2644" s="9">
        <v>49</v>
      </c>
      <c r="G2644" s="9">
        <v>599</v>
      </c>
      <c r="H2644" s="5" t="s">
        <v>21</v>
      </c>
      <c r="I2644" s="5" t="s">
        <v>6837</v>
      </c>
      <c r="J2644" s="12" t="str">
        <f>HYPERLINK("https://www.boe.es/gazeta/dias/1802/06/18/pdfs/GMD-1802-49.pdf#page=11","Abrir facsímil")</f>
        <v>Abrir facsímil</v>
      </c>
      <c r="K2644" s="15" t="s">
        <v>23</v>
      </c>
    </row>
    <row r="2645" spans="1:11" ht="42" customHeight="1">
      <c r="A2645" s="4" t="s">
        <v>6838</v>
      </c>
      <c r="B2645" s="5" t="s">
        <v>6839</v>
      </c>
      <c r="C2645" s="5" t="s">
        <v>29</v>
      </c>
      <c r="D2645" s="5" t="s">
        <v>30</v>
      </c>
      <c r="E2645" s="5" t="s">
        <v>635</v>
      </c>
      <c r="F2645" s="9">
        <v>47</v>
      </c>
      <c r="G2645" s="9">
        <v>573</v>
      </c>
      <c r="H2645" s="5" t="s">
        <v>21</v>
      </c>
      <c r="I2645" s="5" t="s">
        <v>6840</v>
      </c>
      <c r="J2645" s="12" t="str">
        <f>HYPERLINK("https://www.boe.es/gazeta/dias/1802/06/11/pdfs/GMD-1802-47.pdf#page=9","Abrir facsímil")</f>
        <v>Abrir facsímil</v>
      </c>
      <c r="K2645" s="15" t="s">
        <v>23</v>
      </c>
    </row>
    <row r="2646" spans="1:11" ht="42" customHeight="1">
      <c r="A2646" s="4" t="s">
        <v>6841</v>
      </c>
      <c r="B2646" s="5" t="s">
        <v>6841</v>
      </c>
      <c r="C2646" s="5" t="s">
        <v>55</v>
      </c>
      <c r="D2646" s="5" t="s">
        <v>56</v>
      </c>
      <c r="E2646" s="5" t="s">
        <v>823</v>
      </c>
      <c r="F2646" s="9">
        <v>94</v>
      </c>
      <c r="G2646" s="9">
        <v>1164</v>
      </c>
      <c r="H2646" s="5" t="s">
        <v>21</v>
      </c>
      <c r="I2646" s="5" t="s">
        <v>6842</v>
      </c>
      <c r="J2646" s="12" t="str">
        <f>HYPERLINK("https://www.boe.es/gazeta/dias/1802/11/19/pdfs/GMD-1802-94.pdf#page=12","Abrir facsímil")</f>
        <v>Abrir facsímil</v>
      </c>
      <c r="K2646" s="15" t="s">
        <v>23</v>
      </c>
    </row>
    <row r="2647" spans="1:11" ht="42" customHeight="1">
      <c r="A2647" s="4" t="s">
        <v>6843</v>
      </c>
      <c r="B2647" s="5" t="s">
        <v>6844</v>
      </c>
      <c r="C2647" s="5" t="s">
        <v>55</v>
      </c>
      <c r="D2647" s="5" t="s">
        <v>56</v>
      </c>
      <c r="E2647" s="5" t="s">
        <v>1618</v>
      </c>
      <c r="F2647" s="9">
        <v>31</v>
      </c>
      <c r="G2647" s="9">
        <v>368</v>
      </c>
      <c r="H2647" s="5" t="s">
        <v>21</v>
      </c>
      <c r="I2647" s="5" t="s">
        <v>6845</v>
      </c>
      <c r="J2647" s="12" t="str">
        <f>HYPERLINK("https://www.boe.es/gazeta/dias/1802/04/16/pdfs/GMD-1802-31.pdf#page=12","Abrir facsímil")</f>
        <v>Abrir facsímil</v>
      </c>
      <c r="K2647" s="15" t="s">
        <v>23</v>
      </c>
    </row>
    <row r="2648" spans="1:11" ht="42" customHeight="1">
      <c r="A2648" s="4" t="s">
        <v>6846</v>
      </c>
      <c r="B2648" s="5" t="s">
        <v>6847</v>
      </c>
      <c r="C2648" s="5" t="s">
        <v>90</v>
      </c>
      <c r="D2648" s="5" t="s">
        <v>91</v>
      </c>
      <c r="E2648" s="5" t="s">
        <v>921</v>
      </c>
      <c r="F2648" s="9">
        <v>50</v>
      </c>
      <c r="G2648" s="9">
        <v>610</v>
      </c>
      <c r="H2648" s="5" t="s">
        <v>21</v>
      </c>
      <c r="I2648" s="5" t="s">
        <v>6848</v>
      </c>
      <c r="J2648" s="12" t="str">
        <f>HYPERLINK("https://www.boe.es/gazeta/dias/1802/06/22/pdfs/GMD-1802-50.pdf#page=10","Abrir facsímil")</f>
        <v>Abrir facsímil</v>
      </c>
      <c r="K2648" s="15" t="s">
        <v>23</v>
      </c>
    </row>
    <row r="2649" spans="1:11" ht="42" customHeight="1">
      <c r="A2649" s="4" t="s">
        <v>6849</v>
      </c>
      <c r="B2649" s="5" t="s">
        <v>6850</v>
      </c>
      <c r="C2649" s="5" t="s">
        <v>29</v>
      </c>
      <c r="D2649" s="5" t="s">
        <v>30</v>
      </c>
      <c r="E2649" s="5" t="s">
        <v>71</v>
      </c>
      <c r="F2649" s="9">
        <v>21</v>
      </c>
      <c r="G2649" s="9">
        <v>233</v>
      </c>
      <c r="H2649" s="5" t="s">
        <v>21</v>
      </c>
      <c r="I2649" s="5" t="s">
        <v>6851</v>
      </c>
      <c r="J2649" s="12" t="str">
        <f>HYPERLINK("https://www.boe.es/gazeta/dias/1802/03/12/pdfs/GMD-1802-21.pdf#page=9","Abrir facsímil")</f>
        <v>Abrir facsímil</v>
      </c>
      <c r="K2649" s="15" t="s">
        <v>23</v>
      </c>
    </row>
    <row r="2650" spans="1:11" ht="42" customHeight="1">
      <c r="A2650" s="4" t="s">
        <v>6852</v>
      </c>
      <c r="B2650" s="5" t="s">
        <v>6852</v>
      </c>
      <c r="C2650" s="5" t="s">
        <v>18</v>
      </c>
      <c r="D2650" s="5" t="s">
        <v>19</v>
      </c>
      <c r="E2650" s="5" t="s">
        <v>655</v>
      </c>
      <c r="F2650" s="9">
        <v>46</v>
      </c>
      <c r="G2650" s="9">
        <v>557</v>
      </c>
      <c r="H2650" s="5" t="s">
        <v>21</v>
      </c>
      <c r="I2650" s="5" t="s">
        <v>6853</v>
      </c>
      <c r="J2650" s="12" t="str">
        <f>HYPERLINK("https://www.boe.es/gazeta/dias/1802/06/08/pdfs/GMD-1802-46.pdf#page=9","Abrir facsímil")</f>
        <v>Abrir facsímil</v>
      </c>
      <c r="K2650" s="15" t="s">
        <v>23</v>
      </c>
    </row>
    <row r="2651" spans="1:11" ht="42" customHeight="1">
      <c r="A2651" s="4" t="s">
        <v>6854</v>
      </c>
      <c r="B2651" s="5" t="s">
        <v>6855</v>
      </c>
      <c r="C2651" s="5" t="s">
        <v>90</v>
      </c>
      <c r="D2651" s="5" t="s">
        <v>91</v>
      </c>
      <c r="E2651" s="5" t="s">
        <v>642</v>
      </c>
      <c r="F2651" s="9">
        <v>51</v>
      </c>
      <c r="G2651" s="9">
        <v>622</v>
      </c>
      <c r="H2651" s="5" t="s">
        <v>21</v>
      </c>
      <c r="I2651" s="5" t="s">
        <v>6856</v>
      </c>
      <c r="J2651" s="12" t="str">
        <f>HYPERLINK("https://www.boe.es/gazeta/dias/1802/06/25/pdfs/GMD-1802-51.pdf#page=10","Abrir facsímil")</f>
        <v>Abrir facsímil</v>
      </c>
      <c r="K2651" s="15" t="s">
        <v>23</v>
      </c>
    </row>
    <row r="2652" spans="1:11" ht="42" customHeight="1">
      <c r="A2652" s="4" t="s">
        <v>6857</v>
      </c>
      <c r="B2652" s="5" t="s">
        <v>6858</v>
      </c>
      <c r="C2652" s="5" t="s">
        <v>18</v>
      </c>
      <c r="D2652" s="5" t="s">
        <v>19</v>
      </c>
      <c r="E2652" s="5" t="s">
        <v>49</v>
      </c>
      <c r="F2652" s="9">
        <v>83</v>
      </c>
      <c r="G2652" s="9">
        <v>1024</v>
      </c>
      <c r="H2652" s="5" t="s">
        <v>21</v>
      </c>
      <c r="I2652" s="5" t="s">
        <v>6859</v>
      </c>
      <c r="J2652" s="12" t="str">
        <f>HYPERLINK("https://www.boe.es/gazeta/dias/1802/10/12/pdfs/GMD-1802-83.pdf#page=12","Abrir facsímil")</f>
        <v>Abrir facsímil</v>
      </c>
      <c r="K2652" s="15" t="s">
        <v>23</v>
      </c>
    </row>
    <row r="2653" spans="1:11" ht="42" customHeight="1">
      <c r="A2653" s="4" t="s">
        <v>6860</v>
      </c>
      <c r="B2653" s="5" t="s">
        <v>6860</v>
      </c>
      <c r="C2653" s="5" t="s">
        <v>29</v>
      </c>
      <c r="D2653" s="5" t="s">
        <v>30</v>
      </c>
      <c r="E2653" s="5" t="s">
        <v>49</v>
      </c>
      <c r="F2653" s="9">
        <v>83</v>
      </c>
      <c r="G2653" s="9">
        <v>1015</v>
      </c>
      <c r="H2653" s="5" t="s">
        <v>21</v>
      </c>
      <c r="I2653" s="5" t="s">
        <v>6861</v>
      </c>
      <c r="J2653" s="12" t="str">
        <f>HYPERLINK("https://www.boe.es/gazeta/dias/1802/10/12/pdfs/GMD-1802-83.pdf#page=3","Abrir facsímil")</f>
        <v>Abrir facsímil</v>
      </c>
      <c r="K2653" s="15" t="s">
        <v>23</v>
      </c>
    </row>
    <row r="2654" spans="1:11" ht="42" customHeight="1">
      <c r="A2654" s="4" t="s">
        <v>6862</v>
      </c>
      <c r="B2654" s="5" t="s">
        <v>6863</v>
      </c>
      <c r="C2654" s="5" t="s">
        <v>29</v>
      </c>
      <c r="D2654" s="5" t="s">
        <v>30</v>
      </c>
      <c r="E2654" s="5" t="s">
        <v>71</v>
      </c>
      <c r="F2654" s="9">
        <v>21</v>
      </c>
      <c r="G2654" s="9">
        <v>236</v>
      </c>
      <c r="H2654" s="5" t="s">
        <v>21</v>
      </c>
      <c r="I2654" s="5" t="s">
        <v>6864</v>
      </c>
      <c r="J2654" s="12" t="str">
        <f>HYPERLINK("https://www.boe.es/gazeta/dias/1802/03/12/pdfs/GMD-1802-21.pdf#page=12","Abrir facsímil")</f>
        <v>Abrir facsímil</v>
      </c>
      <c r="K2654" s="15" t="s">
        <v>23</v>
      </c>
    </row>
    <row r="2655" spans="1:11" ht="42" customHeight="1">
      <c r="A2655" s="4" t="s">
        <v>6865</v>
      </c>
      <c r="B2655" s="5" t="s">
        <v>6866</v>
      </c>
      <c r="C2655" s="5" t="s">
        <v>42</v>
      </c>
      <c r="D2655" s="5" t="s">
        <v>43</v>
      </c>
      <c r="E2655" s="5" t="s">
        <v>44</v>
      </c>
      <c r="F2655" s="9">
        <v>99</v>
      </c>
      <c r="G2655" s="9" t="s">
        <v>222</v>
      </c>
      <c r="H2655" s="5" t="s">
        <v>21</v>
      </c>
      <c r="I2655" s="5" t="s">
        <v>6867</v>
      </c>
      <c r="J2655" s="12" t="str">
        <f>HYPERLINK("https://www.boe.es/gazeta/dias/1802/12/07/pdfs/GMD-D-1802-99.pdf#page=5","Abrir facsímil")</f>
        <v>Abrir facsímil</v>
      </c>
      <c r="K2655" s="15" t="s">
        <v>23</v>
      </c>
    </row>
    <row r="2656" spans="1:11" ht="42" customHeight="1">
      <c r="A2656" s="4" t="s">
        <v>6868</v>
      </c>
      <c r="B2656" s="5" t="s">
        <v>6869</v>
      </c>
      <c r="C2656" s="5" t="s">
        <v>42</v>
      </c>
      <c r="D2656" s="5" t="s">
        <v>43</v>
      </c>
      <c r="E2656" s="5" t="s">
        <v>44</v>
      </c>
      <c r="F2656" s="9">
        <v>99</v>
      </c>
      <c r="G2656" s="9" t="s">
        <v>295</v>
      </c>
      <c r="H2656" s="5" t="s">
        <v>21</v>
      </c>
      <c r="I2656" s="5" t="s">
        <v>6870</v>
      </c>
      <c r="J2656" s="12" t="str">
        <f>HYPERLINK("https://www.boe.es/gazeta/dias/1802/12/07/pdfs/GMD-D-1802-99.pdf#page=7","Abrir facsímil")</f>
        <v>Abrir facsímil</v>
      </c>
      <c r="K2656" s="15" t="s">
        <v>23</v>
      </c>
    </row>
    <row r="2657" spans="1:11" ht="42" customHeight="1">
      <c r="A2657" s="4" t="s">
        <v>6871</v>
      </c>
      <c r="B2657" s="5" t="s">
        <v>6871</v>
      </c>
      <c r="C2657" s="5" t="s">
        <v>35</v>
      </c>
      <c r="D2657" s="5" t="s">
        <v>36</v>
      </c>
      <c r="E2657" s="5" t="s">
        <v>1289</v>
      </c>
      <c r="F2657" s="9">
        <v>72</v>
      </c>
      <c r="G2657" s="9">
        <v>882</v>
      </c>
      <c r="H2657" s="5" t="s">
        <v>21</v>
      </c>
      <c r="I2657" s="5" t="s">
        <v>6872</v>
      </c>
      <c r="J2657" s="12" t="str">
        <f>HYPERLINK("https://www.boe.es/gazeta/dias/1802/09/03/pdfs/GMD-1802-72.pdf#page=2","Abrir facsímil")</f>
        <v>Abrir facsímil</v>
      </c>
      <c r="K2657" s="15" t="s">
        <v>23</v>
      </c>
    </row>
    <row r="2658" spans="1:11" ht="42" customHeight="1">
      <c r="A2658" s="4" t="s">
        <v>6873</v>
      </c>
      <c r="B2658" s="5" t="s">
        <v>6874</v>
      </c>
      <c r="C2658" s="5" t="s">
        <v>18</v>
      </c>
      <c r="D2658" s="5" t="s">
        <v>19</v>
      </c>
      <c r="E2658" s="5" t="s">
        <v>167</v>
      </c>
      <c r="F2658" s="9">
        <v>23</v>
      </c>
      <c r="G2658" s="9">
        <v>255</v>
      </c>
      <c r="H2658" s="5" t="s">
        <v>21</v>
      </c>
      <c r="I2658" s="5" t="s">
        <v>6875</v>
      </c>
      <c r="J2658" s="12" t="str">
        <f>HYPERLINK("https://www.boe.es/gazeta/dias/1802/03/19/pdfs/GMD-1802-23.pdf#page=3","Abrir facsímil")</f>
        <v>Abrir facsímil</v>
      </c>
      <c r="K2658" s="15" t="s">
        <v>23</v>
      </c>
    </row>
    <row r="2659" spans="1:11" ht="42" customHeight="1">
      <c r="A2659" s="4" t="s">
        <v>6876</v>
      </c>
      <c r="B2659" s="5" t="s">
        <v>6876</v>
      </c>
      <c r="C2659" s="5" t="s">
        <v>29</v>
      </c>
      <c r="D2659" s="5" t="s">
        <v>30</v>
      </c>
      <c r="E2659" s="5" t="s">
        <v>1407</v>
      </c>
      <c r="F2659" s="9">
        <v>8</v>
      </c>
      <c r="G2659" s="9">
        <v>77</v>
      </c>
      <c r="H2659" s="5" t="s">
        <v>21</v>
      </c>
      <c r="I2659" s="5" t="s">
        <v>6877</v>
      </c>
      <c r="J2659" s="12" t="str">
        <f>HYPERLINK("https://www.boe.es/gazeta/dias/1802/01/26/pdfs/GMD-1802-8.pdf#page=5","Abrir facsímil")</f>
        <v>Abrir facsímil</v>
      </c>
      <c r="K2659" s="15" t="s">
        <v>23</v>
      </c>
    </row>
    <row r="2660" spans="1:11" ht="42" customHeight="1">
      <c r="A2660" s="4" t="s">
        <v>6878</v>
      </c>
      <c r="B2660" s="5" t="s">
        <v>6879</v>
      </c>
      <c r="C2660" s="5" t="s">
        <v>18</v>
      </c>
      <c r="D2660" s="5" t="s">
        <v>19</v>
      </c>
      <c r="E2660" s="5" t="s">
        <v>292</v>
      </c>
      <c r="F2660" s="9">
        <v>62</v>
      </c>
      <c r="G2660" s="9">
        <v>754</v>
      </c>
      <c r="H2660" s="5" t="s">
        <v>21</v>
      </c>
      <c r="I2660" s="5" t="s">
        <v>6880</v>
      </c>
      <c r="J2660" s="12" t="str">
        <f>HYPERLINK("https://www.boe.es/gazeta/dias/1802/07/30/pdfs/GMD-1802-62.pdf#page=10","Abrir facsímil")</f>
        <v>Abrir facsímil</v>
      </c>
      <c r="K2660" s="15" t="s">
        <v>23</v>
      </c>
    </row>
    <row r="2661" spans="1:11" ht="42" customHeight="1">
      <c r="A2661" s="4" t="s">
        <v>6881</v>
      </c>
      <c r="B2661" s="5" t="s">
        <v>6881</v>
      </c>
      <c r="C2661" s="5" t="s">
        <v>160</v>
      </c>
      <c r="D2661" s="5" t="s">
        <v>91</v>
      </c>
      <c r="E2661" s="5" t="s">
        <v>1264</v>
      </c>
      <c r="F2661" s="9">
        <v>105</v>
      </c>
      <c r="G2661" s="9">
        <v>1283</v>
      </c>
      <c r="H2661" s="5" t="s">
        <v>21</v>
      </c>
      <c r="I2661" s="5" t="s">
        <v>6882</v>
      </c>
      <c r="J2661" s="12" t="str">
        <f>HYPERLINK("https://www.boe.es/gazeta/dias/1802/12/28/pdfs/GMD-1802-105.pdf#page=7","Abrir facsímil")</f>
        <v>Abrir facsímil</v>
      </c>
      <c r="K2661" s="15" t="s">
        <v>23</v>
      </c>
    </row>
    <row r="2662" spans="1:11" ht="42" customHeight="1">
      <c r="A2662" s="4" t="s">
        <v>6883</v>
      </c>
      <c r="B2662" s="5" t="s">
        <v>6883</v>
      </c>
      <c r="C2662" s="5" t="s">
        <v>35</v>
      </c>
      <c r="D2662" s="5" t="s">
        <v>36</v>
      </c>
      <c r="E2662" s="5" t="s">
        <v>823</v>
      </c>
      <c r="F2662" s="9">
        <v>94</v>
      </c>
      <c r="G2662" s="9">
        <v>1155</v>
      </c>
      <c r="H2662" s="5" t="s">
        <v>21</v>
      </c>
      <c r="I2662" s="5" t="s">
        <v>6884</v>
      </c>
      <c r="J2662" s="12" t="str">
        <f>HYPERLINK("https://www.boe.es/gazeta/dias/1802/11/19/pdfs/GMD-1802-94.pdf#page=3","Abrir facsímil")</f>
        <v>Abrir facsímil</v>
      </c>
      <c r="K2662" s="15" t="s">
        <v>23</v>
      </c>
    </row>
    <row r="2663" spans="1:11" ht="42" customHeight="1">
      <c r="A2663" s="4" t="s">
        <v>6885</v>
      </c>
      <c r="B2663" s="5" t="s">
        <v>6885</v>
      </c>
      <c r="C2663" s="5" t="s">
        <v>35</v>
      </c>
      <c r="D2663" s="5" t="s">
        <v>36</v>
      </c>
      <c r="E2663" s="5" t="s">
        <v>192</v>
      </c>
      <c r="F2663" s="9">
        <v>53</v>
      </c>
      <c r="G2663" s="9">
        <v>633</v>
      </c>
      <c r="H2663" s="5" t="s">
        <v>21</v>
      </c>
      <c r="I2663" s="5" t="s">
        <v>6886</v>
      </c>
      <c r="J2663" s="12" t="str">
        <f>HYPERLINK("https://www.boe.es/gazeta/dias/1802/07/02/pdfs/GMD-1802-53.pdf#page=1","Abrir facsímil")</f>
        <v>Abrir facsímil</v>
      </c>
      <c r="K2663" s="15" t="s">
        <v>23</v>
      </c>
    </row>
    <row r="2664" spans="1:11" ht="42" customHeight="1">
      <c r="A2664" s="4" t="s">
        <v>6887</v>
      </c>
      <c r="B2664" s="5" t="s">
        <v>6887</v>
      </c>
      <c r="C2664" s="5" t="s">
        <v>35</v>
      </c>
      <c r="D2664" s="5" t="s">
        <v>36</v>
      </c>
      <c r="E2664" s="5" t="s">
        <v>1051</v>
      </c>
      <c r="F2664" s="9">
        <v>43</v>
      </c>
      <c r="G2664" s="9">
        <v>511</v>
      </c>
      <c r="H2664" s="5" t="s">
        <v>21</v>
      </c>
      <c r="I2664" s="5" t="s">
        <v>6888</v>
      </c>
      <c r="J2664" s="12" t="str">
        <f>HYPERLINK("https://www.boe.es/gazeta/dias/1802/05/28/pdfs/GMD-1802-43.pdf#page=3","Abrir facsímil")</f>
        <v>Abrir facsímil</v>
      </c>
      <c r="K2664" s="15" t="s">
        <v>23</v>
      </c>
    </row>
    <row r="2665" spans="1:11" ht="42" customHeight="1">
      <c r="A2665" s="4" t="s">
        <v>6889</v>
      </c>
      <c r="B2665" s="5" t="s">
        <v>6889</v>
      </c>
      <c r="C2665" s="5" t="s">
        <v>35</v>
      </c>
      <c r="D2665" s="5" t="s">
        <v>36</v>
      </c>
      <c r="E2665" s="5" t="s">
        <v>745</v>
      </c>
      <c r="F2665" s="9">
        <v>92</v>
      </c>
      <c r="G2665" s="9">
        <v>1134</v>
      </c>
      <c r="H2665" s="5" t="s">
        <v>21</v>
      </c>
      <c r="I2665" s="5" t="s">
        <v>6890</v>
      </c>
      <c r="J2665" s="12" t="str">
        <f>HYPERLINK("https://www.boe.es/gazeta/dias/1802/11/12/pdfs/GMD-1802-92.pdf#page=2","Abrir facsímil")</f>
        <v>Abrir facsímil</v>
      </c>
      <c r="K2665" s="15" t="s">
        <v>23</v>
      </c>
    </row>
    <row r="2666" spans="1:11" ht="42" customHeight="1">
      <c r="A2666" s="4" t="s">
        <v>6891</v>
      </c>
      <c r="B2666" s="5" t="s">
        <v>6891</v>
      </c>
      <c r="C2666" s="5" t="s">
        <v>35</v>
      </c>
      <c r="D2666" s="5" t="s">
        <v>36</v>
      </c>
      <c r="E2666" s="5" t="s">
        <v>114</v>
      </c>
      <c r="F2666" s="9">
        <v>82</v>
      </c>
      <c r="G2666" s="9">
        <v>1001</v>
      </c>
      <c r="H2666" s="5" t="s">
        <v>21</v>
      </c>
      <c r="I2666" s="5" t="s">
        <v>6892</v>
      </c>
      <c r="J2666" s="12" t="str">
        <f>HYPERLINK("https://www.boe.es/gazeta/dias/1802/10/08/pdfs/GMD-1802-82.pdf#page=1","Abrir facsímil")</f>
        <v>Abrir facsímil</v>
      </c>
      <c r="K2666" s="15" t="s">
        <v>23</v>
      </c>
    </row>
    <row r="2667" spans="1:11" ht="42" customHeight="1">
      <c r="A2667" s="4" t="s">
        <v>6893</v>
      </c>
      <c r="B2667" s="5" t="s">
        <v>6893</v>
      </c>
      <c r="C2667" s="5" t="s">
        <v>29</v>
      </c>
      <c r="D2667" s="5" t="s">
        <v>30</v>
      </c>
      <c r="E2667" s="5" t="s">
        <v>714</v>
      </c>
      <c r="F2667" s="9">
        <v>89</v>
      </c>
      <c r="G2667" s="9">
        <v>1104</v>
      </c>
      <c r="H2667" s="5" t="s">
        <v>21</v>
      </c>
      <c r="I2667" s="5" t="s">
        <v>6894</v>
      </c>
      <c r="J2667" s="12" t="str">
        <f>HYPERLINK("https://www.boe.es/gazeta/dias/1802/11/02/pdfs/GMD-1802-89.pdf#page=8","Abrir facsímil")</f>
        <v>Abrir facsímil</v>
      </c>
      <c r="K2667" s="15" t="s">
        <v>23</v>
      </c>
    </row>
    <row r="2668" spans="1:11" ht="42" customHeight="1">
      <c r="A2668" s="4" t="s">
        <v>6895</v>
      </c>
      <c r="B2668" s="5" t="s">
        <v>6895</v>
      </c>
      <c r="C2668" s="5" t="s">
        <v>18</v>
      </c>
      <c r="D2668" s="5" t="s">
        <v>19</v>
      </c>
      <c r="E2668" s="5" t="s">
        <v>25</v>
      </c>
      <c r="F2668" s="9">
        <v>44</v>
      </c>
      <c r="G2668" s="9">
        <v>532</v>
      </c>
      <c r="H2668" s="5" t="s">
        <v>21</v>
      </c>
      <c r="I2668" s="5" t="s">
        <v>6896</v>
      </c>
      <c r="J2668" s="12" t="str">
        <f>HYPERLINK("https://www.boe.es/gazeta/dias/1802/06/01/pdfs/GMD-1802-44.pdf#page=8","Abrir facsímil")</f>
        <v>Abrir facsímil</v>
      </c>
      <c r="K2668" s="15" t="s">
        <v>23</v>
      </c>
    </row>
    <row r="2669" spans="1:11" ht="42" customHeight="1">
      <c r="A2669" s="4" t="s">
        <v>6897</v>
      </c>
      <c r="B2669" s="5" t="s">
        <v>6897</v>
      </c>
      <c r="C2669" s="5" t="s">
        <v>35</v>
      </c>
      <c r="D2669" s="5" t="s">
        <v>36</v>
      </c>
      <c r="E2669" s="5" t="s">
        <v>102</v>
      </c>
      <c r="F2669" s="9">
        <v>73</v>
      </c>
      <c r="G2669" s="9">
        <v>893</v>
      </c>
      <c r="H2669" s="5" t="s">
        <v>21</v>
      </c>
      <c r="I2669" s="5" t="s">
        <v>6898</v>
      </c>
      <c r="J2669" s="12" t="str">
        <f>HYPERLINK("https://www.boe.es/gazeta/dias/1802/09/07/pdfs/GMD-1802-73.pdf#page=1","Abrir facsímil")</f>
        <v>Abrir facsímil</v>
      </c>
      <c r="K2669" s="15" t="s">
        <v>23</v>
      </c>
    </row>
    <row r="2670" spans="1:11" ht="42" customHeight="1">
      <c r="A2670" s="4" t="s">
        <v>6899</v>
      </c>
      <c r="B2670" s="5" t="s">
        <v>6899</v>
      </c>
      <c r="C2670" s="5" t="s">
        <v>35</v>
      </c>
      <c r="D2670" s="5" t="s">
        <v>36</v>
      </c>
      <c r="E2670" s="5" t="s">
        <v>31</v>
      </c>
      <c r="F2670" s="9">
        <v>27</v>
      </c>
      <c r="G2670" s="9">
        <v>311</v>
      </c>
      <c r="H2670" s="5" t="s">
        <v>21</v>
      </c>
      <c r="I2670" s="5" t="s">
        <v>6900</v>
      </c>
      <c r="J2670" s="12" t="str">
        <f>HYPERLINK("https://www.boe.es/gazeta/dias/1802/04/02/pdfs/GMD-1802-27.pdf#page=7","Abrir facsímil")</f>
        <v>Abrir facsímil</v>
      </c>
      <c r="K2670" s="15" t="s">
        <v>23</v>
      </c>
    </row>
    <row r="2671" spans="1:11" ht="42" customHeight="1">
      <c r="A2671" s="4" t="s">
        <v>6901</v>
      </c>
      <c r="B2671" s="5" t="s">
        <v>6901</v>
      </c>
      <c r="C2671" s="5" t="s">
        <v>35</v>
      </c>
      <c r="D2671" s="5" t="s">
        <v>36</v>
      </c>
      <c r="E2671" s="5" t="s">
        <v>109</v>
      </c>
      <c r="F2671" s="9">
        <v>10</v>
      </c>
      <c r="G2671" s="9">
        <v>94</v>
      </c>
      <c r="H2671" s="5" t="s">
        <v>21</v>
      </c>
      <c r="I2671" s="5" t="s">
        <v>6902</v>
      </c>
      <c r="J2671" s="12" t="str">
        <f>HYPERLINK("https://www.boe.es/gazeta/dias/1802/02/02/pdfs/GMD-1802-10.pdf#page=2","Abrir facsímil")</f>
        <v>Abrir facsímil</v>
      </c>
      <c r="K2671" s="15" t="s">
        <v>23</v>
      </c>
    </row>
    <row r="2672" spans="1:11" ht="42" customHeight="1">
      <c r="A2672" s="4" t="s">
        <v>6903</v>
      </c>
      <c r="B2672" s="5" t="s">
        <v>6903</v>
      </c>
      <c r="C2672" s="5" t="s">
        <v>18</v>
      </c>
      <c r="D2672" s="5" t="s">
        <v>19</v>
      </c>
      <c r="E2672" s="5" t="s">
        <v>635</v>
      </c>
      <c r="F2672" s="9">
        <v>47</v>
      </c>
      <c r="G2672" s="9">
        <v>566</v>
      </c>
      <c r="H2672" s="5" t="s">
        <v>21</v>
      </c>
      <c r="I2672" s="5" t="s">
        <v>6904</v>
      </c>
      <c r="J2672" s="12" t="str">
        <f>HYPERLINK("https://www.boe.es/gazeta/dias/1802/06/11/pdfs/GMD-1802-47.pdf#page=2","Abrir facsímil")</f>
        <v>Abrir facsímil</v>
      </c>
      <c r="K2672" s="15" t="s">
        <v>23</v>
      </c>
    </row>
    <row r="2673" spans="1:11" ht="42" customHeight="1">
      <c r="A2673" s="4" t="s">
        <v>6905</v>
      </c>
      <c r="B2673" s="5" t="s">
        <v>6905</v>
      </c>
      <c r="C2673" s="5" t="s">
        <v>35</v>
      </c>
      <c r="D2673" s="5" t="s">
        <v>36</v>
      </c>
      <c r="E2673" s="5" t="s">
        <v>109</v>
      </c>
      <c r="F2673" s="9">
        <v>10</v>
      </c>
      <c r="G2673" s="9">
        <v>95</v>
      </c>
      <c r="H2673" s="5" t="s">
        <v>21</v>
      </c>
      <c r="I2673" s="5" t="s">
        <v>6906</v>
      </c>
      <c r="J2673" s="12" t="str">
        <f>HYPERLINK("https://www.boe.es/gazeta/dias/1802/02/02/pdfs/GMD-1802-10.pdf#page=3","Abrir facsímil")</f>
        <v>Abrir facsímil</v>
      </c>
      <c r="K2673" s="15" t="s">
        <v>23</v>
      </c>
    </row>
    <row r="2674" spans="1:11" ht="42" customHeight="1">
      <c r="A2674" s="4" t="s">
        <v>6907</v>
      </c>
      <c r="B2674" s="5" t="s">
        <v>6907</v>
      </c>
      <c r="C2674" s="5" t="s">
        <v>35</v>
      </c>
      <c r="D2674" s="5" t="s">
        <v>36</v>
      </c>
      <c r="E2674" s="5" t="s">
        <v>1588</v>
      </c>
      <c r="F2674" s="9">
        <v>18</v>
      </c>
      <c r="G2674" s="9">
        <v>189</v>
      </c>
      <c r="H2674" s="5" t="s">
        <v>21</v>
      </c>
      <c r="I2674" s="5" t="s">
        <v>6908</v>
      </c>
      <c r="J2674" s="12" t="str">
        <f>HYPERLINK("https://www.boe.es/gazeta/dias/1802/03/02/pdfs/GMD-1802-18.pdf#page=1","Abrir facsímil")</f>
        <v>Abrir facsímil</v>
      </c>
      <c r="K2674" s="15" t="s">
        <v>23</v>
      </c>
    </row>
    <row r="2675" spans="1:11" ht="42" customHeight="1">
      <c r="A2675" s="4" t="s">
        <v>6909</v>
      </c>
      <c r="B2675" s="5" t="s">
        <v>6909</v>
      </c>
      <c r="C2675" s="5" t="s">
        <v>29</v>
      </c>
      <c r="D2675" s="5" t="s">
        <v>30</v>
      </c>
      <c r="E2675" s="5" t="s">
        <v>1332</v>
      </c>
      <c r="F2675" s="9">
        <v>4</v>
      </c>
      <c r="G2675" s="9">
        <v>29</v>
      </c>
      <c r="H2675" s="5" t="s">
        <v>21</v>
      </c>
      <c r="I2675" s="5" t="s">
        <v>6910</v>
      </c>
      <c r="J2675" s="12" t="str">
        <f>HYPERLINK("https://www.boe.es/gazeta/dias/1802/01/12/pdfs/GMD-1802-4.pdf#page=1","Abrir facsímil")</f>
        <v>Abrir facsímil</v>
      </c>
      <c r="K2675" s="15" t="s">
        <v>23</v>
      </c>
    </row>
    <row r="2676" spans="1:11" ht="42" customHeight="1">
      <c r="A2676" s="4" t="s">
        <v>6911</v>
      </c>
      <c r="B2676" s="5" t="s">
        <v>6912</v>
      </c>
      <c r="C2676" s="5" t="s">
        <v>160</v>
      </c>
      <c r="D2676" s="5" t="s">
        <v>91</v>
      </c>
      <c r="E2676" s="5" t="s">
        <v>1113</v>
      </c>
      <c r="F2676" s="9">
        <v>6</v>
      </c>
      <c r="G2676" s="9">
        <v>57</v>
      </c>
      <c r="H2676" s="5" t="s">
        <v>21</v>
      </c>
      <c r="I2676" s="5" t="s">
        <v>6913</v>
      </c>
      <c r="J2676" s="12" t="str">
        <f>HYPERLINK("https://www.boe.es/gazeta/dias/1802/01/19/pdfs/GMD-1802-6.pdf#page=5","Abrir facsímil")</f>
        <v>Abrir facsímil</v>
      </c>
      <c r="K2676" s="15" t="s">
        <v>23</v>
      </c>
    </row>
    <row r="2677" spans="1:11" ht="42" customHeight="1">
      <c r="A2677" s="4" t="s">
        <v>6914</v>
      </c>
      <c r="B2677" s="5" t="s">
        <v>6915</v>
      </c>
      <c r="C2677" s="5" t="s">
        <v>18</v>
      </c>
      <c r="D2677" s="5" t="s">
        <v>19</v>
      </c>
      <c r="E2677" s="5" t="s">
        <v>1332</v>
      </c>
      <c r="F2677" s="9">
        <v>4</v>
      </c>
      <c r="G2677" s="9">
        <v>32</v>
      </c>
      <c r="H2677" s="5" t="s">
        <v>21</v>
      </c>
      <c r="I2677" s="5" t="s">
        <v>6916</v>
      </c>
      <c r="J2677" s="12" t="str">
        <f>HYPERLINK("https://www.boe.es/gazeta/dias/1802/01/12/pdfs/GMD-1802-4.pdf#page=4","Abrir facsímil")</f>
        <v>Abrir facsímil</v>
      </c>
      <c r="K2677" s="15" t="s">
        <v>23</v>
      </c>
    </row>
    <row r="2678" spans="1:11" ht="42" customHeight="1">
      <c r="A2678" s="4" t="s">
        <v>6914</v>
      </c>
      <c r="B2678" s="5" t="s">
        <v>6915</v>
      </c>
      <c r="C2678" s="5" t="s">
        <v>90</v>
      </c>
      <c r="D2678" s="5" t="s">
        <v>91</v>
      </c>
      <c r="E2678" s="5" t="s">
        <v>439</v>
      </c>
      <c r="F2678" s="9">
        <v>76</v>
      </c>
      <c r="G2678" s="9">
        <v>932</v>
      </c>
      <c r="H2678" s="5" t="s">
        <v>21</v>
      </c>
      <c r="I2678" s="5" t="s">
        <v>6917</v>
      </c>
      <c r="J2678" s="12" t="str">
        <f>HYPERLINK("https://www.boe.es/gazeta/dias/1802/09/17/pdfs/GMD-1802-76.pdf#page=4","Abrir facsímil")</f>
        <v>Abrir facsímil</v>
      </c>
      <c r="K2678" s="15" t="s">
        <v>23</v>
      </c>
    </row>
    <row r="2679" spans="1:11" ht="42" customHeight="1">
      <c r="A2679" s="4" t="s">
        <v>6918</v>
      </c>
      <c r="B2679" s="5" t="s">
        <v>6919</v>
      </c>
      <c r="C2679" s="5" t="s">
        <v>29</v>
      </c>
      <c r="D2679" s="5" t="s">
        <v>30</v>
      </c>
      <c r="E2679" s="5" t="s">
        <v>170</v>
      </c>
      <c r="F2679" s="9">
        <v>28</v>
      </c>
      <c r="G2679" s="9">
        <v>326</v>
      </c>
      <c r="H2679" s="5" t="s">
        <v>21</v>
      </c>
      <c r="I2679" s="5" t="s">
        <v>6920</v>
      </c>
      <c r="J2679" s="12" t="str">
        <f>HYPERLINK("https://www.boe.es/gazeta/dias/1802/04/06/pdfs/GMD-1802-28.pdf#page=6","Abrir facsímil")</f>
        <v>Abrir facsímil</v>
      </c>
      <c r="K2679" s="15" t="s">
        <v>23</v>
      </c>
    </row>
    <row r="2680" spans="1:11" ht="42" customHeight="1">
      <c r="A2680" s="4" t="s">
        <v>6921</v>
      </c>
      <c r="B2680" s="5" t="s">
        <v>6922</v>
      </c>
      <c r="C2680" s="5" t="s">
        <v>35</v>
      </c>
      <c r="D2680" s="5" t="s">
        <v>36</v>
      </c>
      <c r="E2680" s="5" t="s">
        <v>128</v>
      </c>
      <c r="F2680" s="9">
        <v>9</v>
      </c>
      <c r="G2680" s="9">
        <v>81</v>
      </c>
      <c r="H2680" s="5" t="s">
        <v>21</v>
      </c>
      <c r="I2680" s="5" t="s">
        <v>6923</v>
      </c>
      <c r="J2680" s="12" t="str">
        <f>HYPERLINK("https://www.boe.es/gazeta/dias/1802/01/29/pdfs/GMD-1802-9.pdf#page=1","Abrir facsímil")</f>
        <v>Abrir facsímil</v>
      </c>
      <c r="K2680" s="15" t="s">
        <v>23</v>
      </c>
    </row>
    <row r="2681" spans="1:11" ht="42" customHeight="1">
      <c r="A2681" s="4" t="s">
        <v>6924</v>
      </c>
      <c r="B2681" s="5" t="s">
        <v>6925</v>
      </c>
      <c r="C2681" s="5" t="s">
        <v>35</v>
      </c>
      <c r="D2681" s="5" t="s">
        <v>36</v>
      </c>
      <c r="E2681" s="5" t="s">
        <v>1588</v>
      </c>
      <c r="F2681" s="9">
        <v>18</v>
      </c>
      <c r="G2681" s="9">
        <v>189</v>
      </c>
      <c r="H2681" s="5" t="s">
        <v>21</v>
      </c>
      <c r="I2681" s="5" t="s">
        <v>6926</v>
      </c>
      <c r="J2681" s="12" t="str">
        <f>HYPERLINK("https://www.boe.es/gazeta/dias/1802/03/02/pdfs/GMD-1802-18.pdf#page=1","Abrir facsímil")</f>
        <v>Abrir facsímil</v>
      </c>
      <c r="K2681" s="15" t="s">
        <v>23</v>
      </c>
    </row>
    <row r="2682" spans="1:11" ht="42" customHeight="1">
      <c r="A2682" s="4" t="s">
        <v>6927</v>
      </c>
      <c r="B2682" s="5" t="s">
        <v>6927</v>
      </c>
      <c r="C2682" s="5" t="s">
        <v>35</v>
      </c>
      <c r="D2682" s="5" t="s">
        <v>36</v>
      </c>
      <c r="E2682" s="5" t="s">
        <v>1588</v>
      </c>
      <c r="F2682" s="9">
        <v>18</v>
      </c>
      <c r="G2682" s="9">
        <v>189</v>
      </c>
      <c r="H2682" s="5" t="s">
        <v>21</v>
      </c>
      <c r="I2682" s="5" t="s">
        <v>6928</v>
      </c>
      <c r="J2682" s="12" t="str">
        <f>HYPERLINK("https://www.boe.es/gazeta/dias/1802/03/02/pdfs/GMD-1802-18.pdf#page=1","Abrir facsímil")</f>
        <v>Abrir facsímil</v>
      </c>
      <c r="K2682" s="15" t="s">
        <v>23</v>
      </c>
    </row>
    <row r="2683" spans="1:11" ht="42" customHeight="1">
      <c r="A2683" s="4" t="s">
        <v>6929</v>
      </c>
      <c r="B2683" s="5" t="s">
        <v>6930</v>
      </c>
      <c r="C2683" s="5" t="s">
        <v>29</v>
      </c>
      <c r="D2683" s="5" t="s">
        <v>30</v>
      </c>
      <c r="E2683" s="5" t="s">
        <v>381</v>
      </c>
      <c r="F2683" s="9">
        <v>13</v>
      </c>
      <c r="G2683" s="9">
        <v>125</v>
      </c>
      <c r="H2683" s="5" t="s">
        <v>21</v>
      </c>
      <c r="I2683" s="5" t="s">
        <v>6931</v>
      </c>
      <c r="J2683" s="12" t="str">
        <f>HYPERLINK("https://www.boe.es/gazeta/dias/1802/02/12/pdfs/GMD-1802-13.pdf#page=1","Abrir facsímil")</f>
        <v>Abrir facsímil</v>
      </c>
      <c r="K2683" s="15" t="s">
        <v>23</v>
      </c>
    </row>
    <row r="2684" spans="1:11" ht="42" customHeight="1">
      <c r="A2684" s="4" t="s">
        <v>6929</v>
      </c>
      <c r="B2684" s="5" t="s">
        <v>6930</v>
      </c>
      <c r="C2684" s="5" t="s">
        <v>35</v>
      </c>
      <c r="D2684" s="5" t="s">
        <v>36</v>
      </c>
      <c r="E2684" s="5" t="s">
        <v>900</v>
      </c>
      <c r="F2684" s="9">
        <v>16</v>
      </c>
      <c r="G2684" s="9">
        <v>161</v>
      </c>
      <c r="H2684" s="5" t="s">
        <v>21</v>
      </c>
      <c r="I2684" s="5" t="s">
        <v>6932</v>
      </c>
      <c r="J2684" s="12" t="str">
        <f>HYPERLINK("https://www.boe.es/gazeta/dias/1802/02/23/pdfs/GMD-1802-16.pdf#page=1","Abrir facsímil")</f>
        <v>Abrir facsímil</v>
      </c>
      <c r="K2684" s="15" t="s">
        <v>23</v>
      </c>
    </row>
    <row r="2685" spans="1:11" ht="42" customHeight="1">
      <c r="A2685" s="4" t="s">
        <v>6929</v>
      </c>
      <c r="B2685" s="5" t="s">
        <v>6930</v>
      </c>
      <c r="C2685" s="5" t="s">
        <v>35</v>
      </c>
      <c r="D2685" s="5" t="s">
        <v>36</v>
      </c>
      <c r="E2685" s="5" t="s">
        <v>1381</v>
      </c>
      <c r="F2685" s="9">
        <v>17</v>
      </c>
      <c r="G2685" s="9">
        <v>179</v>
      </c>
      <c r="H2685" s="5" t="s">
        <v>21</v>
      </c>
      <c r="I2685" s="5" t="s">
        <v>6933</v>
      </c>
      <c r="J2685" s="12" t="str">
        <f>HYPERLINK("https://www.boe.es/gazeta/dias/1802/02/26/pdfs/GMD-1802-17.pdf#page=3","Abrir facsímil")</f>
        <v>Abrir facsímil</v>
      </c>
      <c r="K2685" s="15" t="s">
        <v>23</v>
      </c>
    </row>
    <row r="2686" spans="1:11" ht="42" customHeight="1">
      <c r="A2686" s="4" t="s">
        <v>6929</v>
      </c>
      <c r="B2686" s="5" t="s">
        <v>6930</v>
      </c>
      <c r="C2686" s="5" t="s">
        <v>160</v>
      </c>
      <c r="D2686" s="5" t="s">
        <v>91</v>
      </c>
      <c r="E2686" s="5" t="s">
        <v>1097</v>
      </c>
      <c r="F2686" s="9">
        <v>20</v>
      </c>
      <c r="G2686" s="9">
        <v>216</v>
      </c>
      <c r="H2686" s="5" t="s">
        <v>21</v>
      </c>
      <c r="I2686" s="5" t="s">
        <v>6934</v>
      </c>
      <c r="J2686" s="12" t="str">
        <f>HYPERLINK("https://www.boe.es/gazeta/dias/1802/03/09/pdfs/GMD-1802-20.pdf#page=4","Abrir facsímil")</f>
        <v>Abrir facsímil</v>
      </c>
      <c r="K2686" s="15" t="s">
        <v>23</v>
      </c>
    </row>
    <row r="2687" spans="1:11" ht="42" customHeight="1">
      <c r="A2687" s="4" t="s">
        <v>6929</v>
      </c>
      <c r="B2687" s="5" t="s">
        <v>6930</v>
      </c>
      <c r="C2687" s="5" t="s">
        <v>35</v>
      </c>
      <c r="D2687" s="5" t="s">
        <v>36</v>
      </c>
      <c r="E2687" s="5" t="s">
        <v>71</v>
      </c>
      <c r="F2687" s="9">
        <v>21</v>
      </c>
      <c r="G2687" s="9">
        <v>225</v>
      </c>
      <c r="H2687" s="5" t="s">
        <v>21</v>
      </c>
      <c r="I2687" s="5" t="s">
        <v>6935</v>
      </c>
      <c r="J2687" s="12" t="str">
        <f>HYPERLINK("https://www.boe.es/gazeta/dias/1802/03/12/pdfs/GMD-1802-21.pdf#page=1","Abrir facsímil")</f>
        <v>Abrir facsímil</v>
      </c>
      <c r="K2687" s="15" t="s">
        <v>23</v>
      </c>
    </row>
    <row r="2688" spans="1:11" ht="42" customHeight="1">
      <c r="A2688" s="4" t="s">
        <v>6929</v>
      </c>
      <c r="B2688" s="5" t="s">
        <v>6930</v>
      </c>
      <c r="C2688" s="5" t="s">
        <v>18</v>
      </c>
      <c r="D2688" s="5" t="s">
        <v>19</v>
      </c>
      <c r="E2688" s="5" t="s">
        <v>152</v>
      </c>
      <c r="F2688" s="9">
        <v>25</v>
      </c>
      <c r="G2688" s="9">
        <v>277</v>
      </c>
      <c r="H2688" s="5" t="s">
        <v>21</v>
      </c>
      <c r="I2688" s="5" t="s">
        <v>6936</v>
      </c>
      <c r="J2688" s="12" t="str">
        <f>HYPERLINK("https://www.boe.es/gazeta/dias/1802/03/26/pdfs/GMD-1802-25.pdf#page=1","Abrir facsímil")</f>
        <v>Abrir facsímil</v>
      </c>
      <c r="K2688" s="15" t="s">
        <v>23</v>
      </c>
    </row>
    <row r="2689" spans="1:11" ht="42" customHeight="1">
      <c r="A2689" s="4" t="s">
        <v>6929</v>
      </c>
      <c r="B2689" s="5" t="s">
        <v>6930</v>
      </c>
      <c r="C2689" s="5" t="s">
        <v>90</v>
      </c>
      <c r="D2689" s="5" t="s">
        <v>91</v>
      </c>
      <c r="E2689" s="5" t="s">
        <v>31</v>
      </c>
      <c r="F2689" s="9">
        <v>27</v>
      </c>
      <c r="G2689" s="9">
        <v>307</v>
      </c>
      <c r="H2689" s="5" t="s">
        <v>21</v>
      </c>
      <c r="I2689" s="5" t="s">
        <v>6937</v>
      </c>
      <c r="J2689" s="12" t="str">
        <f>HYPERLINK("https://www.boe.es/gazeta/dias/1802/04/02/pdfs/GMD-1802-27.pdf#page=3","Abrir facsímil")</f>
        <v>Abrir facsímil</v>
      </c>
      <c r="K2689" s="15" t="s">
        <v>23</v>
      </c>
    </row>
    <row r="2690" spans="1:11" ht="42" customHeight="1">
      <c r="A2690" s="4" t="s">
        <v>6929</v>
      </c>
      <c r="B2690" s="5" t="s">
        <v>6930</v>
      </c>
      <c r="C2690" s="5" t="s">
        <v>29</v>
      </c>
      <c r="D2690" s="5" t="s">
        <v>30</v>
      </c>
      <c r="E2690" s="5" t="s">
        <v>170</v>
      </c>
      <c r="F2690" s="9">
        <v>28</v>
      </c>
      <c r="G2690" s="9">
        <v>321</v>
      </c>
      <c r="H2690" s="5" t="s">
        <v>21</v>
      </c>
      <c r="I2690" s="5" t="s">
        <v>6938</v>
      </c>
      <c r="J2690" s="12" t="str">
        <f>HYPERLINK("https://www.boe.es/gazeta/dias/1802/04/06/pdfs/GMD-1802-28.pdf#page=1","Abrir facsímil")</f>
        <v>Abrir facsímil</v>
      </c>
      <c r="K2690" s="15" t="s">
        <v>23</v>
      </c>
    </row>
    <row r="2691" spans="1:11" ht="42" customHeight="1">
      <c r="A2691" s="4" t="s">
        <v>6929</v>
      </c>
      <c r="B2691" s="5" t="s">
        <v>6930</v>
      </c>
      <c r="C2691" s="5" t="s">
        <v>35</v>
      </c>
      <c r="D2691" s="5" t="s">
        <v>36</v>
      </c>
      <c r="E2691" s="5" t="s">
        <v>172</v>
      </c>
      <c r="F2691" s="9">
        <v>35</v>
      </c>
      <c r="G2691" s="9">
        <v>401</v>
      </c>
      <c r="H2691" s="5" t="s">
        <v>21</v>
      </c>
      <c r="I2691" s="5" t="s">
        <v>6939</v>
      </c>
      <c r="J2691" s="12" t="str">
        <f>HYPERLINK("https://www.boe.es/gazeta/dias/1802/04/30/pdfs/GMD-1802-35.pdf#page=1","Abrir facsímil")</f>
        <v>Abrir facsímil</v>
      </c>
      <c r="K2691" s="15" t="s">
        <v>23</v>
      </c>
    </row>
    <row r="2692" spans="1:11" ht="42" customHeight="1">
      <c r="A2692" s="4" t="s">
        <v>6929</v>
      </c>
      <c r="B2692" s="5" t="s">
        <v>6930</v>
      </c>
      <c r="C2692" s="5" t="s">
        <v>35</v>
      </c>
      <c r="D2692" s="5" t="s">
        <v>36</v>
      </c>
      <c r="E2692" s="5" t="s">
        <v>1051</v>
      </c>
      <c r="F2692" s="9">
        <v>43</v>
      </c>
      <c r="G2692" s="9">
        <v>509</v>
      </c>
      <c r="H2692" s="5" t="s">
        <v>21</v>
      </c>
      <c r="I2692" s="5" t="s">
        <v>6940</v>
      </c>
      <c r="J2692" s="12" t="str">
        <f>HYPERLINK("https://www.boe.es/gazeta/dias/1802/05/28/pdfs/GMD-1802-43.pdf#page=1","Abrir facsímil")</f>
        <v>Abrir facsímil</v>
      </c>
      <c r="K2692" s="15" t="s">
        <v>23</v>
      </c>
    </row>
    <row r="2693" spans="1:11" ht="42" customHeight="1">
      <c r="A2693" s="4" t="s">
        <v>6929</v>
      </c>
      <c r="B2693" s="5" t="s">
        <v>6930</v>
      </c>
      <c r="C2693" s="5" t="s">
        <v>35</v>
      </c>
      <c r="D2693" s="5" t="s">
        <v>36</v>
      </c>
      <c r="E2693" s="5" t="s">
        <v>328</v>
      </c>
      <c r="F2693" s="9">
        <v>45</v>
      </c>
      <c r="G2693" s="9">
        <v>537</v>
      </c>
      <c r="H2693" s="5" t="s">
        <v>21</v>
      </c>
      <c r="I2693" s="5" t="s">
        <v>6941</v>
      </c>
      <c r="J2693" s="12" t="str">
        <f>HYPERLINK("https://www.boe.es/gazeta/dias/1802/06/04/pdfs/GMD-1802-45.pdf#page=1","Abrir facsímil")</f>
        <v>Abrir facsímil</v>
      </c>
      <c r="K2693" s="15" t="s">
        <v>23</v>
      </c>
    </row>
    <row r="2694" spans="1:11" ht="42" customHeight="1">
      <c r="A2694" s="4" t="s">
        <v>6929</v>
      </c>
      <c r="B2694" s="5" t="s">
        <v>6930</v>
      </c>
      <c r="C2694" s="5" t="s">
        <v>55</v>
      </c>
      <c r="D2694" s="5" t="s">
        <v>56</v>
      </c>
      <c r="E2694" s="5" t="s">
        <v>642</v>
      </c>
      <c r="F2694" s="9">
        <v>51</v>
      </c>
      <c r="G2694" s="9">
        <v>615</v>
      </c>
      <c r="H2694" s="5" t="s">
        <v>21</v>
      </c>
      <c r="I2694" s="5" t="s">
        <v>6942</v>
      </c>
      <c r="J2694" s="12" t="str">
        <f>HYPERLINK("https://www.boe.es/gazeta/dias/1802/06/25/pdfs/GMD-1802-51.pdf#page=3","Abrir facsímil")</f>
        <v>Abrir facsímil</v>
      </c>
      <c r="K2694" s="15" t="s">
        <v>23</v>
      </c>
    </row>
    <row r="2695" spans="1:11" ht="42" customHeight="1">
      <c r="A2695" s="4" t="s">
        <v>6929</v>
      </c>
      <c r="B2695" s="5" t="s">
        <v>6930</v>
      </c>
      <c r="C2695" s="5" t="s">
        <v>90</v>
      </c>
      <c r="D2695" s="5" t="s">
        <v>91</v>
      </c>
      <c r="E2695" s="5" t="s">
        <v>57</v>
      </c>
      <c r="F2695" s="9">
        <v>54</v>
      </c>
      <c r="G2695" s="9">
        <v>645</v>
      </c>
      <c r="H2695" s="5" t="s">
        <v>21</v>
      </c>
      <c r="I2695" s="5" t="s">
        <v>6943</v>
      </c>
      <c r="J2695" s="12" t="str">
        <f>HYPERLINK("https://www.boe.es/gazeta/dias/1802/07/06/pdfs/GMD-1802-54.pdf#page=1","Abrir facsímil")</f>
        <v>Abrir facsímil</v>
      </c>
      <c r="K2695" s="15" t="s">
        <v>23</v>
      </c>
    </row>
    <row r="2696" spans="1:11" ht="42" customHeight="1">
      <c r="A2696" s="4" t="s">
        <v>6929</v>
      </c>
      <c r="B2696" s="5" t="s">
        <v>6930</v>
      </c>
      <c r="C2696" s="5" t="s">
        <v>29</v>
      </c>
      <c r="D2696" s="5" t="s">
        <v>30</v>
      </c>
      <c r="E2696" s="5" t="s">
        <v>757</v>
      </c>
      <c r="F2696" s="9">
        <v>104</v>
      </c>
      <c r="G2696" s="9">
        <v>1265</v>
      </c>
      <c r="H2696" s="5" t="s">
        <v>21</v>
      </c>
      <c r="I2696" s="5" t="s">
        <v>6944</v>
      </c>
      <c r="J2696" s="12" t="str">
        <f>HYPERLINK("https://www.boe.es/gazeta/dias/1802/12/24/pdfs/GMD-1802-104.pdf#page=1","Abrir facsímil")</f>
        <v>Abrir facsímil</v>
      </c>
      <c r="K2696" s="15" t="s">
        <v>23</v>
      </c>
    </row>
    <row r="2697" spans="1:11" ht="42" customHeight="1">
      <c r="A2697" s="4" t="s">
        <v>6929</v>
      </c>
      <c r="B2697" s="5" t="s">
        <v>6930</v>
      </c>
      <c r="C2697" s="5" t="s">
        <v>29</v>
      </c>
      <c r="D2697" s="5" t="s">
        <v>30</v>
      </c>
      <c r="E2697" s="5" t="s">
        <v>37</v>
      </c>
      <c r="F2697" s="9">
        <v>106</v>
      </c>
      <c r="G2697" s="9">
        <v>1289</v>
      </c>
      <c r="H2697" s="5" t="s">
        <v>21</v>
      </c>
      <c r="I2697" s="5" t="s">
        <v>6945</v>
      </c>
      <c r="J2697" s="12" t="str">
        <f>HYPERLINK("https://www.boe.es/gazeta/dias/1802/12/31/pdfs/GMD-1802-106.pdf#page=1","Abrir facsímil")</f>
        <v>Abrir facsímil</v>
      </c>
      <c r="K2697" s="15" t="s">
        <v>23</v>
      </c>
    </row>
    <row r="2698" spans="1:11" ht="42" customHeight="1">
      <c r="A2698" s="4" t="s">
        <v>6946</v>
      </c>
      <c r="B2698" s="5" t="s">
        <v>6947</v>
      </c>
      <c r="C2698" s="5" t="s">
        <v>35</v>
      </c>
      <c r="D2698" s="5" t="s">
        <v>36</v>
      </c>
      <c r="E2698" s="5" t="s">
        <v>381</v>
      </c>
      <c r="F2698" s="9">
        <v>13</v>
      </c>
      <c r="G2698" s="9">
        <v>125</v>
      </c>
      <c r="H2698" s="5" t="s">
        <v>21</v>
      </c>
      <c r="I2698" s="5" t="s">
        <v>6948</v>
      </c>
      <c r="J2698" s="12" t="str">
        <f>HYPERLINK("https://www.boe.es/gazeta/dias/1802/02/12/pdfs/GMD-1802-13.pdf#page=1","Abrir facsímil")</f>
        <v>Abrir facsímil</v>
      </c>
      <c r="K2698" s="15" t="s">
        <v>23</v>
      </c>
    </row>
    <row r="2699" spans="1:11" ht="42" customHeight="1">
      <c r="A2699" s="4" t="s">
        <v>6949</v>
      </c>
      <c r="B2699" s="5" t="s">
        <v>6950</v>
      </c>
      <c r="C2699" s="5" t="s">
        <v>18</v>
      </c>
      <c r="D2699" s="5" t="s">
        <v>19</v>
      </c>
      <c r="E2699" s="5" t="s">
        <v>20</v>
      </c>
      <c r="F2699" s="9">
        <v>84</v>
      </c>
      <c r="G2699" s="9">
        <v>1042</v>
      </c>
      <c r="H2699" s="5" t="s">
        <v>21</v>
      </c>
      <c r="I2699" s="5" t="s">
        <v>6951</v>
      </c>
      <c r="J2699" s="12" t="str">
        <f>HYPERLINK("https://www.boe.es/gazeta/dias/1802/10/15/pdfs/GMD-1802-84.pdf#page=10","Abrir facsímil")</f>
        <v>Abrir facsímil</v>
      </c>
      <c r="K2699" s="15" t="s">
        <v>23</v>
      </c>
    </row>
    <row r="2700" spans="1:11" ht="42" customHeight="1">
      <c r="A2700" s="4" t="s">
        <v>6952</v>
      </c>
      <c r="B2700" s="5" t="s">
        <v>6952</v>
      </c>
      <c r="C2700" s="5" t="s">
        <v>29</v>
      </c>
      <c r="D2700" s="5" t="s">
        <v>30</v>
      </c>
      <c r="E2700" s="5" t="s">
        <v>1051</v>
      </c>
      <c r="F2700" s="9">
        <v>43</v>
      </c>
      <c r="G2700" s="9">
        <v>518</v>
      </c>
      <c r="H2700" s="5" t="s">
        <v>21</v>
      </c>
      <c r="I2700" s="5" t="s">
        <v>6953</v>
      </c>
      <c r="J2700" s="12" t="str">
        <f>HYPERLINK("https://www.boe.es/gazeta/dias/1802/05/28/pdfs/GMD-1802-43.pdf#page=10","Abrir facsímil")</f>
        <v>Abrir facsímil</v>
      </c>
      <c r="K2700" s="15" t="s">
        <v>23</v>
      </c>
    </row>
    <row r="2701" spans="1:11" ht="42" customHeight="1">
      <c r="A2701" s="4" t="s">
        <v>6954</v>
      </c>
      <c r="B2701" s="5" t="s">
        <v>6955</v>
      </c>
      <c r="C2701" s="5" t="s">
        <v>29</v>
      </c>
      <c r="D2701" s="5" t="s">
        <v>30</v>
      </c>
      <c r="E2701" s="5" t="s">
        <v>86</v>
      </c>
      <c r="F2701" s="9">
        <v>26</v>
      </c>
      <c r="G2701" s="9">
        <v>298</v>
      </c>
      <c r="H2701" s="5" t="s">
        <v>21</v>
      </c>
      <c r="I2701" s="5" t="s">
        <v>6956</v>
      </c>
      <c r="J2701" s="12" t="str">
        <f>HYPERLINK("https://www.boe.es/gazeta/dias/1802/03/30/pdfs/GMD-1802-26.pdf#page=10","Abrir facsímil")</f>
        <v>Abrir facsímil</v>
      </c>
      <c r="K2701" s="15" t="s">
        <v>23</v>
      </c>
    </row>
    <row r="2702" spans="1:11" ht="42" customHeight="1">
      <c r="A2702" s="4" t="s">
        <v>6957</v>
      </c>
      <c r="B2702" s="5" t="s">
        <v>6957</v>
      </c>
      <c r="C2702" s="5" t="s">
        <v>18</v>
      </c>
      <c r="D2702" s="5" t="s">
        <v>19</v>
      </c>
      <c r="E2702" s="5" t="s">
        <v>148</v>
      </c>
      <c r="F2702" s="9">
        <v>66</v>
      </c>
      <c r="G2702" s="9">
        <v>811</v>
      </c>
      <c r="H2702" s="5" t="s">
        <v>21</v>
      </c>
      <c r="I2702" s="5" t="s">
        <v>6958</v>
      </c>
      <c r="J2702" s="12" t="str">
        <f>HYPERLINK("https://www.boe.es/gazeta/dias/1802/08/13/pdfs/GMD-1802-66.pdf#page=15","Abrir facsímil")</f>
        <v>Abrir facsímil</v>
      </c>
      <c r="K2702" s="15" t="s">
        <v>23</v>
      </c>
    </row>
    <row r="2703" spans="1:11" ht="42" customHeight="1">
      <c r="A2703" s="4" t="s">
        <v>6959</v>
      </c>
      <c r="B2703" s="5" t="s">
        <v>6960</v>
      </c>
      <c r="C2703" s="5" t="s">
        <v>29</v>
      </c>
      <c r="D2703" s="5" t="s">
        <v>30</v>
      </c>
      <c r="E2703" s="5" t="s">
        <v>299</v>
      </c>
      <c r="F2703" s="9">
        <v>19</v>
      </c>
      <c r="G2703" s="9">
        <v>210</v>
      </c>
      <c r="H2703" s="5" t="s">
        <v>21</v>
      </c>
      <c r="I2703" s="5" t="s">
        <v>6961</v>
      </c>
      <c r="J2703" s="12" t="str">
        <f>HYPERLINK("https://www.boe.es/gazeta/dias/1802/03/05/pdfs/GMD-1802-19.pdf#page=10","Abrir facsímil")</f>
        <v>Abrir facsímil</v>
      </c>
      <c r="K2703" s="15" t="s">
        <v>23</v>
      </c>
    </row>
    <row r="2704" spans="1:11" ht="42" customHeight="1">
      <c r="A2704" s="4" t="s">
        <v>6962</v>
      </c>
      <c r="B2704" s="5" t="s">
        <v>6963</v>
      </c>
      <c r="C2704" s="5" t="s">
        <v>18</v>
      </c>
      <c r="D2704" s="5" t="s">
        <v>19</v>
      </c>
      <c r="E2704" s="5" t="s">
        <v>49</v>
      </c>
      <c r="F2704" s="9">
        <v>83</v>
      </c>
      <c r="G2704" s="9">
        <v>1024</v>
      </c>
      <c r="H2704" s="5" t="s">
        <v>21</v>
      </c>
      <c r="I2704" s="5" t="s">
        <v>6964</v>
      </c>
      <c r="J2704" s="12" t="str">
        <f>HYPERLINK("https://www.boe.es/gazeta/dias/1802/10/12/pdfs/GMD-1802-83.pdf#page=12","Abrir facsímil")</f>
        <v>Abrir facsímil</v>
      </c>
      <c r="K2704" s="15" t="s">
        <v>23</v>
      </c>
    </row>
    <row r="2705" spans="1:11" ht="42" customHeight="1">
      <c r="A2705" s="4" t="s">
        <v>6965</v>
      </c>
      <c r="B2705" s="5" t="s">
        <v>6965</v>
      </c>
      <c r="C2705" s="5" t="s">
        <v>35</v>
      </c>
      <c r="D2705" s="5" t="s">
        <v>36</v>
      </c>
      <c r="E2705" s="5" t="s">
        <v>1264</v>
      </c>
      <c r="F2705" s="9">
        <v>105</v>
      </c>
      <c r="G2705" s="9">
        <v>1281</v>
      </c>
      <c r="H2705" s="5" t="s">
        <v>21</v>
      </c>
      <c r="I2705" s="5" t="s">
        <v>6966</v>
      </c>
      <c r="J2705" s="12" t="str">
        <f>HYPERLINK("https://www.boe.es/gazeta/dias/1802/12/28/pdfs/GMD-1802-105.pdf#page=5","Abrir facsímil")</f>
        <v>Abrir facsímil</v>
      </c>
      <c r="K2705" s="15" t="s">
        <v>23</v>
      </c>
    </row>
    <row r="2706" spans="1:11" ht="42" customHeight="1">
      <c r="A2706" s="4" t="s">
        <v>6967</v>
      </c>
      <c r="B2706" s="5" t="s">
        <v>6967</v>
      </c>
      <c r="C2706" s="5" t="s">
        <v>29</v>
      </c>
      <c r="D2706" s="5" t="s">
        <v>30</v>
      </c>
      <c r="E2706" s="5" t="s">
        <v>71</v>
      </c>
      <c r="F2706" s="9">
        <v>21</v>
      </c>
      <c r="G2706" s="9">
        <v>233</v>
      </c>
      <c r="H2706" s="5" t="s">
        <v>21</v>
      </c>
      <c r="I2706" s="5" t="s">
        <v>6968</v>
      </c>
      <c r="J2706" s="12" t="str">
        <f>HYPERLINK("https://www.boe.es/gazeta/dias/1802/03/12/pdfs/GMD-1802-21.pdf#page=9","Abrir facsímil")</f>
        <v>Abrir facsímil</v>
      </c>
      <c r="K2706" s="15" t="s">
        <v>23</v>
      </c>
    </row>
    <row r="2707" spans="1:11" ht="42" customHeight="1">
      <c r="A2707" s="4" t="s">
        <v>6969</v>
      </c>
      <c r="B2707" s="5" t="s">
        <v>6970</v>
      </c>
      <c r="C2707" s="5" t="s">
        <v>18</v>
      </c>
      <c r="D2707" s="5" t="s">
        <v>19</v>
      </c>
      <c r="E2707" s="5" t="s">
        <v>20</v>
      </c>
      <c r="F2707" s="9">
        <v>84</v>
      </c>
      <c r="G2707" s="9">
        <v>1040</v>
      </c>
      <c r="H2707" s="5" t="s">
        <v>21</v>
      </c>
      <c r="I2707" s="5" t="s">
        <v>6971</v>
      </c>
      <c r="J2707" s="12" t="str">
        <f>HYPERLINK("https://www.boe.es/gazeta/dias/1802/10/15/pdfs/GMD-1802-84.pdf#page=8","Abrir facsímil")</f>
        <v>Abrir facsímil</v>
      </c>
      <c r="K2707" s="15" t="s">
        <v>23</v>
      </c>
    </row>
    <row r="2708" spans="1:11" ht="42" customHeight="1">
      <c r="A2708" s="4" t="s">
        <v>6972</v>
      </c>
      <c r="B2708" s="5" t="s">
        <v>6972</v>
      </c>
      <c r="C2708" s="5" t="s">
        <v>35</v>
      </c>
      <c r="D2708" s="5" t="s">
        <v>36</v>
      </c>
      <c r="E2708" s="5" t="s">
        <v>1381</v>
      </c>
      <c r="F2708" s="9">
        <v>17</v>
      </c>
      <c r="G2708" s="9">
        <v>179</v>
      </c>
      <c r="H2708" s="5" t="s">
        <v>21</v>
      </c>
      <c r="I2708" s="5" t="s">
        <v>6973</v>
      </c>
      <c r="J2708" s="12" t="str">
        <f>HYPERLINK("https://www.boe.es/gazeta/dias/1802/02/26/pdfs/GMD-1802-17.pdf#page=3","Abrir facsímil")</f>
        <v>Abrir facsímil</v>
      </c>
      <c r="K2708" s="15" t="s">
        <v>23</v>
      </c>
    </row>
    <row r="2709" spans="1:11" ht="42" customHeight="1">
      <c r="A2709" s="4" t="s">
        <v>6972</v>
      </c>
      <c r="B2709" s="5" t="s">
        <v>6972</v>
      </c>
      <c r="C2709" s="5" t="s">
        <v>35</v>
      </c>
      <c r="D2709" s="5" t="s">
        <v>36</v>
      </c>
      <c r="E2709" s="5" t="s">
        <v>31</v>
      </c>
      <c r="F2709" s="9">
        <v>27</v>
      </c>
      <c r="G2709" s="9">
        <v>309</v>
      </c>
      <c r="H2709" s="5" t="s">
        <v>21</v>
      </c>
      <c r="I2709" s="5" t="s">
        <v>6974</v>
      </c>
      <c r="J2709" s="12" t="str">
        <f>HYPERLINK("https://www.boe.es/gazeta/dias/1802/04/02/pdfs/GMD-1802-27.pdf#page=5","Abrir facsímil")</f>
        <v>Abrir facsímil</v>
      </c>
      <c r="K2709" s="15" t="s">
        <v>23</v>
      </c>
    </row>
    <row r="2710" spans="1:11" ht="42" customHeight="1">
      <c r="A2710" s="4" t="s">
        <v>6972</v>
      </c>
      <c r="B2710" s="5" t="s">
        <v>6972</v>
      </c>
      <c r="C2710" s="5" t="s">
        <v>35</v>
      </c>
      <c r="D2710" s="5" t="s">
        <v>36</v>
      </c>
      <c r="E2710" s="5" t="s">
        <v>31</v>
      </c>
      <c r="F2710" s="9">
        <v>27</v>
      </c>
      <c r="G2710" s="9">
        <v>310</v>
      </c>
      <c r="H2710" s="5" t="s">
        <v>21</v>
      </c>
      <c r="I2710" s="5" t="s">
        <v>6975</v>
      </c>
      <c r="J2710" s="12" t="str">
        <f>HYPERLINK("https://www.boe.es/gazeta/dias/1802/04/02/pdfs/GMD-1802-27.pdf#page=6","Abrir facsímil")</f>
        <v>Abrir facsímil</v>
      </c>
      <c r="K2710" s="15" t="s">
        <v>23</v>
      </c>
    </row>
    <row r="2711" spans="1:11" ht="42" customHeight="1">
      <c r="A2711" s="4" t="s">
        <v>6972</v>
      </c>
      <c r="B2711" s="5" t="s">
        <v>6972</v>
      </c>
      <c r="C2711" s="5" t="s">
        <v>35</v>
      </c>
      <c r="D2711" s="5" t="s">
        <v>36</v>
      </c>
      <c r="E2711" s="5" t="s">
        <v>339</v>
      </c>
      <c r="F2711" s="9">
        <v>39</v>
      </c>
      <c r="G2711" s="9">
        <v>460</v>
      </c>
      <c r="H2711" s="5" t="s">
        <v>21</v>
      </c>
      <c r="I2711" s="5" t="s">
        <v>6976</v>
      </c>
      <c r="J2711" s="12" t="str">
        <f>HYPERLINK("https://www.boe.es/gazeta/dias/1802/05/14/pdfs/GMD-1802-39.pdf#page=4","Abrir facsímil")</f>
        <v>Abrir facsímil</v>
      </c>
      <c r="K2711" s="15" t="s">
        <v>23</v>
      </c>
    </row>
    <row r="2712" spans="1:11" ht="42" customHeight="1">
      <c r="A2712" s="4" t="s">
        <v>6972</v>
      </c>
      <c r="B2712" s="5" t="s">
        <v>6972</v>
      </c>
      <c r="C2712" s="5" t="s">
        <v>18</v>
      </c>
      <c r="D2712" s="5" t="s">
        <v>19</v>
      </c>
      <c r="E2712" s="5" t="s">
        <v>328</v>
      </c>
      <c r="F2712" s="9">
        <v>45</v>
      </c>
      <c r="G2712" s="9">
        <v>540</v>
      </c>
      <c r="H2712" s="5" t="s">
        <v>21</v>
      </c>
      <c r="I2712" s="5" t="s">
        <v>6977</v>
      </c>
      <c r="J2712" s="12" t="str">
        <f>HYPERLINK("https://www.boe.es/gazeta/dias/1802/06/04/pdfs/GMD-1802-45.pdf#page=4","Abrir facsímil")</f>
        <v>Abrir facsímil</v>
      </c>
      <c r="K2712" s="15" t="s">
        <v>23</v>
      </c>
    </row>
    <row r="2713" spans="1:11" ht="42" customHeight="1">
      <c r="A2713" s="4" t="s">
        <v>6972</v>
      </c>
      <c r="B2713" s="5" t="s">
        <v>6972</v>
      </c>
      <c r="C2713" s="5" t="s">
        <v>18</v>
      </c>
      <c r="D2713" s="5" t="s">
        <v>19</v>
      </c>
      <c r="E2713" s="5" t="s">
        <v>530</v>
      </c>
      <c r="F2713" s="9">
        <v>48</v>
      </c>
      <c r="G2713" s="9">
        <v>580</v>
      </c>
      <c r="H2713" s="5" t="s">
        <v>21</v>
      </c>
      <c r="I2713" s="5" t="s">
        <v>6978</v>
      </c>
      <c r="J2713" s="12" t="str">
        <f>HYPERLINK("https://www.boe.es/gazeta/dias/1802/06/15/pdfs/GMD-1802-48.pdf#page=4","Abrir facsímil")</f>
        <v>Abrir facsímil</v>
      </c>
      <c r="K2713" s="15" t="s">
        <v>23</v>
      </c>
    </row>
    <row r="2714" spans="1:11" ht="42" customHeight="1">
      <c r="A2714" s="4" t="s">
        <v>6979</v>
      </c>
      <c r="B2714" s="5" t="s">
        <v>6979</v>
      </c>
      <c r="C2714" s="5" t="s">
        <v>55</v>
      </c>
      <c r="D2714" s="5" t="s">
        <v>56</v>
      </c>
      <c r="E2714" s="5" t="s">
        <v>131</v>
      </c>
      <c r="F2714" s="9">
        <v>11</v>
      </c>
      <c r="G2714" s="9">
        <v>105</v>
      </c>
      <c r="H2714" s="5" t="s">
        <v>21</v>
      </c>
      <c r="I2714" s="5" t="s">
        <v>6980</v>
      </c>
      <c r="J2714" s="12" t="str">
        <f>HYPERLINK("https://www.boe.es/gazeta/dias/1802/02/05/pdfs/GMD-1802-11.pdf#page=1","Abrir facsímil")</f>
        <v>Abrir facsímil</v>
      </c>
      <c r="K2714" s="15" t="s">
        <v>23</v>
      </c>
    </row>
    <row r="2715" spans="1:11" ht="42" customHeight="1">
      <c r="A2715" s="4" t="s">
        <v>6981</v>
      </c>
      <c r="B2715" s="5" t="s">
        <v>6982</v>
      </c>
      <c r="C2715" s="5" t="s">
        <v>18</v>
      </c>
      <c r="D2715" s="5" t="s">
        <v>19</v>
      </c>
      <c r="E2715" s="5" t="s">
        <v>332</v>
      </c>
      <c r="F2715" s="9">
        <v>24</v>
      </c>
      <c r="G2715" s="9">
        <v>273</v>
      </c>
      <c r="H2715" s="5" t="s">
        <v>21</v>
      </c>
      <c r="I2715" s="5" t="s">
        <v>6983</v>
      </c>
      <c r="J2715" s="12" t="str">
        <f>HYPERLINK("https://www.boe.es/gazeta/dias/1802/03/23/pdfs/GMD-1802-24.pdf#page=9","Abrir facsímil")</f>
        <v>Abrir facsímil</v>
      </c>
      <c r="K2715" s="15" t="s">
        <v>23</v>
      </c>
    </row>
    <row r="2716" spans="1:11" ht="42" customHeight="1">
      <c r="A2716" s="4" t="s">
        <v>6981</v>
      </c>
      <c r="B2716" s="5" t="s">
        <v>6982</v>
      </c>
      <c r="C2716" s="5" t="s">
        <v>18</v>
      </c>
      <c r="D2716" s="5" t="s">
        <v>19</v>
      </c>
      <c r="E2716" s="5" t="s">
        <v>1749</v>
      </c>
      <c r="F2716" s="9">
        <v>60</v>
      </c>
      <c r="G2716" s="9">
        <v>730</v>
      </c>
      <c r="H2716" s="5" t="s">
        <v>21</v>
      </c>
      <c r="I2716" s="5" t="s">
        <v>6984</v>
      </c>
      <c r="J2716" s="12" t="str">
        <f>HYPERLINK("https://www.boe.es/gazeta/dias/1802/07/23/pdfs/GMD-1802-60.pdf#page=14","Abrir facsímil")</f>
        <v>Abrir facsímil</v>
      </c>
      <c r="K2716" s="15" t="s">
        <v>23</v>
      </c>
    </row>
    <row r="2717" spans="1:11" ht="42" customHeight="1">
      <c r="A2717" s="4" t="s">
        <v>6985</v>
      </c>
      <c r="B2717" s="5" t="s">
        <v>6986</v>
      </c>
      <c r="C2717" s="5" t="s">
        <v>2417</v>
      </c>
      <c r="D2717" s="5" t="s">
        <v>2418</v>
      </c>
      <c r="E2717" s="5" t="s">
        <v>206</v>
      </c>
      <c r="F2717" s="9">
        <v>22</v>
      </c>
      <c r="G2717" s="9">
        <v>246</v>
      </c>
      <c r="H2717" s="5" t="s">
        <v>21</v>
      </c>
      <c r="I2717" s="5" t="s">
        <v>6987</v>
      </c>
      <c r="J2717" s="12" t="str">
        <f>HYPERLINK("https://www.boe.es/gazeta/dias/1802/03/16/pdfs/GMD-C-1802-22.pdf#page=2","Abrir facsímil")</f>
        <v>Abrir facsímil</v>
      </c>
      <c r="K2717" s="15" t="s">
        <v>23</v>
      </c>
    </row>
    <row r="2718" spans="1:11" ht="42" customHeight="1">
      <c r="A2718" s="4" t="s">
        <v>6985</v>
      </c>
      <c r="B2718" s="5" t="s">
        <v>6986</v>
      </c>
      <c r="C2718" s="5" t="s">
        <v>18</v>
      </c>
      <c r="D2718" s="5" t="s">
        <v>19</v>
      </c>
      <c r="E2718" s="5" t="s">
        <v>167</v>
      </c>
      <c r="F2718" s="9">
        <v>23</v>
      </c>
      <c r="G2718" s="9">
        <v>260</v>
      </c>
      <c r="H2718" s="5" t="s">
        <v>21</v>
      </c>
      <c r="I2718" s="5" t="s">
        <v>6988</v>
      </c>
      <c r="J2718" s="12" t="str">
        <f>HYPERLINK("https://www.boe.es/gazeta/dias/1802/03/19/pdfs/GMD-1802-23.pdf#page=8","Abrir facsímil")</f>
        <v>Abrir facsímil</v>
      </c>
      <c r="K2718" s="15" t="s">
        <v>23</v>
      </c>
    </row>
    <row r="2719" spans="1:11" ht="42" customHeight="1">
      <c r="A2719" s="4" t="s">
        <v>6985</v>
      </c>
      <c r="B2719" s="5" t="s">
        <v>6986</v>
      </c>
      <c r="C2719" s="5" t="s">
        <v>18</v>
      </c>
      <c r="D2719" s="5" t="s">
        <v>19</v>
      </c>
      <c r="E2719" s="5" t="s">
        <v>517</v>
      </c>
      <c r="F2719" s="9">
        <v>61</v>
      </c>
      <c r="G2719" s="9">
        <v>742</v>
      </c>
      <c r="H2719" s="5" t="s">
        <v>21</v>
      </c>
      <c r="I2719" s="5" t="s">
        <v>6989</v>
      </c>
      <c r="J2719" s="12" t="str">
        <f>HYPERLINK("https://www.boe.es/gazeta/dias/1802/07/27/pdfs/GMD-1802-61.pdf#page=10","Abrir facsímil")</f>
        <v>Abrir facsímil</v>
      </c>
      <c r="K2719" s="15" t="s">
        <v>23</v>
      </c>
    </row>
    <row r="2720" spans="1:11" ht="42" customHeight="1">
      <c r="A2720" s="4" t="s">
        <v>6990</v>
      </c>
      <c r="B2720" s="5" t="s">
        <v>6990</v>
      </c>
      <c r="C2720" s="5" t="s">
        <v>18</v>
      </c>
      <c r="D2720" s="5" t="s">
        <v>19</v>
      </c>
      <c r="E2720" s="5" t="s">
        <v>25</v>
      </c>
      <c r="F2720" s="9">
        <v>44</v>
      </c>
      <c r="G2720" s="9">
        <v>526</v>
      </c>
      <c r="H2720" s="5" t="s">
        <v>21</v>
      </c>
      <c r="I2720" s="5" t="s">
        <v>6991</v>
      </c>
      <c r="J2720" s="12" t="str">
        <f>HYPERLINK("https://www.boe.es/gazeta/dias/1802/06/01/pdfs/GMD-1802-44.pdf#page=2","Abrir facsímil")</f>
        <v>Abrir facsímil</v>
      </c>
      <c r="K2720" s="15" t="s">
        <v>23</v>
      </c>
    </row>
    <row r="2721" spans="1:11" ht="42" customHeight="1">
      <c r="A2721" s="4" t="s">
        <v>6992</v>
      </c>
      <c r="B2721" s="5" t="s">
        <v>6992</v>
      </c>
      <c r="C2721" s="5" t="s">
        <v>29</v>
      </c>
      <c r="D2721" s="5" t="s">
        <v>30</v>
      </c>
      <c r="E2721" s="5" t="s">
        <v>754</v>
      </c>
      <c r="F2721" s="9">
        <v>101</v>
      </c>
      <c r="G2721" s="9">
        <v>1242</v>
      </c>
      <c r="H2721" s="5" t="s">
        <v>21</v>
      </c>
      <c r="I2721" s="5" t="s">
        <v>6993</v>
      </c>
      <c r="J2721" s="12" t="str">
        <f>HYPERLINK("https://www.boe.es/gazeta/dias/1802/12/14/pdfs/GMD-1802-101.pdf#page=6","Abrir facsímil")</f>
        <v>Abrir facsímil</v>
      </c>
      <c r="K2721" s="15" t="s">
        <v>23</v>
      </c>
    </row>
    <row r="2722" spans="1:11" ht="42" customHeight="1">
      <c r="A2722" s="4" t="s">
        <v>6994</v>
      </c>
      <c r="B2722" s="5" t="s">
        <v>6995</v>
      </c>
      <c r="C2722" s="5" t="s">
        <v>90</v>
      </c>
      <c r="D2722" s="5" t="s">
        <v>91</v>
      </c>
      <c r="E2722" s="5" t="s">
        <v>381</v>
      </c>
      <c r="F2722" s="9">
        <v>13</v>
      </c>
      <c r="G2722" s="9">
        <v>131</v>
      </c>
      <c r="H2722" s="5" t="s">
        <v>21</v>
      </c>
      <c r="I2722" s="5" t="s">
        <v>6996</v>
      </c>
      <c r="J2722" s="12" t="str">
        <f>HYPERLINK("https://www.boe.es/gazeta/dias/1802/02/12/pdfs/GMD-1802-13.pdf#page=7","Abrir facsímil")</f>
        <v>Abrir facsímil</v>
      </c>
      <c r="K2722" s="15" t="s">
        <v>23</v>
      </c>
    </row>
    <row r="2723" spans="1:11" ht="42" customHeight="1">
      <c r="A2723" s="4" t="s">
        <v>6997</v>
      </c>
      <c r="B2723" s="5" t="s">
        <v>6998</v>
      </c>
      <c r="C2723" s="5" t="s">
        <v>35</v>
      </c>
      <c r="D2723" s="5" t="s">
        <v>36</v>
      </c>
      <c r="E2723" s="5" t="s">
        <v>148</v>
      </c>
      <c r="F2723" s="9">
        <v>66</v>
      </c>
      <c r="G2723" s="9">
        <v>808</v>
      </c>
      <c r="H2723" s="5" t="s">
        <v>21</v>
      </c>
      <c r="I2723" s="5" t="s">
        <v>6999</v>
      </c>
      <c r="J2723" s="12" t="str">
        <f>HYPERLINK("https://www.boe.es/gazeta/dias/1802/08/13/pdfs/GMD-1802-66.pdf#page=12","Abrir facsímil")</f>
        <v>Abrir facsímil</v>
      </c>
      <c r="K2723" s="15" t="s">
        <v>23</v>
      </c>
    </row>
    <row r="2724" spans="1:11" ht="42" customHeight="1">
      <c r="A2724" s="4" t="s">
        <v>7000</v>
      </c>
      <c r="B2724" s="5" t="s">
        <v>7001</v>
      </c>
      <c r="C2724" s="5" t="s">
        <v>18</v>
      </c>
      <c r="D2724" s="5" t="s">
        <v>19</v>
      </c>
      <c r="E2724" s="5" t="s">
        <v>49</v>
      </c>
      <c r="F2724" s="9">
        <v>83</v>
      </c>
      <c r="G2724" s="9">
        <v>1023</v>
      </c>
      <c r="H2724" s="5" t="s">
        <v>21</v>
      </c>
      <c r="I2724" s="5" t="s">
        <v>7002</v>
      </c>
      <c r="J2724" s="12" t="str">
        <f>HYPERLINK("https://www.boe.es/gazeta/dias/1802/10/12/pdfs/GMD-1802-83.pdf#page=11","Abrir facsímil")</f>
        <v>Abrir facsímil</v>
      </c>
      <c r="K2724" s="15" t="s">
        <v>23</v>
      </c>
    </row>
    <row r="2725" spans="1:11" ht="42" customHeight="1">
      <c r="A2725" s="4" t="s">
        <v>7003</v>
      </c>
      <c r="B2725" s="5" t="s">
        <v>7004</v>
      </c>
      <c r="C2725" s="5" t="s">
        <v>18</v>
      </c>
      <c r="D2725" s="5" t="s">
        <v>19</v>
      </c>
      <c r="E2725" s="5" t="s">
        <v>152</v>
      </c>
      <c r="F2725" s="9">
        <v>25</v>
      </c>
      <c r="G2725" s="9">
        <v>285</v>
      </c>
      <c r="H2725" s="5" t="s">
        <v>21</v>
      </c>
      <c r="I2725" s="5" t="s">
        <v>7005</v>
      </c>
      <c r="J2725" s="12" t="str">
        <f>HYPERLINK("https://www.boe.es/gazeta/dias/1802/03/26/pdfs/GMD-1802-25.pdf#page=9","Abrir facsímil")</f>
        <v>Abrir facsímil</v>
      </c>
      <c r="K2725" s="15" t="s">
        <v>23</v>
      </c>
    </row>
    <row r="2726" spans="1:11" ht="42" customHeight="1">
      <c r="A2726" s="4" t="s">
        <v>7006</v>
      </c>
      <c r="B2726" s="5" t="s">
        <v>7007</v>
      </c>
      <c r="C2726" s="5" t="s">
        <v>35</v>
      </c>
      <c r="D2726" s="5" t="s">
        <v>36</v>
      </c>
      <c r="E2726" s="5" t="s">
        <v>311</v>
      </c>
      <c r="F2726" s="9">
        <v>88</v>
      </c>
      <c r="G2726" s="9">
        <v>1090</v>
      </c>
      <c r="H2726" s="5" t="s">
        <v>21</v>
      </c>
      <c r="I2726" s="5" t="s">
        <v>7008</v>
      </c>
      <c r="J2726" s="12" t="str">
        <f>HYPERLINK("https://www.boe.es/gazeta/dias/1802/10/29/pdfs/GMD-1802-88.pdf#page=6","Abrir facsímil")</f>
        <v>Abrir facsímil</v>
      </c>
      <c r="K2726" s="15" t="s">
        <v>23</v>
      </c>
    </row>
    <row r="2727" spans="1:11" ht="42" customHeight="1">
      <c r="A2727" s="4" t="s">
        <v>7009</v>
      </c>
      <c r="B2727" s="5" t="s">
        <v>7010</v>
      </c>
      <c r="C2727" s="5" t="s">
        <v>35</v>
      </c>
      <c r="D2727" s="5" t="s">
        <v>36</v>
      </c>
      <c r="E2727" s="5" t="s">
        <v>1185</v>
      </c>
      <c r="F2727" s="9">
        <v>93</v>
      </c>
      <c r="G2727" s="9">
        <v>1145</v>
      </c>
      <c r="H2727" s="5" t="s">
        <v>21</v>
      </c>
      <c r="I2727" s="5" t="s">
        <v>7011</v>
      </c>
      <c r="J2727" s="12" t="str">
        <f>HYPERLINK("https://www.boe.es/gazeta/dias/1802/11/16/pdfs/GMD-1802-93.pdf#page=5","Abrir facsímil")</f>
        <v>Abrir facsímil</v>
      </c>
      <c r="K2727" s="15" t="s">
        <v>23</v>
      </c>
    </row>
    <row r="2728" spans="1:11" ht="42" customHeight="1">
      <c r="A2728" s="4" t="s">
        <v>7012</v>
      </c>
      <c r="B2728" s="5" t="s">
        <v>7013</v>
      </c>
      <c r="C2728" s="5" t="s">
        <v>55</v>
      </c>
      <c r="D2728" s="5" t="s">
        <v>56</v>
      </c>
      <c r="E2728" s="5" t="s">
        <v>907</v>
      </c>
      <c r="F2728" s="9">
        <v>77</v>
      </c>
      <c r="G2728" s="9">
        <v>946</v>
      </c>
      <c r="H2728" s="5" t="s">
        <v>21</v>
      </c>
      <c r="I2728" s="5" t="s">
        <v>7014</v>
      </c>
      <c r="J2728" s="12" t="str">
        <f>HYPERLINK("https://www.boe.es/gazeta/dias/1802/09/21/pdfs/GMD-1802-77.pdf#page=6","Abrir facsímil")</f>
        <v>Abrir facsímil</v>
      </c>
      <c r="K2728" s="15" t="s">
        <v>23</v>
      </c>
    </row>
    <row r="2729" spans="1:11" ht="42" customHeight="1">
      <c r="A2729" s="4" t="s">
        <v>7015</v>
      </c>
      <c r="B2729" s="5" t="s">
        <v>7016</v>
      </c>
      <c r="C2729" s="5" t="s">
        <v>29</v>
      </c>
      <c r="D2729" s="5" t="s">
        <v>30</v>
      </c>
      <c r="E2729" s="5" t="s">
        <v>325</v>
      </c>
      <c r="F2729" s="9">
        <v>90</v>
      </c>
      <c r="G2729" s="9">
        <v>1116</v>
      </c>
      <c r="H2729" s="5" t="s">
        <v>21</v>
      </c>
      <c r="I2729" s="5" t="s">
        <v>7017</v>
      </c>
      <c r="J2729" s="12" t="str">
        <f>HYPERLINK("https://www.boe.es/gazeta/dias/1802/11/05/pdfs/GMD-1802-90.pdf#page=8","Abrir facsímil")</f>
        <v>Abrir facsímil</v>
      </c>
      <c r="K2729" s="15" t="s">
        <v>23</v>
      </c>
    </row>
    <row r="2730" spans="1:11" ht="42" customHeight="1">
      <c r="A2730" s="4" t="s">
        <v>7018</v>
      </c>
      <c r="B2730" s="5" t="s">
        <v>7019</v>
      </c>
      <c r="C2730" s="5" t="s">
        <v>35</v>
      </c>
      <c r="D2730" s="5" t="s">
        <v>36</v>
      </c>
      <c r="E2730" s="5" t="s">
        <v>31</v>
      </c>
      <c r="F2730" s="9">
        <v>27</v>
      </c>
      <c r="G2730" s="9">
        <v>315</v>
      </c>
      <c r="H2730" s="5" t="s">
        <v>21</v>
      </c>
      <c r="I2730" s="5" t="s">
        <v>7020</v>
      </c>
      <c r="J2730" s="12" t="str">
        <f>HYPERLINK("https://www.boe.es/gazeta/dias/1802/04/02/pdfs/GMD-1802-27.pdf#page=11","Abrir facsímil")</f>
        <v>Abrir facsímil</v>
      </c>
      <c r="K2730" s="15" t="s">
        <v>23</v>
      </c>
    </row>
    <row r="2731" spans="1:11" ht="42" customHeight="1">
      <c r="A2731" s="4" t="s">
        <v>7018</v>
      </c>
      <c r="B2731" s="5" t="s">
        <v>7019</v>
      </c>
      <c r="C2731" s="5" t="s">
        <v>35</v>
      </c>
      <c r="D2731" s="5" t="s">
        <v>36</v>
      </c>
      <c r="E2731" s="5" t="s">
        <v>31</v>
      </c>
      <c r="F2731" s="9">
        <v>27</v>
      </c>
      <c r="G2731" s="9">
        <v>316</v>
      </c>
      <c r="H2731" s="5" t="s">
        <v>21</v>
      </c>
      <c r="I2731" s="5" t="s">
        <v>7021</v>
      </c>
      <c r="J2731" s="12" t="str">
        <f>HYPERLINK("https://www.boe.es/gazeta/dias/1802/04/02/pdfs/GMD-1802-27.pdf#page=12","Abrir facsímil")</f>
        <v>Abrir facsímil</v>
      </c>
      <c r="K2731" s="15" t="s">
        <v>23</v>
      </c>
    </row>
    <row r="2732" spans="1:11" ht="42" customHeight="1">
      <c r="A2732" s="4" t="s">
        <v>7018</v>
      </c>
      <c r="B2732" s="5" t="s">
        <v>7019</v>
      </c>
      <c r="C2732" s="5" t="s">
        <v>29</v>
      </c>
      <c r="D2732" s="5" t="s">
        <v>30</v>
      </c>
      <c r="E2732" s="5" t="s">
        <v>181</v>
      </c>
      <c r="F2732" s="9">
        <v>55</v>
      </c>
      <c r="G2732" s="9">
        <v>664</v>
      </c>
      <c r="H2732" s="5" t="s">
        <v>21</v>
      </c>
      <c r="I2732" s="5" t="s">
        <v>7022</v>
      </c>
      <c r="J2732" s="12" t="str">
        <f>HYPERLINK("https://www.boe.es/gazeta/dias/1802/07/09/pdfs/GMD-1802-55.pdf#page=8","Abrir facsímil")</f>
        <v>Abrir facsímil</v>
      </c>
      <c r="K2732" s="15" t="s">
        <v>23</v>
      </c>
    </row>
    <row r="2733" spans="1:11" ht="42" customHeight="1">
      <c r="A2733" s="4" t="s">
        <v>7023</v>
      </c>
      <c r="B2733" s="5" t="s">
        <v>7024</v>
      </c>
      <c r="C2733" s="5" t="s">
        <v>35</v>
      </c>
      <c r="D2733" s="5" t="s">
        <v>36</v>
      </c>
      <c r="E2733" s="5" t="s">
        <v>31</v>
      </c>
      <c r="F2733" s="9">
        <v>27</v>
      </c>
      <c r="G2733" s="9">
        <v>314</v>
      </c>
      <c r="H2733" s="5" t="s">
        <v>21</v>
      </c>
      <c r="I2733" s="5" t="s">
        <v>7025</v>
      </c>
      <c r="J2733" s="12" t="str">
        <f>HYPERLINK("https://www.boe.es/gazeta/dias/1802/04/02/pdfs/GMD-1802-27.pdf#page=10","Abrir facsímil")</f>
        <v>Abrir facsímil</v>
      </c>
      <c r="K2733" s="15" t="s">
        <v>23</v>
      </c>
    </row>
    <row r="2734" spans="1:11" ht="42" customHeight="1">
      <c r="A2734" s="4" t="s">
        <v>7026</v>
      </c>
      <c r="B2734" s="5" t="s">
        <v>7027</v>
      </c>
      <c r="C2734" s="5" t="s">
        <v>35</v>
      </c>
      <c r="D2734" s="5" t="s">
        <v>36</v>
      </c>
      <c r="E2734" s="5" t="s">
        <v>745</v>
      </c>
      <c r="F2734" s="9">
        <v>92</v>
      </c>
      <c r="G2734" s="9">
        <v>1136</v>
      </c>
      <c r="H2734" s="5" t="s">
        <v>21</v>
      </c>
      <c r="I2734" s="5" t="s">
        <v>7028</v>
      </c>
      <c r="J2734" s="12" t="str">
        <f>HYPERLINK("https://www.boe.es/gazeta/dias/1802/11/12/pdfs/GMD-1802-92.pdf#page=4","Abrir facsímil")</f>
        <v>Abrir facsímil</v>
      </c>
      <c r="K2734" s="15" t="s">
        <v>23</v>
      </c>
    </row>
    <row r="2735" spans="1:11" ht="42" customHeight="1">
      <c r="A2735" s="4" t="s">
        <v>7029</v>
      </c>
      <c r="B2735" s="5" t="s">
        <v>7030</v>
      </c>
      <c r="C2735" s="5" t="s">
        <v>35</v>
      </c>
      <c r="D2735" s="5" t="s">
        <v>36</v>
      </c>
      <c r="E2735" s="5" t="s">
        <v>165</v>
      </c>
      <c r="F2735" s="9">
        <v>3</v>
      </c>
      <c r="G2735" s="9">
        <v>24</v>
      </c>
      <c r="H2735" s="5" t="s">
        <v>21</v>
      </c>
      <c r="I2735" s="5" t="s">
        <v>7031</v>
      </c>
      <c r="J2735" s="12" t="str">
        <f>HYPERLINK("https://www.boe.es/gazeta/dias/1802/01/08/pdfs/GMD-1802-3.pdf#page=4","Abrir facsímil")</f>
        <v>Abrir facsímil</v>
      </c>
      <c r="K2735" s="15" t="s">
        <v>23</v>
      </c>
    </row>
    <row r="2736" spans="1:11" ht="42" customHeight="1">
      <c r="A2736" s="4" t="s">
        <v>7029</v>
      </c>
      <c r="B2736" s="5" t="s">
        <v>7030</v>
      </c>
      <c r="C2736" s="5" t="s">
        <v>18</v>
      </c>
      <c r="D2736" s="5" t="s">
        <v>19</v>
      </c>
      <c r="E2736" s="5" t="s">
        <v>1097</v>
      </c>
      <c r="F2736" s="9">
        <v>20</v>
      </c>
      <c r="G2736" s="9">
        <v>218</v>
      </c>
      <c r="H2736" s="5" t="s">
        <v>21</v>
      </c>
      <c r="I2736" s="5" t="s">
        <v>7032</v>
      </c>
      <c r="J2736" s="12" t="str">
        <f>HYPERLINK("https://www.boe.es/gazeta/dias/1802/03/09/pdfs/GMD-1802-20.pdf#page=6","Abrir facsímil")</f>
        <v>Abrir facsímil</v>
      </c>
      <c r="K2736" s="15" t="s">
        <v>23</v>
      </c>
    </row>
    <row r="2737" spans="1:11" ht="42" customHeight="1">
      <c r="A2737" s="4" t="s">
        <v>7029</v>
      </c>
      <c r="B2737" s="5" t="s">
        <v>7030</v>
      </c>
      <c r="C2737" s="5" t="s">
        <v>35</v>
      </c>
      <c r="D2737" s="5" t="s">
        <v>36</v>
      </c>
      <c r="E2737" s="5" t="s">
        <v>332</v>
      </c>
      <c r="F2737" s="9">
        <v>24</v>
      </c>
      <c r="G2737" s="9">
        <v>270</v>
      </c>
      <c r="H2737" s="5" t="s">
        <v>21</v>
      </c>
      <c r="I2737" s="5" t="s">
        <v>7033</v>
      </c>
      <c r="J2737" s="12" t="str">
        <f>HYPERLINK("https://www.boe.es/gazeta/dias/1802/03/23/pdfs/GMD-1802-24.pdf#page=6","Abrir facsímil")</f>
        <v>Abrir facsímil</v>
      </c>
      <c r="K2737" s="15" t="s">
        <v>23</v>
      </c>
    </row>
    <row r="2738" spans="1:11" ht="42" customHeight="1">
      <c r="A2738" s="4" t="s">
        <v>7029</v>
      </c>
      <c r="B2738" s="5" t="s">
        <v>7030</v>
      </c>
      <c r="C2738" s="5" t="s">
        <v>35</v>
      </c>
      <c r="D2738" s="5" t="s">
        <v>36</v>
      </c>
      <c r="E2738" s="5" t="s">
        <v>86</v>
      </c>
      <c r="F2738" s="9">
        <v>26</v>
      </c>
      <c r="G2738" s="9">
        <v>295</v>
      </c>
      <c r="H2738" s="5" t="s">
        <v>21</v>
      </c>
      <c r="I2738" s="5" t="s">
        <v>7034</v>
      </c>
      <c r="J2738" s="12" t="str">
        <f>HYPERLINK("https://www.boe.es/gazeta/dias/1802/03/30/pdfs/GMD-1802-26.pdf#page=7","Abrir facsímil")</f>
        <v>Abrir facsímil</v>
      </c>
      <c r="K2738" s="15" t="s">
        <v>23</v>
      </c>
    </row>
    <row r="2739" spans="1:11" ht="42" customHeight="1">
      <c r="A2739" s="4" t="s">
        <v>7029</v>
      </c>
      <c r="B2739" s="5" t="s">
        <v>7030</v>
      </c>
      <c r="C2739" s="5" t="s">
        <v>35</v>
      </c>
      <c r="D2739" s="5" t="s">
        <v>36</v>
      </c>
      <c r="E2739" s="5" t="s">
        <v>1829</v>
      </c>
      <c r="F2739" s="9">
        <v>32</v>
      </c>
      <c r="G2739" s="9">
        <v>375</v>
      </c>
      <c r="H2739" s="5" t="s">
        <v>21</v>
      </c>
      <c r="I2739" s="5" t="s">
        <v>7035</v>
      </c>
      <c r="J2739" s="12" t="str">
        <f>HYPERLINK("https://www.boe.es/gazeta/dias/1802/04/20/pdfs/GMD-1802-32.pdf#page=7","Abrir facsímil")</f>
        <v>Abrir facsímil</v>
      </c>
      <c r="K2739" s="15" t="s">
        <v>23</v>
      </c>
    </row>
    <row r="2740" spans="1:11" ht="42" customHeight="1">
      <c r="A2740" s="4" t="s">
        <v>7029</v>
      </c>
      <c r="B2740" s="5" t="s">
        <v>7030</v>
      </c>
      <c r="C2740" s="5" t="s">
        <v>35</v>
      </c>
      <c r="D2740" s="5" t="s">
        <v>36</v>
      </c>
      <c r="E2740" s="5" t="s">
        <v>631</v>
      </c>
      <c r="F2740" s="9">
        <v>36</v>
      </c>
      <c r="G2740" s="9">
        <v>425</v>
      </c>
      <c r="H2740" s="5" t="s">
        <v>21</v>
      </c>
      <c r="I2740" s="5" t="s">
        <v>7036</v>
      </c>
      <c r="J2740" s="12" t="str">
        <f>HYPERLINK("https://www.boe.es/gazeta/dias/1802/05/04/pdfs/GMD-1802-36.pdf#page=5","Abrir facsímil")</f>
        <v>Abrir facsímil</v>
      </c>
      <c r="K2740" s="15" t="s">
        <v>23</v>
      </c>
    </row>
    <row r="2741" spans="1:11" ht="42" customHeight="1">
      <c r="A2741" s="4" t="s">
        <v>7037</v>
      </c>
      <c r="B2741" s="5" t="s">
        <v>7038</v>
      </c>
      <c r="C2741" s="5" t="s">
        <v>55</v>
      </c>
      <c r="D2741" s="5" t="s">
        <v>56</v>
      </c>
      <c r="E2741" s="5" t="s">
        <v>749</v>
      </c>
      <c r="F2741" s="9">
        <v>97</v>
      </c>
      <c r="G2741" s="9">
        <v>1197</v>
      </c>
      <c r="H2741" s="5" t="s">
        <v>21</v>
      </c>
      <c r="I2741" s="5" t="s">
        <v>7039</v>
      </c>
      <c r="J2741" s="12" t="str">
        <f>HYPERLINK("https://www.boe.es/gazeta/dias/1802/11/30/pdfs/GMD-1802-97.pdf#page=5","Abrir facsímil")</f>
        <v>Abrir facsímil</v>
      </c>
      <c r="K2741" s="15" t="s">
        <v>23</v>
      </c>
    </row>
    <row r="2742" spans="1:11" ht="42" customHeight="1">
      <c r="A2742" s="4" t="s">
        <v>7037</v>
      </c>
      <c r="B2742" s="5" t="s">
        <v>7038</v>
      </c>
      <c r="C2742" s="5" t="s">
        <v>35</v>
      </c>
      <c r="D2742" s="5" t="s">
        <v>36</v>
      </c>
      <c r="E2742" s="5" t="s">
        <v>604</v>
      </c>
      <c r="F2742" s="9">
        <v>100</v>
      </c>
      <c r="G2742" s="9">
        <v>1232</v>
      </c>
      <c r="H2742" s="5" t="s">
        <v>21</v>
      </c>
      <c r="I2742" s="5" t="s">
        <v>7040</v>
      </c>
      <c r="J2742" s="12" t="str">
        <f>HYPERLINK("https://www.boe.es/gazeta/dias/1802/12/10/pdfs/GMD-1802-100.pdf#page=4","Abrir facsímil")</f>
        <v>Abrir facsímil</v>
      </c>
      <c r="K2742" s="15" t="s">
        <v>23</v>
      </c>
    </row>
    <row r="2743" spans="1:11" ht="42" customHeight="1">
      <c r="A2743" s="4" t="s">
        <v>7041</v>
      </c>
      <c r="B2743" s="5" t="s">
        <v>7042</v>
      </c>
      <c r="C2743" s="5" t="s">
        <v>18</v>
      </c>
      <c r="D2743" s="5" t="s">
        <v>19</v>
      </c>
      <c r="E2743" s="5" t="s">
        <v>1113</v>
      </c>
      <c r="F2743" s="9">
        <v>6</v>
      </c>
      <c r="G2743" s="9">
        <v>59</v>
      </c>
      <c r="H2743" s="5" t="s">
        <v>21</v>
      </c>
      <c r="I2743" s="5" t="s">
        <v>7043</v>
      </c>
      <c r="J2743" s="12" t="str">
        <f>HYPERLINK("https://www.boe.es/gazeta/dias/1802/01/19/pdfs/GMD-1802-6.pdf#page=7","Abrir facsímil")</f>
        <v>Abrir facsímil</v>
      </c>
      <c r="K2743" s="15" t="s">
        <v>23</v>
      </c>
    </row>
    <row r="2744" spans="1:11" ht="42" customHeight="1">
      <c r="A2744" s="4" t="s">
        <v>7044</v>
      </c>
      <c r="B2744" s="5" t="s">
        <v>7044</v>
      </c>
      <c r="C2744" s="5" t="s">
        <v>29</v>
      </c>
      <c r="D2744" s="5" t="s">
        <v>30</v>
      </c>
      <c r="E2744" s="5" t="s">
        <v>299</v>
      </c>
      <c r="F2744" s="9">
        <v>19</v>
      </c>
      <c r="G2744" s="9">
        <v>210</v>
      </c>
      <c r="H2744" s="5" t="s">
        <v>21</v>
      </c>
      <c r="I2744" s="5" t="s">
        <v>7045</v>
      </c>
      <c r="J2744" s="12" t="str">
        <f>HYPERLINK("https://www.boe.es/gazeta/dias/1802/03/05/pdfs/GMD-1802-19.pdf#page=10","Abrir facsímil")</f>
        <v>Abrir facsímil</v>
      </c>
      <c r="K2744" s="15" t="s">
        <v>23</v>
      </c>
    </row>
    <row r="2745" spans="1:11" ht="42" customHeight="1">
      <c r="A2745" s="4" t="s">
        <v>7046</v>
      </c>
      <c r="B2745" s="5" t="s">
        <v>7047</v>
      </c>
      <c r="C2745" s="5" t="s">
        <v>18</v>
      </c>
      <c r="D2745" s="5" t="s">
        <v>19</v>
      </c>
      <c r="E2745" s="5" t="s">
        <v>20</v>
      </c>
      <c r="F2745" s="9">
        <v>84</v>
      </c>
      <c r="G2745" s="9">
        <v>1041</v>
      </c>
      <c r="H2745" s="5" t="s">
        <v>21</v>
      </c>
      <c r="I2745" s="5" t="s">
        <v>7048</v>
      </c>
      <c r="J2745" s="12" t="str">
        <f>HYPERLINK("https://www.boe.es/gazeta/dias/1802/10/15/pdfs/GMD-1802-84.pdf#page=9","Abrir facsímil")</f>
        <v>Abrir facsímil</v>
      </c>
      <c r="K2745" s="15" t="s">
        <v>23</v>
      </c>
    </row>
    <row r="2746" spans="1:11" ht="42" customHeight="1">
      <c r="A2746" s="4" t="s">
        <v>7049</v>
      </c>
      <c r="B2746" s="5" t="s">
        <v>7050</v>
      </c>
      <c r="C2746" s="5" t="s">
        <v>18</v>
      </c>
      <c r="D2746" s="5" t="s">
        <v>19</v>
      </c>
      <c r="E2746" s="5" t="s">
        <v>20</v>
      </c>
      <c r="F2746" s="9">
        <v>84</v>
      </c>
      <c r="G2746" s="9">
        <v>1044</v>
      </c>
      <c r="H2746" s="5" t="s">
        <v>21</v>
      </c>
      <c r="I2746" s="5" t="s">
        <v>7051</v>
      </c>
      <c r="J2746" s="12" t="str">
        <f>HYPERLINK("https://www.boe.es/gazeta/dias/1802/10/15/pdfs/GMD-1802-84.pdf#page=12","Abrir facsímil")</f>
        <v>Abrir facsímil</v>
      </c>
      <c r="K2746" s="15" t="s">
        <v>23</v>
      </c>
    </row>
    <row r="2747" spans="1:11" ht="42" customHeight="1">
      <c r="A2747" s="4" t="s">
        <v>7052</v>
      </c>
      <c r="B2747" s="5" t="s">
        <v>7053</v>
      </c>
      <c r="C2747" s="5" t="s">
        <v>18</v>
      </c>
      <c r="D2747" s="5" t="s">
        <v>19</v>
      </c>
      <c r="E2747" s="5" t="s">
        <v>20</v>
      </c>
      <c r="F2747" s="9">
        <v>84</v>
      </c>
      <c r="G2747" s="9">
        <v>1047</v>
      </c>
      <c r="H2747" s="5" t="s">
        <v>21</v>
      </c>
      <c r="I2747" s="5" t="s">
        <v>7054</v>
      </c>
      <c r="J2747" s="12" t="str">
        <f>HYPERLINK("https://www.boe.es/gazeta/dias/1802/10/15/pdfs/GMD-1802-84.pdf#page=15","Abrir facsímil")</f>
        <v>Abrir facsímil</v>
      </c>
      <c r="K2747" s="15" t="s">
        <v>23</v>
      </c>
    </row>
    <row r="2748" spans="1:11" ht="42" customHeight="1">
      <c r="A2748" s="4" t="s">
        <v>7055</v>
      </c>
      <c r="B2748" s="5" t="s">
        <v>7055</v>
      </c>
      <c r="C2748" s="5" t="s">
        <v>29</v>
      </c>
      <c r="D2748" s="5" t="s">
        <v>30</v>
      </c>
      <c r="E2748" s="5" t="s">
        <v>188</v>
      </c>
      <c r="F2748" s="9">
        <v>49</v>
      </c>
      <c r="G2748" s="9">
        <v>599</v>
      </c>
      <c r="H2748" s="5" t="s">
        <v>21</v>
      </c>
      <c r="I2748" s="5" t="s">
        <v>7056</v>
      </c>
      <c r="J2748" s="12" t="str">
        <f>HYPERLINK("https://www.boe.es/gazeta/dias/1802/06/18/pdfs/GMD-1802-49.pdf#page=11","Abrir facsímil")</f>
        <v>Abrir facsímil</v>
      </c>
      <c r="K2748" s="15" t="s">
        <v>23</v>
      </c>
    </row>
    <row r="2749" spans="1:11" ht="42" customHeight="1">
      <c r="A2749" s="4" t="s">
        <v>7057</v>
      </c>
      <c r="B2749" s="5" t="s">
        <v>7057</v>
      </c>
      <c r="C2749" s="5" t="s">
        <v>29</v>
      </c>
      <c r="D2749" s="5" t="s">
        <v>30</v>
      </c>
      <c r="E2749" s="5" t="s">
        <v>128</v>
      </c>
      <c r="F2749" s="9">
        <v>9</v>
      </c>
      <c r="G2749" s="9">
        <v>90</v>
      </c>
      <c r="H2749" s="5" t="s">
        <v>21</v>
      </c>
      <c r="I2749" s="5" t="s">
        <v>7058</v>
      </c>
      <c r="J2749" s="12" t="str">
        <f>HYPERLINK("https://www.boe.es/gazeta/dias/1802/01/29/pdfs/GMD-1802-9.pdf#page=10","Abrir facsímil")</f>
        <v>Abrir facsímil</v>
      </c>
      <c r="K2749" s="15" t="s">
        <v>23</v>
      </c>
    </row>
    <row r="2750" spans="1:11" ht="42" customHeight="1">
      <c r="A2750" s="4" t="s">
        <v>7059</v>
      </c>
      <c r="B2750" s="5" t="s">
        <v>7060</v>
      </c>
      <c r="C2750" s="5" t="s">
        <v>35</v>
      </c>
      <c r="D2750" s="5" t="s">
        <v>36</v>
      </c>
      <c r="E2750" s="5" t="s">
        <v>188</v>
      </c>
      <c r="F2750" s="9">
        <v>49</v>
      </c>
      <c r="G2750" s="9">
        <v>598</v>
      </c>
      <c r="H2750" s="5" t="s">
        <v>21</v>
      </c>
      <c r="I2750" s="5" t="s">
        <v>7061</v>
      </c>
      <c r="J2750" s="12" t="str">
        <f>HYPERLINK("https://www.boe.es/gazeta/dias/1802/06/18/pdfs/GMD-1802-49.pdf#page=10","Abrir facsímil")</f>
        <v>Abrir facsímil</v>
      </c>
      <c r="K2750" s="15" t="s">
        <v>23</v>
      </c>
    </row>
    <row r="2751" spans="1:11" ht="42" customHeight="1">
      <c r="A2751" s="4" t="s">
        <v>7062</v>
      </c>
      <c r="B2751" s="5" t="s">
        <v>7062</v>
      </c>
      <c r="C2751" s="5" t="s">
        <v>18</v>
      </c>
      <c r="D2751" s="5" t="s">
        <v>19</v>
      </c>
      <c r="E2751" s="5" t="s">
        <v>710</v>
      </c>
      <c r="F2751" s="9">
        <v>85</v>
      </c>
      <c r="G2751" s="9">
        <v>1054</v>
      </c>
      <c r="H2751" s="5" t="s">
        <v>21</v>
      </c>
      <c r="I2751" s="5" t="s">
        <v>7063</v>
      </c>
      <c r="J2751" s="12" t="str">
        <f>HYPERLINK("https://www.boe.es/gazeta/dias/1802/10/19/pdfs/GMD-1802-85.pdf#page=6","Abrir facsímil")</f>
        <v>Abrir facsímil</v>
      </c>
      <c r="K2751" s="15" t="s">
        <v>23</v>
      </c>
    </row>
    <row r="2752" spans="1:11" ht="42" customHeight="1">
      <c r="A2752" s="4" t="s">
        <v>7064</v>
      </c>
      <c r="B2752" s="5" t="s">
        <v>7064</v>
      </c>
      <c r="C2752" s="5" t="s">
        <v>29</v>
      </c>
      <c r="D2752" s="5" t="s">
        <v>30</v>
      </c>
      <c r="E2752" s="5" t="s">
        <v>121</v>
      </c>
      <c r="F2752" s="9">
        <v>87</v>
      </c>
      <c r="G2752" s="9">
        <v>1078</v>
      </c>
      <c r="H2752" s="5" t="s">
        <v>21</v>
      </c>
      <c r="I2752" s="5" t="s">
        <v>7065</v>
      </c>
      <c r="J2752" s="12" t="str">
        <f>HYPERLINK("https://www.boe.es/gazeta/dias/1802/10/26/pdfs/GMD-1802-87.pdf#page=6","Abrir facsímil")</f>
        <v>Abrir facsímil</v>
      </c>
      <c r="K2752" s="15" t="s">
        <v>23</v>
      </c>
    </row>
    <row r="2753" spans="1:11" ht="42" customHeight="1">
      <c r="A2753" s="4" t="s">
        <v>7066</v>
      </c>
      <c r="B2753" s="5" t="s">
        <v>7067</v>
      </c>
      <c r="C2753" s="5" t="s">
        <v>35</v>
      </c>
      <c r="D2753" s="5" t="s">
        <v>36</v>
      </c>
      <c r="E2753" s="5" t="s">
        <v>31</v>
      </c>
      <c r="F2753" s="9">
        <v>27</v>
      </c>
      <c r="G2753" s="9">
        <v>311</v>
      </c>
      <c r="H2753" s="5" t="s">
        <v>21</v>
      </c>
      <c r="I2753" s="5" t="s">
        <v>7068</v>
      </c>
      <c r="J2753" s="12" t="str">
        <f>HYPERLINK("https://www.boe.es/gazeta/dias/1802/04/02/pdfs/GMD-1802-27.pdf#page=7","Abrir facsímil")</f>
        <v>Abrir facsímil</v>
      </c>
      <c r="K2753" s="15" t="s">
        <v>23</v>
      </c>
    </row>
    <row r="2754" spans="1:11" ht="42" customHeight="1">
      <c r="A2754" s="4" t="s">
        <v>7069</v>
      </c>
      <c r="B2754" s="5" t="s">
        <v>7070</v>
      </c>
      <c r="C2754" s="5" t="s">
        <v>35</v>
      </c>
      <c r="D2754" s="5" t="s">
        <v>36</v>
      </c>
      <c r="E2754" s="5" t="s">
        <v>148</v>
      </c>
      <c r="F2754" s="9">
        <v>66</v>
      </c>
      <c r="G2754" s="9">
        <v>808</v>
      </c>
      <c r="H2754" s="5" t="s">
        <v>21</v>
      </c>
      <c r="I2754" s="5" t="s">
        <v>7071</v>
      </c>
      <c r="J2754" s="12" t="str">
        <f>HYPERLINK("https://www.boe.es/gazeta/dias/1802/08/13/pdfs/GMD-1802-66.pdf#page=12","Abrir facsímil")</f>
        <v>Abrir facsímil</v>
      </c>
      <c r="K2754" s="15" t="s">
        <v>23</v>
      </c>
    </row>
    <row r="2755" spans="1:11" ht="42" customHeight="1">
      <c r="A2755" s="4" t="s">
        <v>7072</v>
      </c>
      <c r="B2755" s="5" t="s">
        <v>7073</v>
      </c>
      <c r="C2755" s="5" t="s">
        <v>42</v>
      </c>
      <c r="D2755" s="5" t="s">
        <v>43</v>
      </c>
      <c r="E2755" s="5" t="s">
        <v>44</v>
      </c>
      <c r="F2755" s="9">
        <v>99</v>
      </c>
      <c r="G2755" s="9" t="s">
        <v>544</v>
      </c>
      <c r="H2755" s="5" t="s">
        <v>21</v>
      </c>
      <c r="I2755" s="5" t="s">
        <v>7074</v>
      </c>
      <c r="J2755" s="12" t="str">
        <f>HYPERLINK("https://www.boe.es/gazeta/dias/1802/12/07/pdfs/GMD-D-1802-99.pdf#page=11","Abrir facsímil")</f>
        <v>Abrir facsímil</v>
      </c>
      <c r="K2755" s="15" t="s">
        <v>23</v>
      </c>
    </row>
    <row r="2756" spans="1:11" ht="42" customHeight="1">
      <c r="A2756" s="4" t="s">
        <v>7075</v>
      </c>
      <c r="B2756" s="5" t="s">
        <v>7075</v>
      </c>
      <c r="C2756" s="5" t="s">
        <v>35</v>
      </c>
      <c r="D2756" s="5" t="s">
        <v>36</v>
      </c>
      <c r="E2756" s="5" t="s">
        <v>670</v>
      </c>
      <c r="F2756" s="9">
        <v>40</v>
      </c>
      <c r="G2756" s="9">
        <v>474</v>
      </c>
      <c r="H2756" s="5" t="s">
        <v>21</v>
      </c>
      <c r="I2756" s="5" t="s">
        <v>7076</v>
      </c>
      <c r="J2756" s="12" t="str">
        <f>HYPERLINK("https://www.boe.es/gazeta/dias/1802/05/18/pdfs/GMD-1802-40.pdf#page=2","Abrir facsímil")</f>
        <v>Abrir facsímil</v>
      </c>
      <c r="K2756" s="15" t="s">
        <v>23</v>
      </c>
    </row>
    <row r="2757" spans="1:11" ht="42" customHeight="1">
      <c r="A2757" s="4" t="s">
        <v>7077</v>
      </c>
      <c r="B2757" s="5" t="s">
        <v>7078</v>
      </c>
      <c r="C2757" s="5" t="s">
        <v>35</v>
      </c>
      <c r="D2757" s="5" t="s">
        <v>36</v>
      </c>
      <c r="E2757" s="5" t="s">
        <v>60</v>
      </c>
      <c r="F2757" s="9">
        <v>5</v>
      </c>
      <c r="G2757" s="9">
        <v>49</v>
      </c>
      <c r="H2757" s="5" t="s">
        <v>21</v>
      </c>
      <c r="I2757" s="5" t="s">
        <v>7079</v>
      </c>
      <c r="J2757" s="12" t="str">
        <f>HYPERLINK("https://www.boe.es/gazeta/dias/1802/01/15/pdfs/GMD-1802-5.pdf#page=5","Abrir facsímil")</f>
        <v>Abrir facsímil</v>
      </c>
      <c r="K2757" s="15" t="s">
        <v>23</v>
      </c>
    </row>
    <row r="2758" spans="1:11" ht="42" customHeight="1">
      <c r="A2758" s="4" t="s">
        <v>7080</v>
      </c>
      <c r="B2758" s="5" t="s">
        <v>7081</v>
      </c>
      <c r="C2758" s="5" t="s">
        <v>18</v>
      </c>
      <c r="D2758" s="5" t="s">
        <v>19</v>
      </c>
      <c r="E2758" s="5" t="s">
        <v>49</v>
      </c>
      <c r="F2758" s="9">
        <v>83</v>
      </c>
      <c r="G2758" s="9">
        <v>1025</v>
      </c>
      <c r="H2758" s="5" t="s">
        <v>21</v>
      </c>
      <c r="I2758" s="5" t="s">
        <v>7082</v>
      </c>
      <c r="J2758" s="12" t="str">
        <f>HYPERLINK("https://www.boe.es/gazeta/dias/1802/10/12/pdfs/GMD-1802-83.pdf#page=13","Abrir facsímil")</f>
        <v>Abrir facsímil</v>
      </c>
      <c r="K2758" s="15" t="s">
        <v>23</v>
      </c>
    </row>
    <row r="2759" spans="1:11" ht="42" customHeight="1">
      <c r="A2759" s="4" t="s">
        <v>7083</v>
      </c>
      <c r="B2759" s="5" t="s">
        <v>7084</v>
      </c>
      <c r="C2759" s="5" t="s">
        <v>18</v>
      </c>
      <c r="D2759" s="5" t="s">
        <v>19</v>
      </c>
      <c r="E2759" s="5" t="s">
        <v>20</v>
      </c>
      <c r="F2759" s="9">
        <v>84</v>
      </c>
      <c r="G2759" s="9">
        <v>1043</v>
      </c>
      <c r="H2759" s="5" t="s">
        <v>21</v>
      </c>
      <c r="I2759" s="5" t="s">
        <v>7085</v>
      </c>
      <c r="J2759" s="12" t="str">
        <f>HYPERLINK("https://www.boe.es/gazeta/dias/1802/10/15/pdfs/GMD-1802-84.pdf#page=11","Abrir facsímil")</f>
        <v>Abrir facsímil</v>
      </c>
      <c r="K2759" s="15" t="s">
        <v>23</v>
      </c>
    </row>
    <row r="2760" spans="1:11" ht="42" customHeight="1">
      <c r="A2760" s="4" t="s">
        <v>7086</v>
      </c>
      <c r="B2760" s="5" t="s">
        <v>7087</v>
      </c>
      <c r="C2760" s="5" t="s">
        <v>18</v>
      </c>
      <c r="D2760" s="5" t="s">
        <v>19</v>
      </c>
      <c r="E2760" s="5" t="s">
        <v>20</v>
      </c>
      <c r="F2760" s="9">
        <v>84</v>
      </c>
      <c r="G2760" s="9">
        <v>1046</v>
      </c>
      <c r="H2760" s="5" t="s">
        <v>21</v>
      </c>
      <c r="I2760" s="5" t="s">
        <v>7088</v>
      </c>
      <c r="J2760" s="12" t="str">
        <f>HYPERLINK("https://www.boe.es/gazeta/dias/1802/10/15/pdfs/GMD-1802-84.pdf#page=14","Abrir facsímil")</f>
        <v>Abrir facsímil</v>
      </c>
      <c r="K2760" s="15" t="s">
        <v>23</v>
      </c>
    </row>
    <row r="2761" spans="1:11" ht="42" customHeight="1">
      <c r="A2761" s="4" t="s">
        <v>7089</v>
      </c>
      <c r="B2761" s="5" t="s">
        <v>7090</v>
      </c>
      <c r="C2761" s="5" t="s">
        <v>42</v>
      </c>
      <c r="D2761" s="5" t="s">
        <v>43</v>
      </c>
      <c r="E2761" s="5" t="s">
        <v>44</v>
      </c>
      <c r="F2761" s="9">
        <v>99</v>
      </c>
      <c r="G2761" s="9" t="s">
        <v>262</v>
      </c>
      <c r="H2761" s="5" t="s">
        <v>21</v>
      </c>
      <c r="I2761" s="5" t="s">
        <v>7091</v>
      </c>
      <c r="J2761" s="12" t="str">
        <f>HYPERLINK("https://www.boe.es/gazeta/dias/1802/12/07/pdfs/GMD-D-1802-99.pdf#page=8","Abrir facsímil")</f>
        <v>Abrir facsímil</v>
      </c>
      <c r="K2761" s="15" t="s">
        <v>23</v>
      </c>
    </row>
    <row r="2762" spans="1:11" ht="42" customHeight="1">
      <c r="A2762" s="4" t="s">
        <v>7092</v>
      </c>
      <c r="B2762" s="5" t="s">
        <v>7093</v>
      </c>
      <c r="C2762" s="5" t="s">
        <v>2417</v>
      </c>
      <c r="D2762" s="5" t="s">
        <v>2418</v>
      </c>
      <c r="E2762" s="5" t="s">
        <v>206</v>
      </c>
      <c r="F2762" s="9">
        <v>22</v>
      </c>
      <c r="G2762" s="9">
        <v>246</v>
      </c>
      <c r="H2762" s="5" t="s">
        <v>21</v>
      </c>
      <c r="I2762" s="5" t="s">
        <v>7094</v>
      </c>
      <c r="J2762" s="12" t="str">
        <f>HYPERLINK("https://www.boe.es/gazeta/dias/1802/03/16/pdfs/GMD-C-1802-22.pdf#page=2","Abrir facsímil")</f>
        <v>Abrir facsímil</v>
      </c>
      <c r="K2762" s="15" t="s">
        <v>23</v>
      </c>
    </row>
    <row r="2763" spans="1:11" ht="42" customHeight="1">
      <c r="A2763" s="4" t="s">
        <v>7092</v>
      </c>
      <c r="B2763" s="5" t="s">
        <v>7093</v>
      </c>
      <c r="C2763" s="5" t="s">
        <v>18</v>
      </c>
      <c r="D2763" s="5" t="s">
        <v>19</v>
      </c>
      <c r="E2763" s="5" t="s">
        <v>167</v>
      </c>
      <c r="F2763" s="9">
        <v>23</v>
      </c>
      <c r="G2763" s="9">
        <v>260</v>
      </c>
      <c r="H2763" s="5" t="s">
        <v>21</v>
      </c>
      <c r="I2763" s="5" t="s">
        <v>7095</v>
      </c>
      <c r="J2763" s="12" t="str">
        <f>HYPERLINK("https://www.boe.es/gazeta/dias/1802/03/19/pdfs/GMD-1802-23.pdf#page=8","Abrir facsímil")</f>
        <v>Abrir facsímil</v>
      </c>
      <c r="K2763" s="15" t="s">
        <v>23</v>
      </c>
    </row>
    <row r="2764" spans="1:11" ht="42" customHeight="1">
      <c r="A2764" s="4" t="s">
        <v>7092</v>
      </c>
      <c r="B2764" s="5" t="s">
        <v>7093</v>
      </c>
      <c r="C2764" s="5" t="s">
        <v>18</v>
      </c>
      <c r="D2764" s="5" t="s">
        <v>19</v>
      </c>
      <c r="E2764" s="5" t="s">
        <v>332</v>
      </c>
      <c r="F2764" s="9">
        <v>24</v>
      </c>
      <c r="G2764" s="9">
        <v>273</v>
      </c>
      <c r="H2764" s="5" t="s">
        <v>21</v>
      </c>
      <c r="I2764" s="5" t="s">
        <v>7096</v>
      </c>
      <c r="J2764" s="12" t="str">
        <f>HYPERLINK("https://www.boe.es/gazeta/dias/1802/03/23/pdfs/GMD-1802-24.pdf#page=9","Abrir facsímil")</f>
        <v>Abrir facsímil</v>
      </c>
      <c r="K2764" s="15" t="s">
        <v>23</v>
      </c>
    </row>
    <row r="2765" spans="1:11" ht="42" customHeight="1">
      <c r="A2765" s="4" t="s">
        <v>7092</v>
      </c>
      <c r="B2765" s="5" t="s">
        <v>7093</v>
      </c>
      <c r="C2765" s="5" t="s">
        <v>18</v>
      </c>
      <c r="D2765" s="5" t="s">
        <v>19</v>
      </c>
      <c r="E2765" s="5" t="s">
        <v>1749</v>
      </c>
      <c r="F2765" s="9">
        <v>60</v>
      </c>
      <c r="G2765" s="9">
        <v>730</v>
      </c>
      <c r="H2765" s="5" t="s">
        <v>21</v>
      </c>
      <c r="I2765" s="5" t="s">
        <v>7097</v>
      </c>
      <c r="J2765" s="12" t="str">
        <f>HYPERLINK("https://www.boe.es/gazeta/dias/1802/07/23/pdfs/GMD-1802-60.pdf#page=14","Abrir facsímil")</f>
        <v>Abrir facsímil</v>
      </c>
      <c r="K2765" s="15" t="s">
        <v>23</v>
      </c>
    </row>
    <row r="2766" spans="1:11" ht="42" customHeight="1">
      <c r="A2766" s="4" t="s">
        <v>7092</v>
      </c>
      <c r="B2766" s="5" t="s">
        <v>7093</v>
      </c>
      <c r="C2766" s="5" t="s">
        <v>18</v>
      </c>
      <c r="D2766" s="5" t="s">
        <v>19</v>
      </c>
      <c r="E2766" s="5" t="s">
        <v>517</v>
      </c>
      <c r="F2766" s="9">
        <v>61</v>
      </c>
      <c r="G2766" s="9">
        <v>742</v>
      </c>
      <c r="H2766" s="5" t="s">
        <v>21</v>
      </c>
      <c r="I2766" s="5" t="s">
        <v>7098</v>
      </c>
      <c r="J2766" s="12" t="str">
        <f>HYPERLINK("https://www.boe.es/gazeta/dias/1802/07/27/pdfs/GMD-1802-61.pdf#page=10","Abrir facsímil")</f>
        <v>Abrir facsímil</v>
      </c>
      <c r="K2766" s="15" t="s">
        <v>23</v>
      </c>
    </row>
    <row r="2767" spans="1:11" ht="42" customHeight="1">
      <c r="A2767" s="4" t="s">
        <v>7092</v>
      </c>
      <c r="B2767" s="5" t="s">
        <v>7093</v>
      </c>
      <c r="C2767" s="5" t="s">
        <v>18</v>
      </c>
      <c r="D2767" s="5" t="s">
        <v>19</v>
      </c>
      <c r="E2767" s="5" t="s">
        <v>292</v>
      </c>
      <c r="F2767" s="9">
        <v>62</v>
      </c>
      <c r="G2767" s="9">
        <v>754</v>
      </c>
      <c r="H2767" s="5" t="s">
        <v>21</v>
      </c>
      <c r="I2767" s="5" t="s">
        <v>7099</v>
      </c>
      <c r="J2767" s="12" t="str">
        <f>HYPERLINK("https://www.boe.es/gazeta/dias/1802/07/30/pdfs/GMD-1802-62.pdf#page=10","Abrir facsímil")</f>
        <v>Abrir facsímil</v>
      </c>
      <c r="K2767" s="15" t="s">
        <v>23</v>
      </c>
    </row>
    <row r="2768" spans="1:11" ht="42" customHeight="1">
      <c r="A2768" s="4" t="s">
        <v>7092</v>
      </c>
      <c r="B2768" s="5" t="s">
        <v>7093</v>
      </c>
      <c r="C2768" s="5" t="s">
        <v>18</v>
      </c>
      <c r="D2768" s="5" t="s">
        <v>19</v>
      </c>
      <c r="E2768" s="5" t="s">
        <v>1185</v>
      </c>
      <c r="F2768" s="9">
        <v>93</v>
      </c>
      <c r="G2768" s="9">
        <v>1150</v>
      </c>
      <c r="H2768" s="5" t="s">
        <v>21</v>
      </c>
      <c r="I2768" s="5" t="s">
        <v>7100</v>
      </c>
      <c r="J2768" s="12" t="str">
        <f>HYPERLINK("https://www.boe.es/gazeta/dias/1802/11/16/pdfs/GMD-1802-93.pdf#page=10","Abrir facsímil")</f>
        <v>Abrir facsímil</v>
      </c>
      <c r="K2768" s="15" t="s">
        <v>23</v>
      </c>
    </row>
    <row r="2769" spans="1:11" ht="42" customHeight="1">
      <c r="A2769" s="4" t="s">
        <v>7101</v>
      </c>
      <c r="B2769" s="5" t="s">
        <v>7102</v>
      </c>
      <c r="C2769" s="5" t="s">
        <v>29</v>
      </c>
      <c r="D2769" s="5" t="s">
        <v>30</v>
      </c>
      <c r="E2769" s="5" t="s">
        <v>133</v>
      </c>
      <c r="F2769" s="9">
        <v>33</v>
      </c>
      <c r="G2769" s="9">
        <v>387</v>
      </c>
      <c r="H2769" s="5" t="s">
        <v>21</v>
      </c>
      <c r="I2769" s="5" t="s">
        <v>7103</v>
      </c>
      <c r="J2769" s="12" t="str">
        <f>HYPERLINK("https://www.boe.es/gazeta/dias/1802/04/23/pdfs/GMD-1802-33.pdf#page=7","Abrir facsímil")</f>
        <v>Abrir facsímil</v>
      </c>
      <c r="K2769" s="15" t="s">
        <v>23</v>
      </c>
    </row>
    <row r="2770" spans="1:11" ht="42" customHeight="1">
      <c r="A2770" s="4" t="s">
        <v>7104</v>
      </c>
      <c r="B2770" s="5" t="s">
        <v>7105</v>
      </c>
      <c r="C2770" s="5" t="s">
        <v>35</v>
      </c>
      <c r="D2770" s="5" t="s">
        <v>36</v>
      </c>
      <c r="E2770" s="5" t="s">
        <v>185</v>
      </c>
      <c r="F2770" s="9">
        <v>95</v>
      </c>
      <c r="G2770" s="9">
        <v>1174</v>
      </c>
      <c r="H2770" s="5" t="s">
        <v>21</v>
      </c>
      <c r="I2770" s="5" t="s">
        <v>7106</v>
      </c>
      <c r="J2770" s="12" t="str">
        <f>HYPERLINK("https://www.boe.es/gazeta/dias/1802/11/23/pdfs/GMD-1802-95.pdf#page=10","Abrir facsímil")</f>
        <v>Abrir facsímil</v>
      </c>
      <c r="K2770" s="15" t="s">
        <v>23</v>
      </c>
    </row>
    <row r="2771" spans="1:11" ht="42" customHeight="1">
      <c r="A2771" s="4" t="s">
        <v>7107</v>
      </c>
      <c r="B2771" s="5" t="s">
        <v>7107</v>
      </c>
      <c r="C2771" s="5" t="s">
        <v>35</v>
      </c>
      <c r="D2771" s="5" t="s">
        <v>36</v>
      </c>
      <c r="E2771" s="5" t="s">
        <v>385</v>
      </c>
      <c r="F2771" s="9">
        <v>70</v>
      </c>
      <c r="G2771" s="9">
        <v>862</v>
      </c>
      <c r="H2771" s="5" t="s">
        <v>21</v>
      </c>
      <c r="I2771" s="5" t="s">
        <v>7108</v>
      </c>
      <c r="J2771" s="12" t="str">
        <f>HYPERLINK("https://www.boe.es/gazeta/dias/1802/08/27/pdfs/GMD-1802-70.pdf#page=10","Abrir facsímil")</f>
        <v>Abrir facsímil</v>
      </c>
      <c r="K2771" s="15" t="s">
        <v>23</v>
      </c>
    </row>
    <row r="2772" spans="1:11" ht="42" customHeight="1">
      <c r="A2772" s="4" t="s">
        <v>7109</v>
      </c>
      <c r="B2772" s="5" t="s">
        <v>7109</v>
      </c>
      <c r="C2772" s="5" t="s">
        <v>29</v>
      </c>
      <c r="D2772" s="5" t="s">
        <v>30</v>
      </c>
      <c r="E2772" s="5" t="s">
        <v>37</v>
      </c>
      <c r="F2772" s="9">
        <v>106</v>
      </c>
      <c r="G2772" s="9">
        <v>1295</v>
      </c>
      <c r="H2772" s="5" t="s">
        <v>21</v>
      </c>
      <c r="I2772" s="5" t="s">
        <v>7110</v>
      </c>
      <c r="J2772" s="12" t="str">
        <f>HYPERLINK("https://www.boe.es/gazeta/dias/1802/12/31/pdfs/GMD-1802-106.pdf#page=7","Abrir facsímil")</f>
        <v>Abrir facsímil</v>
      </c>
      <c r="K2772" s="15" t="s">
        <v>23</v>
      </c>
    </row>
    <row r="2773" spans="1:11" ht="42" customHeight="1">
      <c r="A2773" s="4" t="s">
        <v>7111</v>
      </c>
      <c r="B2773" s="5" t="s">
        <v>7112</v>
      </c>
      <c r="C2773" s="5" t="s">
        <v>18</v>
      </c>
      <c r="D2773" s="5" t="s">
        <v>19</v>
      </c>
      <c r="E2773" s="5" t="s">
        <v>20</v>
      </c>
      <c r="F2773" s="9">
        <v>84</v>
      </c>
      <c r="G2773" s="9">
        <v>1042</v>
      </c>
      <c r="H2773" s="5" t="s">
        <v>21</v>
      </c>
      <c r="I2773" s="5" t="s">
        <v>7113</v>
      </c>
      <c r="J2773" s="12" t="str">
        <f>HYPERLINK("https://www.boe.es/gazeta/dias/1802/10/15/pdfs/GMD-1802-84.pdf#page=10","Abrir facsímil")</f>
        <v>Abrir facsímil</v>
      </c>
      <c r="K2773" s="15" t="s">
        <v>23</v>
      </c>
    </row>
    <row r="2774" spans="1:11" ht="42" customHeight="1">
      <c r="A2774" s="4" t="s">
        <v>7114</v>
      </c>
      <c r="B2774" s="5" t="s">
        <v>7115</v>
      </c>
      <c r="C2774" s="5" t="s">
        <v>29</v>
      </c>
      <c r="D2774" s="5" t="s">
        <v>30</v>
      </c>
      <c r="E2774" s="5" t="s">
        <v>1051</v>
      </c>
      <c r="F2774" s="9">
        <v>43</v>
      </c>
      <c r="G2774" s="9">
        <v>518</v>
      </c>
      <c r="H2774" s="5" t="s">
        <v>21</v>
      </c>
      <c r="I2774" s="5" t="s">
        <v>7116</v>
      </c>
      <c r="J2774" s="12" t="str">
        <f>HYPERLINK("https://www.boe.es/gazeta/dias/1802/05/28/pdfs/GMD-1802-43.pdf#page=10","Abrir facsímil")</f>
        <v>Abrir facsímil</v>
      </c>
      <c r="K2774" s="15" t="s">
        <v>23</v>
      </c>
    </row>
    <row r="2775" spans="1:11" ht="42" customHeight="1">
      <c r="A2775" s="4" t="s">
        <v>7117</v>
      </c>
      <c r="B2775" s="5" t="s">
        <v>7118</v>
      </c>
      <c r="C2775" s="5" t="s">
        <v>18</v>
      </c>
      <c r="D2775" s="5" t="s">
        <v>19</v>
      </c>
      <c r="E2775" s="5" t="s">
        <v>49</v>
      </c>
      <c r="F2775" s="9">
        <v>83</v>
      </c>
      <c r="G2775" s="9">
        <v>1024</v>
      </c>
      <c r="H2775" s="5" t="s">
        <v>21</v>
      </c>
      <c r="I2775" s="5" t="s">
        <v>7119</v>
      </c>
      <c r="J2775" s="12" t="str">
        <f>HYPERLINK("https://www.boe.es/gazeta/dias/1802/10/12/pdfs/GMD-1802-83.pdf#page=12","Abrir facsímil")</f>
        <v>Abrir facsímil</v>
      </c>
      <c r="K2775" s="15" t="s">
        <v>23</v>
      </c>
    </row>
    <row r="2776" spans="1:11" ht="42" customHeight="1">
      <c r="A2776" s="4" t="s">
        <v>7120</v>
      </c>
      <c r="B2776" s="5" t="s">
        <v>7121</v>
      </c>
      <c r="C2776" s="5" t="s">
        <v>160</v>
      </c>
      <c r="D2776" s="5" t="s">
        <v>91</v>
      </c>
      <c r="E2776" s="5" t="s">
        <v>109</v>
      </c>
      <c r="F2776" s="9">
        <v>10</v>
      </c>
      <c r="G2776" s="9">
        <v>99</v>
      </c>
      <c r="H2776" s="5" t="s">
        <v>21</v>
      </c>
      <c r="I2776" s="5" t="s">
        <v>7122</v>
      </c>
      <c r="J2776" s="12" t="str">
        <f>HYPERLINK("https://www.boe.es/gazeta/dias/1802/02/02/pdfs/GMD-1802-10.pdf#page=7","Abrir facsímil")</f>
        <v>Abrir facsímil</v>
      </c>
      <c r="K2776" s="15" t="s">
        <v>23</v>
      </c>
    </row>
    <row r="2777" spans="1:11" ht="42" customHeight="1">
      <c r="A2777" s="4" t="s">
        <v>7120</v>
      </c>
      <c r="B2777" s="5" t="s">
        <v>7121</v>
      </c>
      <c r="C2777" s="5" t="s">
        <v>29</v>
      </c>
      <c r="D2777" s="5" t="s">
        <v>30</v>
      </c>
      <c r="E2777" s="5" t="s">
        <v>92</v>
      </c>
      <c r="F2777" s="9">
        <v>29</v>
      </c>
      <c r="G2777" s="9">
        <v>343</v>
      </c>
      <c r="H2777" s="5" t="s">
        <v>21</v>
      </c>
      <c r="I2777" s="5" t="s">
        <v>7123</v>
      </c>
      <c r="J2777" s="12" t="str">
        <f>HYPERLINK("https://www.boe.es/gazeta/dias/1802/04/09/pdfs/GMD-1802-29.pdf#page=11","Abrir facsímil")</f>
        <v>Abrir facsímil</v>
      </c>
      <c r="K2777" s="15" t="s">
        <v>23</v>
      </c>
    </row>
    <row r="2778" spans="1:11" ht="42" customHeight="1">
      <c r="A2778" s="4" t="s">
        <v>7120</v>
      </c>
      <c r="B2778" s="5" t="s">
        <v>7121</v>
      </c>
      <c r="C2778" s="5" t="s">
        <v>55</v>
      </c>
      <c r="D2778" s="5" t="s">
        <v>56</v>
      </c>
      <c r="E2778" s="5" t="s">
        <v>102</v>
      </c>
      <c r="F2778" s="9">
        <v>73</v>
      </c>
      <c r="G2778" s="9">
        <v>903</v>
      </c>
      <c r="H2778" s="5" t="s">
        <v>21</v>
      </c>
      <c r="I2778" s="5" t="s">
        <v>7124</v>
      </c>
      <c r="J2778" s="12" t="str">
        <f>HYPERLINK("https://www.boe.es/gazeta/dias/1802/09/07/pdfs/GMD-1802-73.pdf#page=11","Abrir facsímil")</f>
        <v>Abrir facsímil</v>
      </c>
      <c r="K2778" s="15" t="s">
        <v>23</v>
      </c>
    </row>
    <row r="2779" spans="1:11" ht="42" customHeight="1">
      <c r="A2779" s="4" t="s">
        <v>7120</v>
      </c>
      <c r="B2779" s="5" t="s">
        <v>7121</v>
      </c>
      <c r="C2779" s="5" t="s">
        <v>160</v>
      </c>
      <c r="D2779" s="5" t="s">
        <v>91</v>
      </c>
      <c r="E2779" s="5" t="s">
        <v>481</v>
      </c>
      <c r="F2779" s="9">
        <v>79</v>
      </c>
      <c r="G2779" s="9">
        <v>975</v>
      </c>
      <c r="H2779" s="5" t="s">
        <v>21</v>
      </c>
      <c r="I2779" s="5" t="s">
        <v>7125</v>
      </c>
      <c r="J2779" s="12" t="str">
        <f>HYPERLINK("https://www.boe.es/gazeta/dias/1802/09/28/pdfs/GMD-1802-79.pdf#page=11","Abrir facsímil")</f>
        <v>Abrir facsímil</v>
      </c>
      <c r="K2779" s="15" t="s">
        <v>23</v>
      </c>
    </row>
    <row r="2780" spans="1:11" ht="42" customHeight="1">
      <c r="A2780" s="4" t="s">
        <v>7126</v>
      </c>
      <c r="B2780" s="5" t="s">
        <v>7126</v>
      </c>
      <c r="C2780" s="5" t="s">
        <v>55</v>
      </c>
      <c r="D2780" s="5" t="s">
        <v>56</v>
      </c>
      <c r="E2780" s="5" t="s">
        <v>152</v>
      </c>
      <c r="F2780" s="9">
        <v>25</v>
      </c>
      <c r="G2780" s="9">
        <v>288</v>
      </c>
      <c r="H2780" s="5" t="s">
        <v>21</v>
      </c>
      <c r="I2780" s="5" t="s">
        <v>7127</v>
      </c>
      <c r="J2780" s="12" t="str">
        <f>HYPERLINK("https://www.boe.es/gazeta/dias/1802/03/26/pdfs/GMD-1802-25.pdf#page=12","Abrir facsímil")</f>
        <v>Abrir facsímil</v>
      </c>
      <c r="K2780" s="15" t="s">
        <v>23</v>
      </c>
    </row>
    <row r="2781" spans="1:11" ht="42" customHeight="1">
      <c r="A2781" s="4" t="s">
        <v>7128</v>
      </c>
      <c r="B2781" s="5" t="s">
        <v>7129</v>
      </c>
      <c r="C2781" s="5" t="s">
        <v>90</v>
      </c>
      <c r="D2781" s="5" t="s">
        <v>91</v>
      </c>
      <c r="E2781" s="5" t="s">
        <v>389</v>
      </c>
      <c r="F2781" s="9">
        <v>96</v>
      </c>
      <c r="G2781" s="9">
        <v>1189</v>
      </c>
      <c r="H2781" s="5" t="s">
        <v>21</v>
      </c>
      <c r="I2781" s="5" t="s">
        <v>7130</v>
      </c>
      <c r="J2781" s="12" t="str">
        <f>HYPERLINK("https://www.boe.es/gazeta/dias/1802/11/26/pdfs/GMD-1802-96.pdf#page=9","Abrir facsímil")</f>
        <v>Abrir facsímil</v>
      </c>
      <c r="K2781" s="15" t="s">
        <v>23</v>
      </c>
    </row>
    <row r="2782" spans="1:11" ht="42" customHeight="1">
      <c r="A2782" s="4" t="s">
        <v>7131</v>
      </c>
      <c r="B2782" s="5" t="s">
        <v>7132</v>
      </c>
      <c r="C2782" s="5" t="s">
        <v>90</v>
      </c>
      <c r="D2782" s="5" t="s">
        <v>91</v>
      </c>
      <c r="E2782" s="5" t="s">
        <v>128</v>
      </c>
      <c r="F2782" s="9">
        <v>9</v>
      </c>
      <c r="G2782" s="9">
        <v>89</v>
      </c>
      <c r="H2782" s="5" t="s">
        <v>21</v>
      </c>
      <c r="I2782" s="5" t="s">
        <v>7133</v>
      </c>
      <c r="J2782" s="12" t="str">
        <f>HYPERLINK("https://www.boe.es/gazeta/dias/1802/01/29/pdfs/GMD-1802-9.pdf#page=9","Abrir facsímil")</f>
        <v>Abrir facsímil</v>
      </c>
      <c r="K2782" s="15" t="s">
        <v>23</v>
      </c>
    </row>
    <row r="2783" spans="1:11" ht="42" customHeight="1">
      <c r="A2783" s="4" t="s">
        <v>7134</v>
      </c>
      <c r="B2783" s="5" t="s">
        <v>7135</v>
      </c>
      <c r="C2783" s="5" t="s">
        <v>42</v>
      </c>
      <c r="D2783" s="5" t="s">
        <v>43</v>
      </c>
      <c r="E2783" s="5" t="s">
        <v>44</v>
      </c>
      <c r="F2783" s="9">
        <v>99</v>
      </c>
      <c r="G2783" s="9" t="s">
        <v>78</v>
      </c>
      <c r="H2783" s="5" t="s">
        <v>21</v>
      </c>
      <c r="I2783" s="5" t="s">
        <v>7136</v>
      </c>
      <c r="J2783" s="12" t="str">
        <f>HYPERLINK("https://www.boe.es/gazeta/dias/1802/12/07/pdfs/GMD-D-1802-99.pdf#page=15","Abrir facsímil")</f>
        <v>Abrir facsímil</v>
      </c>
      <c r="K2783" s="15" t="s">
        <v>23</v>
      </c>
    </row>
    <row r="2784" spans="1:11" ht="42" customHeight="1">
      <c r="A2784" s="4" t="s">
        <v>7137</v>
      </c>
      <c r="B2784" s="5" t="s">
        <v>7138</v>
      </c>
      <c r="C2784" s="5" t="s">
        <v>29</v>
      </c>
      <c r="D2784" s="5" t="s">
        <v>30</v>
      </c>
      <c r="E2784" s="5" t="s">
        <v>678</v>
      </c>
      <c r="F2784" s="9">
        <v>15</v>
      </c>
      <c r="G2784" s="9">
        <v>157</v>
      </c>
      <c r="H2784" s="5" t="s">
        <v>21</v>
      </c>
      <c r="I2784" s="5" t="s">
        <v>7139</v>
      </c>
      <c r="J2784" s="12" t="str">
        <f>HYPERLINK("https://www.boe.es/gazeta/dias/1802/02/19/pdfs/GMD-1802-15.pdf#page=9","Abrir facsímil")</f>
        <v>Abrir facsímil</v>
      </c>
      <c r="K2784" s="15" t="s">
        <v>23</v>
      </c>
    </row>
    <row r="2785" spans="1:11" ht="42" customHeight="1">
      <c r="A2785" s="4" t="s">
        <v>7140</v>
      </c>
      <c r="B2785" s="5" t="s">
        <v>7141</v>
      </c>
      <c r="C2785" s="5" t="s">
        <v>18</v>
      </c>
      <c r="D2785" s="5" t="s">
        <v>19</v>
      </c>
      <c r="E2785" s="5" t="s">
        <v>31</v>
      </c>
      <c r="F2785" s="9">
        <v>27</v>
      </c>
      <c r="G2785" s="9">
        <v>318</v>
      </c>
      <c r="H2785" s="5" t="s">
        <v>21</v>
      </c>
      <c r="I2785" s="5" t="s">
        <v>7142</v>
      </c>
      <c r="J2785" s="12" t="str">
        <f>HYPERLINK("https://www.boe.es/gazeta/dias/1802/04/02/pdfs/GMD-1802-27.pdf#page=14","Abrir facsímil")</f>
        <v>Abrir facsímil</v>
      </c>
      <c r="K2785" s="15" t="s">
        <v>23</v>
      </c>
    </row>
    <row r="2786" spans="1:11" ht="42" customHeight="1">
      <c r="A2786" s="4" t="s">
        <v>7143</v>
      </c>
      <c r="B2786" s="5" t="s">
        <v>7144</v>
      </c>
      <c r="C2786" s="5" t="s">
        <v>29</v>
      </c>
      <c r="D2786" s="5" t="s">
        <v>30</v>
      </c>
      <c r="E2786" s="5" t="s">
        <v>183</v>
      </c>
      <c r="F2786" s="9">
        <v>56</v>
      </c>
      <c r="G2786" s="9">
        <v>678</v>
      </c>
      <c r="H2786" s="5" t="s">
        <v>21</v>
      </c>
      <c r="I2786" s="5" t="s">
        <v>7145</v>
      </c>
      <c r="J2786" s="12" t="str">
        <f>HYPERLINK("https://www.boe.es/gazeta/dias/1802/07/13/pdfs/GMD-1802-56.pdf#page=10","Abrir facsímil")</f>
        <v>Abrir facsímil</v>
      </c>
      <c r="K2786" s="15" t="s">
        <v>23</v>
      </c>
    </row>
    <row r="2787" spans="1:11" ht="42" customHeight="1">
      <c r="A2787" s="4" t="s">
        <v>7146</v>
      </c>
      <c r="B2787" s="5" t="s">
        <v>7147</v>
      </c>
      <c r="C2787" s="5" t="s">
        <v>29</v>
      </c>
      <c r="D2787" s="5" t="s">
        <v>30</v>
      </c>
      <c r="E2787" s="5" t="s">
        <v>299</v>
      </c>
      <c r="F2787" s="9">
        <v>19</v>
      </c>
      <c r="G2787" s="9">
        <v>210</v>
      </c>
      <c r="H2787" s="5" t="s">
        <v>21</v>
      </c>
      <c r="I2787" s="5" t="s">
        <v>7148</v>
      </c>
      <c r="J2787" s="12" t="str">
        <f>HYPERLINK("https://www.boe.es/gazeta/dias/1802/03/05/pdfs/GMD-1802-19.pdf#page=10","Abrir facsímil")</f>
        <v>Abrir facsímil</v>
      </c>
      <c r="K2787" s="15" t="s">
        <v>23</v>
      </c>
    </row>
    <row r="2788" spans="1:11" ht="42" customHeight="1">
      <c r="A2788" s="4" t="s">
        <v>7149</v>
      </c>
      <c r="B2788" s="5" t="s">
        <v>7150</v>
      </c>
      <c r="C2788" s="5" t="s">
        <v>42</v>
      </c>
      <c r="D2788" s="5" t="s">
        <v>43</v>
      </c>
      <c r="E2788" s="5" t="s">
        <v>44</v>
      </c>
      <c r="F2788" s="9">
        <v>99</v>
      </c>
      <c r="G2788" s="9" t="s">
        <v>558</v>
      </c>
      <c r="H2788" s="5" t="s">
        <v>21</v>
      </c>
      <c r="I2788" s="5" t="s">
        <v>7151</v>
      </c>
      <c r="J2788" s="12" t="str">
        <f>HYPERLINK("https://www.boe.es/gazeta/dias/1802/12/07/pdfs/GMD-D-1802-99.pdf#page=1","Abrir facsímil")</f>
        <v>Abrir facsímil</v>
      </c>
      <c r="K2788" s="15" t="s">
        <v>23</v>
      </c>
    </row>
    <row r="2789" spans="1:11" ht="42" customHeight="1">
      <c r="A2789" s="4" t="s">
        <v>7152</v>
      </c>
      <c r="B2789" s="5" t="s">
        <v>7153</v>
      </c>
      <c r="C2789" s="5" t="s">
        <v>29</v>
      </c>
      <c r="D2789" s="5" t="s">
        <v>30</v>
      </c>
      <c r="E2789" s="5" t="s">
        <v>20</v>
      </c>
      <c r="F2789" s="9">
        <v>84</v>
      </c>
      <c r="G2789" s="9">
        <v>1042</v>
      </c>
      <c r="H2789" s="5" t="s">
        <v>21</v>
      </c>
      <c r="I2789" s="5" t="s">
        <v>7154</v>
      </c>
      <c r="J2789" s="12" t="str">
        <f>HYPERLINK("https://www.boe.es/gazeta/dias/1802/10/15/pdfs/GMD-1802-84.pdf#page=10","Abrir facsímil")</f>
        <v>Abrir facsímil</v>
      </c>
      <c r="K2789" s="15" t="s">
        <v>23</v>
      </c>
    </row>
    <row r="2790" spans="1:11" ht="42" customHeight="1">
      <c r="A2790" s="4" t="s">
        <v>7155</v>
      </c>
      <c r="B2790" s="5" t="s">
        <v>7156</v>
      </c>
      <c r="C2790" s="5" t="s">
        <v>55</v>
      </c>
      <c r="D2790" s="5" t="s">
        <v>56</v>
      </c>
      <c r="E2790" s="5" t="s">
        <v>99</v>
      </c>
      <c r="F2790" s="9">
        <v>86</v>
      </c>
      <c r="G2790" s="9">
        <v>1072</v>
      </c>
      <c r="H2790" s="5" t="s">
        <v>21</v>
      </c>
      <c r="I2790" s="5" t="s">
        <v>7157</v>
      </c>
      <c r="J2790" s="12" t="str">
        <f>HYPERLINK("https://www.boe.es/gazeta/dias/1802/10/22/pdfs/GMD-1802-86.pdf#page=12","Abrir facsímil")</f>
        <v>Abrir facsímil</v>
      </c>
      <c r="K2790" s="15" t="s">
        <v>23</v>
      </c>
    </row>
    <row r="2791" spans="1:11" ht="42" customHeight="1">
      <c r="A2791" s="4" t="s">
        <v>7158</v>
      </c>
      <c r="B2791" s="5" t="s">
        <v>7159</v>
      </c>
      <c r="C2791" s="5" t="s">
        <v>18</v>
      </c>
      <c r="D2791" s="5" t="s">
        <v>19</v>
      </c>
      <c r="E2791" s="5" t="s">
        <v>20</v>
      </c>
      <c r="F2791" s="9">
        <v>84</v>
      </c>
      <c r="G2791" s="9">
        <v>1040</v>
      </c>
      <c r="H2791" s="5" t="s">
        <v>21</v>
      </c>
      <c r="I2791" s="5" t="s">
        <v>7160</v>
      </c>
      <c r="J2791" s="12" t="str">
        <f>HYPERLINK("https://www.boe.es/gazeta/dias/1802/10/15/pdfs/GMD-1802-84.pdf#page=8","Abrir facsímil")</f>
        <v>Abrir facsímil</v>
      </c>
      <c r="K2791" s="15" t="s">
        <v>23</v>
      </c>
    </row>
    <row r="2792" spans="1:11" ht="42" customHeight="1">
      <c r="A2792" s="4" t="s">
        <v>7161</v>
      </c>
      <c r="B2792" s="5" t="s">
        <v>7162</v>
      </c>
      <c r="C2792" s="5" t="s">
        <v>29</v>
      </c>
      <c r="D2792" s="5" t="s">
        <v>30</v>
      </c>
      <c r="E2792" s="5" t="s">
        <v>192</v>
      </c>
      <c r="F2792" s="9">
        <v>53</v>
      </c>
      <c r="G2792" s="9">
        <v>642</v>
      </c>
      <c r="H2792" s="5" t="s">
        <v>21</v>
      </c>
      <c r="I2792" s="5" t="s">
        <v>7163</v>
      </c>
      <c r="J2792" s="12" t="str">
        <f>HYPERLINK("https://www.boe.es/gazeta/dias/1802/07/02/pdfs/GMD-1802-53.pdf#page=10","Abrir facsímil")</f>
        <v>Abrir facsímil</v>
      </c>
      <c r="K2792" s="15" t="s">
        <v>23</v>
      </c>
    </row>
    <row r="2793" spans="1:11" ht="42" customHeight="1">
      <c r="A2793" s="4" t="s">
        <v>7164</v>
      </c>
      <c r="B2793" s="5" t="s">
        <v>7165</v>
      </c>
      <c r="C2793" s="5" t="s">
        <v>29</v>
      </c>
      <c r="D2793" s="5" t="s">
        <v>30</v>
      </c>
      <c r="E2793" s="5" t="s">
        <v>491</v>
      </c>
      <c r="F2793" s="9">
        <v>57</v>
      </c>
      <c r="G2793" s="9">
        <v>689</v>
      </c>
      <c r="H2793" s="5" t="s">
        <v>21</v>
      </c>
      <c r="I2793" s="5" t="s">
        <v>7166</v>
      </c>
      <c r="J2793" s="12" t="str">
        <f>HYPERLINK("https://www.boe.es/gazeta/dias/1802/07/16/pdfs/GMD-1802-57.pdf#page=9","Abrir facsímil")</f>
        <v>Abrir facsímil</v>
      </c>
      <c r="K2793" s="15" t="s">
        <v>23</v>
      </c>
    </row>
    <row r="2794" spans="1:11" ht="42" customHeight="1">
      <c r="A2794" s="4" t="s">
        <v>7167</v>
      </c>
      <c r="B2794" s="5" t="s">
        <v>7168</v>
      </c>
      <c r="C2794" s="5" t="s">
        <v>18</v>
      </c>
      <c r="D2794" s="5" t="s">
        <v>19</v>
      </c>
      <c r="E2794" s="5" t="s">
        <v>49</v>
      </c>
      <c r="F2794" s="9">
        <v>83</v>
      </c>
      <c r="G2794" s="9">
        <v>1020</v>
      </c>
      <c r="H2794" s="5" t="s">
        <v>21</v>
      </c>
      <c r="I2794" s="5" t="s">
        <v>7169</v>
      </c>
      <c r="J2794" s="12" t="str">
        <f>HYPERLINK("https://www.boe.es/gazeta/dias/1802/10/12/pdfs/GMD-1802-83.pdf#page=8","Abrir facsímil")</f>
        <v>Abrir facsímil</v>
      </c>
      <c r="K2794" s="15" t="s">
        <v>23</v>
      </c>
    </row>
    <row r="2795" spans="1:11" ht="42" customHeight="1">
      <c r="A2795" s="4" t="s">
        <v>7167</v>
      </c>
      <c r="B2795" s="5" t="s">
        <v>7168</v>
      </c>
      <c r="C2795" s="5" t="s">
        <v>18</v>
      </c>
      <c r="D2795" s="5" t="s">
        <v>19</v>
      </c>
      <c r="E2795" s="5" t="s">
        <v>49</v>
      </c>
      <c r="F2795" s="9">
        <v>83</v>
      </c>
      <c r="G2795" s="9">
        <v>1025</v>
      </c>
      <c r="H2795" s="5" t="s">
        <v>21</v>
      </c>
      <c r="I2795" s="5" t="s">
        <v>7170</v>
      </c>
      <c r="J2795" s="12" t="str">
        <f>HYPERLINK("https://www.boe.es/gazeta/dias/1802/10/12/pdfs/GMD-1802-83.pdf#page=13","Abrir facsímil")</f>
        <v>Abrir facsímil</v>
      </c>
      <c r="K2795" s="15" t="s">
        <v>23</v>
      </c>
    </row>
    <row r="2796" spans="1:11" ht="42" customHeight="1">
      <c r="A2796" s="4" t="s">
        <v>7171</v>
      </c>
      <c r="B2796" s="5" t="s">
        <v>7172</v>
      </c>
      <c r="C2796" s="5" t="s">
        <v>18</v>
      </c>
      <c r="D2796" s="5" t="s">
        <v>19</v>
      </c>
      <c r="E2796" s="5" t="s">
        <v>49</v>
      </c>
      <c r="F2796" s="9">
        <v>83</v>
      </c>
      <c r="G2796" s="9">
        <v>1025</v>
      </c>
      <c r="H2796" s="5" t="s">
        <v>21</v>
      </c>
      <c r="I2796" s="5" t="s">
        <v>7173</v>
      </c>
      <c r="J2796" s="12" t="str">
        <f>HYPERLINK("https://www.boe.es/gazeta/dias/1802/10/12/pdfs/GMD-1802-83.pdf#page=13","Abrir facsímil")</f>
        <v>Abrir facsímil</v>
      </c>
      <c r="K2796" s="15" t="s">
        <v>23</v>
      </c>
    </row>
    <row r="2797" spans="1:11" ht="42" customHeight="1">
      <c r="A2797" s="4" t="s">
        <v>7174</v>
      </c>
      <c r="B2797" s="5" t="s">
        <v>7175</v>
      </c>
      <c r="C2797" s="5" t="s">
        <v>29</v>
      </c>
      <c r="D2797" s="5" t="s">
        <v>30</v>
      </c>
      <c r="E2797" s="5" t="s">
        <v>299</v>
      </c>
      <c r="F2797" s="9">
        <v>19</v>
      </c>
      <c r="G2797" s="9">
        <v>209</v>
      </c>
      <c r="H2797" s="5" t="s">
        <v>21</v>
      </c>
      <c r="I2797" s="5" t="s">
        <v>7176</v>
      </c>
      <c r="J2797" s="12" t="str">
        <f>HYPERLINK("https://www.boe.es/gazeta/dias/1802/03/05/pdfs/GMD-1802-19.pdf#page=9","Abrir facsímil")</f>
        <v>Abrir facsímil</v>
      </c>
      <c r="K2797" s="15" t="s">
        <v>23</v>
      </c>
    </row>
    <row r="2798" spans="1:11" ht="42" customHeight="1">
      <c r="A2798" s="4" t="s">
        <v>7177</v>
      </c>
      <c r="B2798" s="5" t="s">
        <v>7178</v>
      </c>
      <c r="C2798" s="5" t="s">
        <v>160</v>
      </c>
      <c r="D2798" s="5" t="s">
        <v>91</v>
      </c>
      <c r="E2798" s="5" t="s">
        <v>481</v>
      </c>
      <c r="F2798" s="9">
        <v>79</v>
      </c>
      <c r="G2798" s="9">
        <v>975</v>
      </c>
      <c r="H2798" s="5" t="s">
        <v>21</v>
      </c>
      <c r="I2798" s="5" t="s">
        <v>7179</v>
      </c>
      <c r="J2798" s="12" t="str">
        <f>HYPERLINK("https://www.boe.es/gazeta/dias/1802/09/28/pdfs/GMD-1802-79.pdf#page=11","Abrir facsímil")</f>
        <v>Abrir facsímil</v>
      </c>
      <c r="K2798" s="15" t="s">
        <v>23</v>
      </c>
    </row>
    <row r="2799" spans="1:11" ht="42" customHeight="1">
      <c r="A2799" s="4" t="s">
        <v>7180</v>
      </c>
      <c r="B2799" s="5" t="s">
        <v>7181</v>
      </c>
      <c r="C2799" s="5" t="s">
        <v>55</v>
      </c>
      <c r="D2799" s="5" t="s">
        <v>56</v>
      </c>
      <c r="E2799" s="5" t="s">
        <v>886</v>
      </c>
      <c r="F2799" s="9">
        <v>7</v>
      </c>
      <c r="G2799" s="9">
        <v>68</v>
      </c>
      <c r="H2799" s="5" t="s">
        <v>21</v>
      </c>
      <c r="I2799" s="5" t="s">
        <v>7182</v>
      </c>
      <c r="J2799" s="12" t="str">
        <f>HYPERLINK("https://www.boe.es/gazeta/dias/1802/01/22/pdfs/GMD-1802-7.pdf#page=8","Abrir facsímil")</f>
        <v>Abrir facsímil</v>
      </c>
      <c r="K2799" s="15" t="s">
        <v>23</v>
      </c>
    </row>
    <row r="2800" spans="1:11" ht="42" customHeight="1">
      <c r="A2800" s="4" t="s">
        <v>7183</v>
      </c>
      <c r="B2800" s="5" t="s">
        <v>7184</v>
      </c>
      <c r="C2800" s="5" t="s">
        <v>18</v>
      </c>
      <c r="D2800" s="5" t="s">
        <v>19</v>
      </c>
      <c r="E2800" s="5" t="s">
        <v>20</v>
      </c>
      <c r="F2800" s="9">
        <v>84</v>
      </c>
      <c r="G2800" s="9">
        <v>1040</v>
      </c>
      <c r="H2800" s="5" t="s">
        <v>21</v>
      </c>
      <c r="I2800" s="5" t="s">
        <v>7185</v>
      </c>
      <c r="J2800" s="12" t="str">
        <f>HYPERLINK("https://www.boe.es/gazeta/dias/1802/10/15/pdfs/GMD-1802-84.pdf#page=8","Abrir facsímil")</f>
        <v>Abrir facsímil</v>
      </c>
      <c r="K2800" s="15" t="s">
        <v>23</v>
      </c>
    </row>
    <row r="2801" spans="1:11" ht="42" customHeight="1">
      <c r="A2801" s="4" t="s">
        <v>7186</v>
      </c>
      <c r="B2801" s="5" t="s">
        <v>7187</v>
      </c>
      <c r="C2801" s="5" t="s">
        <v>18</v>
      </c>
      <c r="D2801" s="5" t="s">
        <v>19</v>
      </c>
      <c r="E2801" s="5" t="s">
        <v>826</v>
      </c>
      <c r="F2801" s="9">
        <v>67</v>
      </c>
      <c r="G2801" s="9">
        <v>819</v>
      </c>
      <c r="H2801" s="5" t="s">
        <v>21</v>
      </c>
      <c r="I2801" s="5" t="s">
        <v>7188</v>
      </c>
      <c r="J2801" s="12" t="str">
        <f>HYPERLINK("https://www.boe.es/gazeta/dias/1802/08/17/pdfs/GMD-1802-67.pdf#page=7","Abrir facsímil")</f>
        <v>Abrir facsímil</v>
      </c>
      <c r="K2801" s="15" t="s">
        <v>23</v>
      </c>
    </row>
    <row r="2802" spans="1:11" ht="42" customHeight="1">
      <c r="A2802" s="4" t="s">
        <v>7189</v>
      </c>
      <c r="B2802" s="5" t="s">
        <v>7190</v>
      </c>
      <c r="C2802" s="5" t="s">
        <v>55</v>
      </c>
      <c r="D2802" s="5" t="s">
        <v>56</v>
      </c>
      <c r="E2802" s="5" t="s">
        <v>328</v>
      </c>
      <c r="F2802" s="9">
        <v>45</v>
      </c>
      <c r="G2802" s="9">
        <v>547</v>
      </c>
      <c r="H2802" s="5" t="s">
        <v>21</v>
      </c>
      <c r="I2802" s="5" t="s">
        <v>7191</v>
      </c>
      <c r="J2802" s="12" t="str">
        <f>HYPERLINK("https://www.boe.es/gazeta/dias/1802/06/04/pdfs/GMD-1802-45.pdf#page=11","Abrir facsímil")</f>
        <v>Abrir facsímil</v>
      </c>
      <c r="K2802" s="15" t="s">
        <v>23</v>
      </c>
    </row>
    <row r="2803" spans="1:11" ht="42" customHeight="1">
      <c r="A2803" s="4" t="s">
        <v>7189</v>
      </c>
      <c r="B2803" s="5" t="s">
        <v>7190</v>
      </c>
      <c r="C2803" s="5" t="s">
        <v>55</v>
      </c>
      <c r="D2803" s="5" t="s">
        <v>56</v>
      </c>
      <c r="E2803" s="5" t="s">
        <v>57</v>
      </c>
      <c r="F2803" s="9">
        <v>54</v>
      </c>
      <c r="G2803" s="9">
        <v>656</v>
      </c>
      <c r="H2803" s="5" t="s">
        <v>21</v>
      </c>
      <c r="I2803" s="5" t="s">
        <v>7192</v>
      </c>
      <c r="J2803" s="12" t="str">
        <f>HYPERLINK("https://www.boe.es/gazeta/dias/1802/07/06/pdfs/GMD-1802-54.pdf#page=12","Abrir facsímil")</f>
        <v>Abrir facsímil</v>
      </c>
      <c r="K2803" s="15" t="s">
        <v>23</v>
      </c>
    </row>
    <row r="2804" spans="1:11" ht="42" customHeight="1">
      <c r="A2804" s="4" t="s">
        <v>7189</v>
      </c>
      <c r="B2804" s="5" t="s">
        <v>7190</v>
      </c>
      <c r="C2804" s="5" t="s">
        <v>55</v>
      </c>
      <c r="D2804" s="5" t="s">
        <v>56</v>
      </c>
      <c r="E2804" s="5" t="s">
        <v>481</v>
      </c>
      <c r="F2804" s="9">
        <v>79</v>
      </c>
      <c r="G2804" s="9">
        <v>976</v>
      </c>
      <c r="H2804" s="5" t="s">
        <v>21</v>
      </c>
      <c r="I2804" s="5" t="s">
        <v>7193</v>
      </c>
      <c r="J2804" s="12" t="str">
        <f>HYPERLINK("https://www.boe.es/gazeta/dias/1802/09/28/pdfs/GMD-1802-79.pdf#page=12","Abrir facsímil")</f>
        <v>Abrir facsímil</v>
      </c>
      <c r="K2804" s="15" t="s">
        <v>23</v>
      </c>
    </row>
    <row r="2805" spans="1:11" ht="42" customHeight="1">
      <c r="A2805" s="4" t="s">
        <v>7189</v>
      </c>
      <c r="B2805" s="5" t="s">
        <v>7190</v>
      </c>
      <c r="C2805" s="5" t="s">
        <v>18</v>
      </c>
      <c r="D2805" s="5" t="s">
        <v>19</v>
      </c>
      <c r="E2805" s="5" t="s">
        <v>389</v>
      </c>
      <c r="F2805" s="9">
        <v>96</v>
      </c>
      <c r="G2805" s="9">
        <v>1191</v>
      </c>
      <c r="H2805" s="5" t="s">
        <v>21</v>
      </c>
      <c r="I2805" s="5" t="s">
        <v>7194</v>
      </c>
      <c r="J2805" s="12" t="str">
        <f>HYPERLINK("https://www.boe.es/gazeta/dias/1802/11/26/pdfs/GMD-1802-96.pdf#page=11","Abrir facsímil")</f>
        <v>Abrir facsímil</v>
      </c>
      <c r="K2805" s="15" t="s">
        <v>23</v>
      </c>
    </row>
    <row r="2806" spans="1:11" ht="42" customHeight="1">
      <c r="A2806" s="4" t="s">
        <v>7195</v>
      </c>
      <c r="B2806" s="5" t="s">
        <v>7195</v>
      </c>
      <c r="C2806" s="5" t="s">
        <v>42</v>
      </c>
      <c r="D2806" s="5" t="s">
        <v>43</v>
      </c>
      <c r="E2806" s="5" t="s">
        <v>44</v>
      </c>
      <c r="F2806" s="9">
        <v>99</v>
      </c>
      <c r="G2806" s="9" t="s">
        <v>251</v>
      </c>
      <c r="H2806" s="5" t="s">
        <v>21</v>
      </c>
      <c r="I2806" s="5" t="s">
        <v>7196</v>
      </c>
      <c r="J2806" s="12" t="str">
        <f>HYPERLINK("https://www.boe.es/gazeta/dias/1802/12/07/pdfs/GMD-D-1802-99.pdf#page=6","Abrir facsímil")</f>
        <v>Abrir facsímil</v>
      </c>
      <c r="K2806" s="15" t="s">
        <v>23</v>
      </c>
    </row>
    <row r="2807" spans="1:11" ht="42" customHeight="1">
      <c r="A2807" s="4" t="s">
        <v>7197</v>
      </c>
      <c r="B2807" s="5" t="s">
        <v>7197</v>
      </c>
      <c r="C2807" s="5" t="s">
        <v>18</v>
      </c>
      <c r="D2807" s="5" t="s">
        <v>19</v>
      </c>
      <c r="E2807" s="5" t="s">
        <v>20</v>
      </c>
      <c r="F2807" s="9">
        <v>84</v>
      </c>
      <c r="G2807" s="9">
        <v>1040</v>
      </c>
      <c r="H2807" s="5" t="s">
        <v>21</v>
      </c>
      <c r="I2807" s="5" t="s">
        <v>7198</v>
      </c>
      <c r="J2807" s="12" t="str">
        <f>HYPERLINK("https://www.boe.es/gazeta/dias/1802/10/15/pdfs/GMD-1802-84.pdf#page=8","Abrir facsímil")</f>
        <v>Abrir facsímil</v>
      </c>
      <c r="K2807" s="15" t="s">
        <v>23</v>
      </c>
    </row>
    <row r="2808" spans="1:11" ht="42" customHeight="1">
      <c r="A2808" s="4" t="s">
        <v>7199</v>
      </c>
      <c r="B2808" s="5" t="s">
        <v>7199</v>
      </c>
      <c r="C2808" s="5" t="s">
        <v>42</v>
      </c>
      <c r="D2808" s="5" t="s">
        <v>43</v>
      </c>
      <c r="E2808" s="5" t="s">
        <v>44</v>
      </c>
      <c r="F2808" s="9">
        <v>99</v>
      </c>
      <c r="G2808" s="9" t="s">
        <v>548</v>
      </c>
      <c r="H2808" s="5" t="s">
        <v>21</v>
      </c>
      <c r="I2808" s="5" t="s">
        <v>7200</v>
      </c>
      <c r="J2808" s="12" t="str">
        <f>HYPERLINK("https://www.boe.es/gazeta/dias/1802/12/07/pdfs/GMD-D-1802-99.pdf#page=12","Abrir facsímil")</f>
        <v>Abrir facsímil</v>
      </c>
      <c r="K2808" s="15" t="s">
        <v>23</v>
      </c>
    </row>
    <row r="2809" spans="1:11" ht="42" customHeight="1">
      <c r="A2809" s="4" t="s">
        <v>7201</v>
      </c>
      <c r="B2809" s="5" t="s">
        <v>7202</v>
      </c>
      <c r="C2809" s="5" t="s">
        <v>42</v>
      </c>
      <c r="D2809" s="5" t="s">
        <v>43</v>
      </c>
      <c r="E2809" s="5" t="s">
        <v>44</v>
      </c>
      <c r="F2809" s="9">
        <v>99</v>
      </c>
      <c r="G2809" s="9" t="s">
        <v>544</v>
      </c>
      <c r="H2809" s="5" t="s">
        <v>21</v>
      </c>
      <c r="I2809" s="5" t="s">
        <v>7203</v>
      </c>
      <c r="J2809" s="12" t="str">
        <f>HYPERLINK("https://www.boe.es/gazeta/dias/1802/12/07/pdfs/GMD-D-1802-99.pdf#page=11","Abrir facsímil")</f>
        <v>Abrir facsímil</v>
      </c>
      <c r="K2809" s="15" t="s">
        <v>23</v>
      </c>
    </row>
    <row r="2810" spans="1:11" ht="42" customHeight="1">
      <c r="A2810" s="4" t="s">
        <v>7204</v>
      </c>
      <c r="B2810" s="5" t="s">
        <v>7205</v>
      </c>
      <c r="C2810" s="5" t="s">
        <v>42</v>
      </c>
      <c r="D2810" s="5" t="s">
        <v>43</v>
      </c>
      <c r="E2810" s="5" t="s">
        <v>44</v>
      </c>
      <c r="F2810" s="9">
        <v>99</v>
      </c>
      <c r="G2810" s="9" t="s">
        <v>262</v>
      </c>
      <c r="H2810" s="5" t="s">
        <v>21</v>
      </c>
      <c r="I2810" s="5" t="s">
        <v>7206</v>
      </c>
      <c r="J2810" s="12" t="str">
        <f>HYPERLINK("https://www.boe.es/gazeta/dias/1802/12/07/pdfs/GMD-D-1802-99.pdf#page=8","Abrir facsímil")</f>
        <v>Abrir facsímil</v>
      </c>
      <c r="K2810" s="15" t="s">
        <v>23</v>
      </c>
    </row>
    <row r="2811" spans="1:11" ht="42" customHeight="1">
      <c r="A2811" s="4" t="s">
        <v>7207</v>
      </c>
      <c r="B2811" s="5" t="s">
        <v>7208</v>
      </c>
      <c r="C2811" s="5" t="s">
        <v>160</v>
      </c>
      <c r="D2811" s="5" t="s">
        <v>91</v>
      </c>
      <c r="E2811" s="5" t="s">
        <v>481</v>
      </c>
      <c r="F2811" s="9">
        <v>79</v>
      </c>
      <c r="G2811" s="9">
        <v>975</v>
      </c>
      <c r="H2811" s="5" t="s">
        <v>21</v>
      </c>
      <c r="I2811" s="5" t="s">
        <v>7209</v>
      </c>
      <c r="J2811" s="12" t="str">
        <f>HYPERLINK("https://www.boe.es/gazeta/dias/1802/09/28/pdfs/GMD-1802-79.pdf#page=11","Abrir facsímil")</f>
        <v>Abrir facsímil</v>
      </c>
      <c r="K2811" s="15" t="s">
        <v>23</v>
      </c>
    </row>
    <row r="2812" spans="1:11" ht="42" customHeight="1">
      <c r="A2812" s="4" t="s">
        <v>7210</v>
      </c>
      <c r="B2812" s="5" t="s">
        <v>7211</v>
      </c>
      <c r="C2812" s="5" t="s">
        <v>29</v>
      </c>
      <c r="D2812" s="5" t="s">
        <v>30</v>
      </c>
      <c r="E2812" s="5" t="s">
        <v>175</v>
      </c>
      <c r="F2812" s="9">
        <v>37</v>
      </c>
      <c r="G2812" s="9">
        <v>442</v>
      </c>
      <c r="H2812" s="5" t="s">
        <v>21</v>
      </c>
      <c r="I2812" s="5" t="s">
        <v>7212</v>
      </c>
      <c r="J2812" s="12" t="str">
        <f>HYPERLINK("https://www.boe.es/gazeta/dias/1802/05/07/pdfs/GMD-1802-37.pdf#page=10","Abrir facsímil")</f>
        <v>Abrir facsímil</v>
      </c>
      <c r="K2812" s="15" t="s">
        <v>23</v>
      </c>
    </row>
    <row r="2813" spans="1:11" ht="42" customHeight="1">
      <c r="A2813" s="4" t="s">
        <v>7213</v>
      </c>
      <c r="B2813" s="5" t="s">
        <v>7214</v>
      </c>
      <c r="C2813" s="5" t="s">
        <v>18</v>
      </c>
      <c r="D2813" s="5" t="s">
        <v>19</v>
      </c>
      <c r="E2813" s="5" t="s">
        <v>152</v>
      </c>
      <c r="F2813" s="9">
        <v>25</v>
      </c>
      <c r="G2813" s="9">
        <v>284</v>
      </c>
      <c r="H2813" s="5" t="s">
        <v>21</v>
      </c>
      <c r="I2813" s="5" t="s">
        <v>7215</v>
      </c>
      <c r="J2813" s="12" t="str">
        <f>HYPERLINK("https://www.boe.es/gazeta/dias/1802/03/26/pdfs/GMD-1802-25.pdf#page=8","Abrir facsímil")</f>
        <v>Abrir facsímil</v>
      </c>
      <c r="K2813" s="15" t="s">
        <v>23</v>
      </c>
    </row>
    <row r="2814" spans="1:11" ht="42" customHeight="1">
      <c r="A2814" s="4" t="s">
        <v>7213</v>
      </c>
      <c r="B2814" s="5" t="s">
        <v>7214</v>
      </c>
      <c r="C2814" s="5" t="s">
        <v>35</v>
      </c>
      <c r="D2814" s="5" t="s">
        <v>36</v>
      </c>
      <c r="E2814" s="5" t="s">
        <v>148</v>
      </c>
      <c r="F2814" s="9">
        <v>66</v>
      </c>
      <c r="G2814" s="9">
        <v>808</v>
      </c>
      <c r="H2814" s="5" t="s">
        <v>21</v>
      </c>
      <c r="I2814" s="5" t="s">
        <v>7216</v>
      </c>
      <c r="J2814" s="12" t="str">
        <f>HYPERLINK("https://www.boe.es/gazeta/dias/1802/08/13/pdfs/GMD-1802-66.pdf#page=12","Abrir facsímil")</f>
        <v>Abrir facsímil</v>
      </c>
      <c r="K2814" s="15" t="s">
        <v>23</v>
      </c>
    </row>
    <row r="2815" spans="1:11" ht="42" customHeight="1">
      <c r="A2815" s="4" t="s">
        <v>7217</v>
      </c>
      <c r="B2815" s="5" t="s">
        <v>7218</v>
      </c>
      <c r="C2815" s="5" t="s">
        <v>29</v>
      </c>
      <c r="D2815" s="5" t="s">
        <v>30</v>
      </c>
      <c r="E2815" s="5" t="s">
        <v>823</v>
      </c>
      <c r="F2815" s="9">
        <v>94</v>
      </c>
      <c r="G2815" s="9">
        <v>1154</v>
      </c>
      <c r="H2815" s="5" t="s">
        <v>21</v>
      </c>
      <c r="I2815" s="5" t="s">
        <v>7219</v>
      </c>
      <c r="J2815" s="12" t="str">
        <f>HYPERLINK("https://www.boe.es/gazeta/dias/1802/11/19/pdfs/GMD-1802-94.pdf#page=2","Abrir facsímil")</f>
        <v>Abrir facsímil</v>
      </c>
      <c r="K2815" s="15" t="s">
        <v>23</v>
      </c>
    </row>
    <row r="2816" spans="1:11" ht="42" customHeight="1">
      <c r="A2816" s="4" t="s">
        <v>7220</v>
      </c>
      <c r="B2816" s="5" t="s">
        <v>7221</v>
      </c>
      <c r="C2816" s="5" t="s">
        <v>29</v>
      </c>
      <c r="D2816" s="5" t="s">
        <v>30</v>
      </c>
      <c r="E2816" s="5" t="s">
        <v>678</v>
      </c>
      <c r="F2816" s="9">
        <v>15</v>
      </c>
      <c r="G2816" s="9">
        <v>158</v>
      </c>
      <c r="H2816" s="5" t="s">
        <v>21</v>
      </c>
      <c r="I2816" s="5" t="s">
        <v>7222</v>
      </c>
      <c r="J2816" s="12" t="str">
        <f>HYPERLINK("https://www.boe.es/gazeta/dias/1802/02/19/pdfs/GMD-1802-15.pdf#page=10","Abrir facsímil")</f>
        <v>Abrir facsímil</v>
      </c>
      <c r="K2816" s="15" t="s">
        <v>23</v>
      </c>
    </row>
    <row r="2817" spans="1:11" ht="42" customHeight="1">
      <c r="A2817" s="4" t="s">
        <v>7223</v>
      </c>
      <c r="B2817" s="5" t="s">
        <v>7224</v>
      </c>
      <c r="C2817" s="5" t="s">
        <v>29</v>
      </c>
      <c r="D2817" s="5" t="s">
        <v>30</v>
      </c>
      <c r="E2817" s="5" t="s">
        <v>1097</v>
      </c>
      <c r="F2817" s="9">
        <v>20</v>
      </c>
      <c r="G2817" s="9">
        <v>222</v>
      </c>
      <c r="H2817" s="5" t="s">
        <v>21</v>
      </c>
      <c r="I2817" s="5" t="s">
        <v>7225</v>
      </c>
      <c r="J2817" s="12" t="str">
        <f>HYPERLINK("https://www.boe.es/gazeta/dias/1802/03/09/pdfs/GMD-1802-20.pdf#page=10","Abrir facsímil")</f>
        <v>Abrir facsímil</v>
      </c>
      <c r="K2817" s="15" t="s">
        <v>23</v>
      </c>
    </row>
    <row r="2818" spans="1:11" ht="42" customHeight="1">
      <c r="A2818" s="4" t="s">
        <v>7226</v>
      </c>
      <c r="B2818" s="5" t="s">
        <v>7226</v>
      </c>
      <c r="C2818" s="5" t="s">
        <v>42</v>
      </c>
      <c r="D2818" s="5" t="s">
        <v>43</v>
      </c>
      <c r="E2818" s="5" t="s">
        <v>44</v>
      </c>
      <c r="F2818" s="9">
        <v>99</v>
      </c>
      <c r="G2818" s="9" t="s">
        <v>272</v>
      </c>
      <c r="H2818" s="5" t="s">
        <v>21</v>
      </c>
      <c r="I2818" s="5" t="s">
        <v>7227</v>
      </c>
      <c r="J2818" s="12" t="str">
        <f>HYPERLINK("https://www.boe.es/gazeta/dias/1802/12/07/pdfs/GMD-D-1802-99.pdf#page=3","Abrir facsímil")</f>
        <v>Abrir facsímil</v>
      </c>
      <c r="K2818" s="15" t="s">
        <v>23</v>
      </c>
    </row>
    <row r="2819" spans="1:11" ht="42" customHeight="1">
      <c r="A2819" s="4" t="s">
        <v>7228</v>
      </c>
      <c r="B2819" s="5" t="s">
        <v>7228</v>
      </c>
      <c r="C2819" s="5" t="s">
        <v>42</v>
      </c>
      <c r="D2819" s="5" t="s">
        <v>43</v>
      </c>
      <c r="E2819" s="5" t="s">
        <v>44</v>
      </c>
      <c r="F2819" s="9">
        <v>99</v>
      </c>
      <c r="G2819" s="9" t="s">
        <v>779</v>
      </c>
      <c r="H2819" s="5" t="s">
        <v>21</v>
      </c>
      <c r="I2819" s="5" t="s">
        <v>7229</v>
      </c>
      <c r="J2819" s="12" t="str">
        <f>HYPERLINK("https://www.boe.es/gazeta/dias/1802/12/07/pdfs/GMD-D-1802-99.pdf#page=13","Abrir facsímil")</f>
        <v>Abrir facsímil</v>
      </c>
      <c r="K2819" s="15" t="s">
        <v>23</v>
      </c>
    </row>
    <row r="2820" spans="1:11" ht="42" customHeight="1">
      <c r="A2820" s="4" t="s">
        <v>7230</v>
      </c>
      <c r="B2820" s="5" t="s">
        <v>7230</v>
      </c>
      <c r="C2820" s="5" t="s">
        <v>160</v>
      </c>
      <c r="D2820" s="5" t="s">
        <v>91</v>
      </c>
      <c r="E2820" s="5" t="s">
        <v>146</v>
      </c>
      <c r="F2820" s="9">
        <v>42</v>
      </c>
      <c r="G2820" s="9">
        <v>506</v>
      </c>
      <c r="H2820" s="5" t="s">
        <v>21</v>
      </c>
      <c r="I2820" s="5" t="s">
        <v>7231</v>
      </c>
      <c r="J2820" s="12" t="str">
        <f>HYPERLINK("https://www.boe.es/gazeta/dias/1802/05/25/pdfs/GMD-1802-42.pdf#page=10","Abrir facsímil")</f>
        <v>Abrir facsímil</v>
      </c>
      <c r="K2820" s="15" t="s">
        <v>23</v>
      </c>
    </row>
    <row r="2821" spans="1:11" ht="42" customHeight="1">
      <c r="A2821" s="4" t="s">
        <v>7232</v>
      </c>
      <c r="B2821" s="5" t="s">
        <v>7232</v>
      </c>
      <c r="C2821" s="5" t="s">
        <v>29</v>
      </c>
      <c r="D2821" s="5" t="s">
        <v>30</v>
      </c>
      <c r="E2821" s="5" t="s">
        <v>219</v>
      </c>
      <c r="F2821" s="9">
        <v>81</v>
      </c>
      <c r="G2821" s="9">
        <v>999</v>
      </c>
      <c r="H2821" s="5" t="s">
        <v>21</v>
      </c>
      <c r="I2821" s="5" t="s">
        <v>7233</v>
      </c>
      <c r="J2821" s="12" t="str">
        <f>HYPERLINK("https://www.boe.es/gazeta/dias/1802/10/05/pdfs/GMD-1802-81.pdf#page=11","Abrir facsímil")</f>
        <v>Abrir facsímil</v>
      </c>
      <c r="K2821" s="15" t="s">
        <v>23</v>
      </c>
    </row>
    <row r="2822" spans="1:11" ht="42" customHeight="1">
      <c r="A2822" s="4" t="s">
        <v>7234</v>
      </c>
      <c r="B2822" s="5" t="s">
        <v>7234</v>
      </c>
      <c r="C2822" s="5" t="s">
        <v>29</v>
      </c>
      <c r="D2822" s="5" t="s">
        <v>30</v>
      </c>
      <c r="E2822" s="5" t="s">
        <v>86</v>
      </c>
      <c r="F2822" s="9">
        <v>26</v>
      </c>
      <c r="G2822" s="9">
        <v>298</v>
      </c>
      <c r="H2822" s="5" t="s">
        <v>21</v>
      </c>
      <c r="I2822" s="5" t="s">
        <v>7235</v>
      </c>
      <c r="J2822" s="12" t="str">
        <f>HYPERLINK("https://www.boe.es/gazeta/dias/1802/03/30/pdfs/GMD-1802-26.pdf#page=10","Abrir facsímil")</f>
        <v>Abrir facsímil</v>
      </c>
      <c r="K2822" s="15" t="s">
        <v>23</v>
      </c>
    </row>
    <row r="2823" spans="1:11" ht="42" customHeight="1">
      <c r="A2823" s="4" t="s">
        <v>7236</v>
      </c>
      <c r="B2823" s="5" t="s">
        <v>7236</v>
      </c>
      <c r="C2823" s="5" t="s">
        <v>18</v>
      </c>
      <c r="D2823" s="5" t="s">
        <v>19</v>
      </c>
      <c r="E2823" s="5" t="s">
        <v>49</v>
      </c>
      <c r="F2823" s="9">
        <v>83</v>
      </c>
      <c r="G2823" s="9">
        <v>1022</v>
      </c>
      <c r="H2823" s="5" t="s">
        <v>21</v>
      </c>
      <c r="I2823" s="5" t="s">
        <v>7237</v>
      </c>
      <c r="J2823" s="12" t="str">
        <f>HYPERLINK("https://www.boe.es/gazeta/dias/1802/10/12/pdfs/GMD-1802-83.pdf#page=10","Abrir facsímil")</f>
        <v>Abrir facsímil</v>
      </c>
      <c r="K2823" s="15" t="s">
        <v>23</v>
      </c>
    </row>
    <row r="2824" spans="1:11" ht="42" customHeight="1">
      <c r="A2824" s="4" t="s">
        <v>7238</v>
      </c>
      <c r="B2824" s="5" t="s">
        <v>7238</v>
      </c>
      <c r="C2824" s="5" t="s">
        <v>29</v>
      </c>
      <c r="D2824" s="5" t="s">
        <v>30</v>
      </c>
      <c r="E2824" s="5" t="s">
        <v>152</v>
      </c>
      <c r="F2824" s="9">
        <v>25</v>
      </c>
      <c r="G2824" s="9">
        <v>286</v>
      </c>
      <c r="H2824" s="5" t="s">
        <v>21</v>
      </c>
      <c r="I2824" s="5" t="s">
        <v>7239</v>
      </c>
      <c r="J2824" s="12" t="str">
        <f>HYPERLINK("https://www.boe.es/gazeta/dias/1802/03/26/pdfs/GMD-1802-25.pdf#page=10","Abrir facsímil")</f>
        <v>Abrir facsímil</v>
      </c>
      <c r="K2824" s="15" t="s">
        <v>23</v>
      </c>
    </row>
    <row r="2825" spans="1:11" ht="42" customHeight="1">
      <c r="A2825" s="4" t="s">
        <v>7240</v>
      </c>
      <c r="B2825" s="5" t="s">
        <v>7240</v>
      </c>
      <c r="C2825" s="5" t="s">
        <v>29</v>
      </c>
      <c r="D2825" s="5" t="s">
        <v>30</v>
      </c>
      <c r="E2825" s="5" t="s">
        <v>57</v>
      </c>
      <c r="F2825" s="9">
        <v>54</v>
      </c>
      <c r="G2825" s="9">
        <v>653</v>
      </c>
      <c r="H2825" s="5" t="s">
        <v>21</v>
      </c>
      <c r="I2825" s="5" t="s">
        <v>7241</v>
      </c>
      <c r="J2825" s="12" t="str">
        <f>HYPERLINK("https://www.boe.es/gazeta/dias/1802/07/06/pdfs/GMD-1802-54.pdf#page=9","Abrir facsímil")</f>
        <v>Abrir facsímil</v>
      </c>
      <c r="K2825" s="15" t="s">
        <v>23</v>
      </c>
    </row>
    <row r="2826" spans="1:11" ht="42" customHeight="1">
      <c r="A2826" s="4" t="s">
        <v>7242</v>
      </c>
      <c r="B2826" s="5" t="s">
        <v>7242</v>
      </c>
      <c r="C2826" s="5" t="s">
        <v>42</v>
      </c>
      <c r="D2826" s="5" t="s">
        <v>43</v>
      </c>
      <c r="E2826" s="5" t="s">
        <v>44</v>
      </c>
      <c r="F2826" s="9">
        <v>99</v>
      </c>
      <c r="G2826" s="9" t="s">
        <v>779</v>
      </c>
      <c r="H2826" s="5" t="s">
        <v>21</v>
      </c>
      <c r="I2826" s="5" t="s">
        <v>7243</v>
      </c>
      <c r="J2826" s="12" t="str">
        <f>HYPERLINK("https://www.boe.es/gazeta/dias/1802/12/07/pdfs/GMD-D-1802-99.pdf#page=13","Abrir facsímil")</f>
        <v>Abrir facsímil</v>
      </c>
      <c r="K2826" s="15" t="s">
        <v>23</v>
      </c>
    </row>
    <row r="2827" spans="1:11" ht="42" customHeight="1">
      <c r="A2827" s="4" t="s">
        <v>7244</v>
      </c>
      <c r="B2827" s="5" t="s">
        <v>7244</v>
      </c>
      <c r="C2827" s="5" t="s">
        <v>29</v>
      </c>
      <c r="D2827" s="5" t="s">
        <v>30</v>
      </c>
      <c r="E2827" s="5" t="s">
        <v>299</v>
      </c>
      <c r="F2827" s="9">
        <v>19</v>
      </c>
      <c r="G2827" s="9">
        <v>211</v>
      </c>
      <c r="H2827" s="5" t="s">
        <v>21</v>
      </c>
      <c r="I2827" s="5" t="s">
        <v>7245</v>
      </c>
      <c r="J2827" s="12" t="str">
        <f>HYPERLINK("https://www.boe.es/gazeta/dias/1802/03/05/pdfs/GMD-1802-19.pdf#page=11","Abrir facsímil")</f>
        <v>Abrir facsímil</v>
      </c>
      <c r="K2827" s="15" t="s">
        <v>23</v>
      </c>
    </row>
    <row r="2828" spans="1:11" ht="42" customHeight="1">
      <c r="A2828" s="4" t="s">
        <v>7246</v>
      </c>
      <c r="B2828" s="5" t="s">
        <v>7246</v>
      </c>
      <c r="C2828" s="5" t="s">
        <v>29</v>
      </c>
      <c r="D2828" s="5" t="s">
        <v>30</v>
      </c>
      <c r="E2828" s="5" t="s">
        <v>146</v>
      </c>
      <c r="F2828" s="9">
        <v>42</v>
      </c>
      <c r="G2828" s="9">
        <v>504</v>
      </c>
      <c r="H2828" s="5" t="s">
        <v>21</v>
      </c>
      <c r="I2828" s="5" t="s">
        <v>7247</v>
      </c>
      <c r="J2828" s="12" t="str">
        <f>HYPERLINK("https://www.boe.es/gazeta/dias/1802/05/25/pdfs/GMD-1802-42.pdf#page=8","Abrir facsímil")</f>
        <v>Abrir facsímil</v>
      </c>
      <c r="K2828" s="15" t="s">
        <v>23</v>
      </c>
    </row>
    <row r="2829" spans="1:11" ht="42" customHeight="1">
      <c r="A2829" s="4" t="s">
        <v>7248</v>
      </c>
      <c r="B2829" s="5" t="s">
        <v>7249</v>
      </c>
      <c r="C2829" s="5" t="s">
        <v>35</v>
      </c>
      <c r="D2829" s="5" t="s">
        <v>36</v>
      </c>
      <c r="E2829" s="5" t="s">
        <v>128</v>
      </c>
      <c r="F2829" s="9">
        <v>9</v>
      </c>
      <c r="G2829" s="9">
        <v>82</v>
      </c>
      <c r="H2829" s="5" t="s">
        <v>21</v>
      </c>
      <c r="I2829" s="5" t="s">
        <v>7250</v>
      </c>
      <c r="J2829" s="12" t="str">
        <f>HYPERLINK("https://www.boe.es/gazeta/dias/1802/01/29/pdfs/GMD-1802-9.pdf#page=2","Abrir facsímil")</f>
        <v>Abrir facsímil</v>
      </c>
      <c r="K2829" s="15" t="s">
        <v>23</v>
      </c>
    </row>
    <row r="2830" spans="1:11" ht="42" customHeight="1">
      <c r="A2830" s="4" t="s">
        <v>7251</v>
      </c>
      <c r="B2830" s="5" t="s">
        <v>7251</v>
      </c>
      <c r="C2830" s="5" t="s">
        <v>18</v>
      </c>
      <c r="D2830" s="5" t="s">
        <v>19</v>
      </c>
      <c r="E2830" s="5" t="s">
        <v>20</v>
      </c>
      <c r="F2830" s="9">
        <v>84</v>
      </c>
      <c r="G2830" s="9">
        <v>1045</v>
      </c>
      <c r="H2830" s="5" t="s">
        <v>21</v>
      </c>
      <c r="I2830" s="5" t="s">
        <v>7252</v>
      </c>
      <c r="J2830" s="12" t="str">
        <f>HYPERLINK("https://www.boe.es/gazeta/dias/1802/10/15/pdfs/GMD-1802-84.pdf#page=13","Abrir facsímil")</f>
        <v>Abrir facsímil</v>
      </c>
      <c r="K2830" s="15" t="s">
        <v>23</v>
      </c>
    </row>
    <row r="2831" spans="1:11" ht="42" customHeight="1">
      <c r="A2831" s="4" t="s">
        <v>7253</v>
      </c>
      <c r="B2831" s="5" t="s">
        <v>7253</v>
      </c>
      <c r="C2831" s="5" t="s">
        <v>29</v>
      </c>
      <c r="D2831" s="5" t="s">
        <v>30</v>
      </c>
      <c r="E2831" s="5" t="s">
        <v>49</v>
      </c>
      <c r="F2831" s="9">
        <v>83</v>
      </c>
      <c r="G2831" s="9">
        <v>1021</v>
      </c>
      <c r="H2831" s="5" t="s">
        <v>21</v>
      </c>
      <c r="I2831" s="5" t="s">
        <v>7254</v>
      </c>
      <c r="J2831" s="12" t="str">
        <f>HYPERLINK("https://www.boe.es/gazeta/dias/1802/10/12/pdfs/GMD-1802-83.pdf#page=9","Abrir facsímil")</f>
        <v>Abrir facsímil</v>
      </c>
      <c r="K2831" s="15" t="s">
        <v>23</v>
      </c>
    </row>
    <row r="2832" spans="1:11" ht="42" customHeight="1">
      <c r="A2832" s="4" t="s">
        <v>7255</v>
      </c>
      <c r="B2832" s="5" t="s">
        <v>7255</v>
      </c>
      <c r="C2832" s="5" t="s">
        <v>18</v>
      </c>
      <c r="D2832" s="5" t="s">
        <v>19</v>
      </c>
      <c r="E2832" s="5" t="s">
        <v>20</v>
      </c>
      <c r="F2832" s="9">
        <v>84</v>
      </c>
      <c r="G2832" s="9">
        <v>1046</v>
      </c>
      <c r="H2832" s="5" t="s">
        <v>21</v>
      </c>
      <c r="I2832" s="5" t="s">
        <v>7256</v>
      </c>
      <c r="J2832" s="12" t="str">
        <f>HYPERLINK("https://www.boe.es/gazeta/dias/1802/10/15/pdfs/GMD-1802-84.pdf#page=14","Abrir facsímil")</f>
        <v>Abrir facsímil</v>
      </c>
      <c r="K2832" s="15" t="s">
        <v>23</v>
      </c>
    </row>
    <row r="2833" spans="1:11" ht="42" customHeight="1">
      <c r="A2833" s="4" t="s">
        <v>7257</v>
      </c>
      <c r="B2833" s="5" t="s">
        <v>7257</v>
      </c>
      <c r="C2833" s="5" t="s">
        <v>42</v>
      </c>
      <c r="D2833" s="5" t="s">
        <v>43</v>
      </c>
      <c r="E2833" s="5" t="s">
        <v>44</v>
      </c>
      <c r="F2833" s="9">
        <v>99</v>
      </c>
      <c r="G2833" s="9" t="s">
        <v>548</v>
      </c>
      <c r="H2833" s="5" t="s">
        <v>21</v>
      </c>
      <c r="I2833" s="5" t="s">
        <v>7258</v>
      </c>
      <c r="J2833" s="12" t="str">
        <f>HYPERLINK("https://www.boe.es/gazeta/dias/1802/12/07/pdfs/GMD-D-1802-99.pdf#page=12","Abrir facsímil")</f>
        <v>Abrir facsímil</v>
      </c>
      <c r="K2833" s="15" t="s">
        <v>23</v>
      </c>
    </row>
    <row r="2834" spans="1:11" ht="42" customHeight="1">
      <c r="A2834" s="4" t="s">
        <v>7259</v>
      </c>
      <c r="B2834" s="5" t="s">
        <v>7259</v>
      </c>
      <c r="C2834" s="5" t="s">
        <v>29</v>
      </c>
      <c r="D2834" s="5" t="s">
        <v>30</v>
      </c>
      <c r="E2834" s="5" t="s">
        <v>381</v>
      </c>
      <c r="F2834" s="9">
        <v>13</v>
      </c>
      <c r="G2834" s="9">
        <v>130</v>
      </c>
      <c r="H2834" s="5" t="s">
        <v>21</v>
      </c>
      <c r="I2834" s="5" t="s">
        <v>7260</v>
      </c>
      <c r="J2834" s="12" t="str">
        <f>HYPERLINK("https://www.boe.es/gazeta/dias/1802/02/12/pdfs/GMD-1802-13.pdf#page=6","Abrir facsímil")</f>
        <v>Abrir facsímil</v>
      </c>
      <c r="K2834" s="15" t="s">
        <v>23</v>
      </c>
    </row>
    <row r="2835" spans="1:11" ht="42" customHeight="1">
      <c r="A2835" s="4" t="s">
        <v>7261</v>
      </c>
      <c r="B2835" s="5" t="s">
        <v>7261</v>
      </c>
      <c r="C2835" s="5" t="s">
        <v>18</v>
      </c>
      <c r="D2835" s="5" t="s">
        <v>19</v>
      </c>
      <c r="E2835" s="5" t="s">
        <v>900</v>
      </c>
      <c r="F2835" s="9">
        <v>16</v>
      </c>
      <c r="G2835" s="9">
        <v>169</v>
      </c>
      <c r="H2835" s="5" t="s">
        <v>21</v>
      </c>
      <c r="I2835" s="5" t="s">
        <v>7262</v>
      </c>
      <c r="J2835" s="12" t="str">
        <f>HYPERLINK("https://www.boe.es/gazeta/dias/1802/02/23/pdfs/GMD-1802-16.pdf#page=9","Abrir facsímil")</f>
        <v>Abrir facsímil</v>
      </c>
      <c r="K2835" s="15" t="s">
        <v>23</v>
      </c>
    </row>
    <row r="2836" spans="1:11" ht="42" customHeight="1">
      <c r="A2836" s="4" t="s">
        <v>7263</v>
      </c>
      <c r="B2836" s="5" t="s">
        <v>7263</v>
      </c>
      <c r="C2836" s="5" t="s">
        <v>18</v>
      </c>
      <c r="D2836" s="5" t="s">
        <v>19</v>
      </c>
      <c r="E2836" s="5" t="s">
        <v>764</v>
      </c>
      <c r="F2836" s="9">
        <v>69</v>
      </c>
      <c r="G2836" s="9">
        <v>849</v>
      </c>
      <c r="H2836" s="5" t="s">
        <v>21</v>
      </c>
      <c r="I2836" s="5" t="s">
        <v>7264</v>
      </c>
      <c r="J2836" s="12" t="str">
        <f>HYPERLINK("https://www.boe.es/gazeta/dias/1802/08/24/pdfs/GMD-1802-69.pdf#page=9","Abrir facsímil")</f>
        <v>Abrir facsímil</v>
      </c>
      <c r="K2836" s="15" t="s">
        <v>23</v>
      </c>
    </row>
    <row r="2837" spans="1:11" ht="42" customHeight="1">
      <c r="A2837" s="4" t="s">
        <v>7265</v>
      </c>
      <c r="B2837" s="5" t="s">
        <v>7265</v>
      </c>
      <c r="C2837" s="5" t="s">
        <v>42</v>
      </c>
      <c r="D2837" s="5" t="s">
        <v>43</v>
      </c>
      <c r="E2837" s="5" t="s">
        <v>44</v>
      </c>
      <c r="F2837" s="9">
        <v>99</v>
      </c>
      <c r="G2837" s="9" t="s">
        <v>314</v>
      </c>
      <c r="H2837" s="5" t="s">
        <v>21</v>
      </c>
      <c r="I2837" s="5" t="s">
        <v>7266</v>
      </c>
      <c r="J2837" s="12" t="str">
        <f>HYPERLINK("https://www.boe.es/gazeta/dias/1802/12/07/pdfs/GMD-D-1802-99.pdf#page=2","Abrir facsímil")</f>
        <v>Abrir facsímil</v>
      </c>
      <c r="K2837" s="15" t="s">
        <v>23</v>
      </c>
    </row>
    <row r="2838" spans="1:11" ht="42" customHeight="1">
      <c r="A2838" s="4" t="s">
        <v>7267</v>
      </c>
      <c r="B2838" s="5" t="s">
        <v>7267</v>
      </c>
      <c r="C2838" s="5" t="s">
        <v>90</v>
      </c>
      <c r="D2838" s="5" t="s">
        <v>91</v>
      </c>
      <c r="E2838" s="5" t="s">
        <v>389</v>
      </c>
      <c r="F2838" s="9">
        <v>96</v>
      </c>
      <c r="G2838" s="9">
        <v>1189</v>
      </c>
      <c r="H2838" s="5" t="s">
        <v>21</v>
      </c>
      <c r="I2838" s="5" t="s">
        <v>7268</v>
      </c>
      <c r="J2838" s="12" t="str">
        <f>HYPERLINK("https://www.boe.es/gazeta/dias/1802/11/26/pdfs/GMD-1802-96.pdf#page=9","Abrir facsímil")</f>
        <v>Abrir facsímil</v>
      </c>
      <c r="K2838" s="15" t="s">
        <v>23</v>
      </c>
    </row>
    <row r="2839" spans="1:11" ht="42" customHeight="1">
      <c r="A2839" s="4" t="s">
        <v>7269</v>
      </c>
      <c r="B2839" s="5" t="s">
        <v>7270</v>
      </c>
      <c r="C2839" s="5" t="s">
        <v>572</v>
      </c>
      <c r="D2839" s="5" t="s">
        <v>573</v>
      </c>
      <c r="E2839" s="5" t="s">
        <v>574</v>
      </c>
      <c r="F2839" s="9" t="s">
        <v>575</v>
      </c>
      <c r="G2839" s="9">
        <v>710</v>
      </c>
      <c r="H2839" s="5" t="s">
        <v>21</v>
      </c>
      <c r="I2839" s="5" t="s">
        <v>7271</v>
      </c>
      <c r="J2839" s="12" t="str">
        <f>HYPERLINK("https://www.boe.es/gazeta/dias/1802/07/21/pdfs/GMD-1802-59E.pdf#page=6","Abrir facsímil")</f>
        <v>Abrir facsímil</v>
      </c>
      <c r="K2839" s="15" t="s">
        <v>23</v>
      </c>
    </row>
    <row r="2840" spans="1:11" ht="42" customHeight="1">
      <c r="A2840" s="4" t="s">
        <v>7269</v>
      </c>
      <c r="B2840" s="5" t="s">
        <v>7270</v>
      </c>
      <c r="C2840" s="5" t="s">
        <v>29</v>
      </c>
      <c r="D2840" s="5" t="s">
        <v>30</v>
      </c>
      <c r="E2840" s="5" t="s">
        <v>517</v>
      </c>
      <c r="F2840" s="9">
        <v>61</v>
      </c>
      <c r="G2840" s="9">
        <v>743</v>
      </c>
      <c r="H2840" s="5" t="s">
        <v>21</v>
      </c>
      <c r="I2840" s="5" t="s">
        <v>7272</v>
      </c>
      <c r="J2840" s="12" t="str">
        <f>HYPERLINK("https://www.boe.es/gazeta/dias/1802/07/27/pdfs/GMD-1802-61.pdf#page=11","Abrir facsímil")</f>
        <v>Abrir facsímil</v>
      </c>
      <c r="K2840" s="15" t="s">
        <v>23</v>
      </c>
    </row>
    <row r="2841" spans="1:11" ht="42" customHeight="1">
      <c r="A2841" s="4" t="s">
        <v>7273</v>
      </c>
      <c r="B2841" s="5" t="s">
        <v>7274</v>
      </c>
      <c r="C2841" s="5" t="s">
        <v>29</v>
      </c>
      <c r="D2841" s="5" t="s">
        <v>30</v>
      </c>
      <c r="E2841" s="5" t="s">
        <v>121</v>
      </c>
      <c r="F2841" s="9">
        <v>87</v>
      </c>
      <c r="G2841" s="9">
        <v>1082</v>
      </c>
      <c r="H2841" s="5" t="s">
        <v>21</v>
      </c>
      <c r="I2841" s="5" t="s">
        <v>7275</v>
      </c>
      <c r="J2841" s="12" t="str">
        <f>HYPERLINK("https://www.boe.es/gazeta/dias/1802/10/26/pdfs/GMD-1802-87.pdf#page=10","Abrir facsímil")</f>
        <v>Abrir facsímil</v>
      </c>
      <c r="K2841" s="15" t="s">
        <v>23</v>
      </c>
    </row>
    <row r="2842" spans="1:11" ht="42" customHeight="1">
      <c r="A2842" s="4" t="s">
        <v>7269</v>
      </c>
      <c r="B2842" s="5" t="s">
        <v>7270</v>
      </c>
      <c r="C2842" s="5" t="s">
        <v>35</v>
      </c>
      <c r="D2842" s="5" t="s">
        <v>36</v>
      </c>
      <c r="E2842" s="5" t="s">
        <v>311</v>
      </c>
      <c r="F2842" s="9">
        <v>88</v>
      </c>
      <c r="G2842" s="9">
        <v>1095</v>
      </c>
      <c r="H2842" s="5" t="s">
        <v>21</v>
      </c>
      <c r="I2842" s="5" t="s">
        <v>7276</v>
      </c>
      <c r="J2842" s="12" t="str">
        <f>HYPERLINK("https://www.boe.es/gazeta/dias/1802/10/29/pdfs/GMD-1802-88.pdf#page=11","Abrir facsímil")</f>
        <v>Abrir facsímil</v>
      </c>
      <c r="K2842" s="15" t="s">
        <v>23</v>
      </c>
    </row>
    <row r="2843" spans="1:11" ht="42" customHeight="1">
      <c r="A2843" s="4" t="s">
        <v>7277</v>
      </c>
      <c r="B2843" s="5" t="s">
        <v>7277</v>
      </c>
      <c r="C2843" s="5" t="s">
        <v>55</v>
      </c>
      <c r="D2843" s="5" t="s">
        <v>56</v>
      </c>
      <c r="E2843" s="5" t="s">
        <v>481</v>
      </c>
      <c r="F2843" s="9">
        <v>79</v>
      </c>
      <c r="G2843" s="9">
        <v>975</v>
      </c>
      <c r="H2843" s="5" t="s">
        <v>21</v>
      </c>
      <c r="I2843" s="5" t="s">
        <v>7278</v>
      </c>
      <c r="J2843" s="12" t="str">
        <f>HYPERLINK("https://www.boe.es/gazeta/dias/1802/09/28/pdfs/GMD-1802-79.pdf#page=11","Abrir facsímil")</f>
        <v>Abrir facsímil</v>
      </c>
      <c r="K2843" s="15" t="s">
        <v>23</v>
      </c>
    </row>
    <row r="2844" spans="1:11" ht="42" customHeight="1">
      <c r="A2844" s="4" t="s">
        <v>7279</v>
      </c>
      <c r="B2844" s="5" t="s">
        <v>7279</v>
      </c>
      <c r="C2844" s="5" t="s">
        <v>160</v>
      </c>
      <c r="D2844" s="5" t="s">
        <v>91</v>
      </c>
      <c r="E2844" s="5" t="s">
        <v>192</v>
      </c>
      <c r="F2844" s="9">
        <v>53</v>
      </c>
      <c r="G2844" s="9">
        <v>641</v>
      </c>
      <c r="H2844" s="5" t="s">
        <v>21</v>
      </c>
      <c r="I2844" s="5" t="s">
        <v>7280</v>
      </c>
      <c r="J2844" s="12" t="str">
        <f>HYPERLINK("https://www.boe.es/gazeta/dias/1802/07/02/pdfs/GMD-1802-53.pdf#page=9","Abrir facsímil")</f>
        <v>Abrir facsímil</v>
      </c>
      <c r="K2844" s="15" t="s">
        <v>23</v>
      </c>
    </row>
    <row r="2845" spans="1:11" ht="42" customHeight="1">
      <c r="A2845" s="4" t="s">
        <v>7281</v>
      </c>
      <c r="B2845" s="5" t="s">
        <v>7281</v>
      </c>
      <c r="C2845" s="5" t="s">
        <v>29</v>
      </c>
      <c r="D2845" s="5" t="s">
        <v>30</v>
      </c>
      <c r="E2845" s="5" t="s">
        <v>881</v>
      </c>
      <c r="F2845" s="9">
        <v>65</v>
      </c>
      <c r="G2845" s="9">
        <v>788</v>
      </c>
      <c r="H2845" s="5" t="s">
        <v>21</v>
      </c>
      <c r="I2845" s="5" t="s">
        <v>7282</v>
      </c>
      <c r="J2845" s="12" t="str">
        <f>HYPERLINK("https://www.boe.es/gazeta/dias/1802/08/10/pdfs/GMD-1802-65.pdf#page=4","Abrir facsímil")</f>
        <v>Abrir facsímil</v>
      </c>
      <c r="K2845" s="15" t="s">
        <v>23</v>
      </c>
    </row>
    <row r="2846" spans="1:11" ht="42" customHeight="1">
      <c r="A2846" s="4" t="s">
        <v>7283</v>
      </c>
      <c r="B2846" s="5" t="s">
        <v>7283</v>
      </c>
      <c r="C2846" s="5" t="s">
        <v>55</v>
      </c>
      <c r="D2846" s="5" t="s">
        <v>56</v>
      </c>
      <c r="E2846" s="5" t="s">
        <v>517</v>
      </c>
      <c r="F2846" s="9">
        <v>61</v>
      </c>
      <c r="G2846" s="9">
        <v>741</v>
      </c>
      <c r="H2846" s="5" t="s">
        <v>21</v>
      </c>
      <c r="I2846" s="5" t="s">
        <v>7284</v>
      </c>
      <c r="J2846" s="12" t="str">
        <f>HYPERLINK("https://www.boe.es/gazeta/dias/1802/07/27/pdfs/GMD-1802-61.pdf#page=9","Abrir facsímil")</f>
        <v>Abrir facsímil</v>
      </c>
      <c r="K2846" s="15" t="s">
        <v>23</v>
      </c>
    </row>
    <row r="2847" spans="1:11" ht="42" customHeight="1">
      <c r="A2847" s="4" t="s">
        <v>7285</v>
      </c>
      <c r="B2847" s="5" t="s">
        <v>7286</v>
      </c>
      <c r="C2847" s="5" t="s">
        <v>18</v>
      </c>
      <c r="D2847" s="5" t="s">
        <v>19</v>
      </c>
      <c r="E2847" s="5" t="s">
        <v>49</v>
      </c>
      <c r="F2847" s="9">
        <v>83</v>
      </c>
      <c r="G2847" s="9">
        <v>1025</v>
      </c>
      <c r="H2847" s="5" t="s">
        <v>21</v>
      </c>
      <c r="I2847" s="5" t="s">
        <v>7287</v>
      </c>
      <c r="J2847" s="12" t="str">
        <f>HYPERLINK("https://www.boe.es/gazeta/dias/1802/10/12/pdfs/GMD-1802-83.pdf#page=13","Abrir facsímil")</f>
        <v>Abrir facsímil</v>
      </c>
      <c r="K2847" s="15" t="s">
        <v>23</v>
      </c>
    </row>
    <row r="2848" spans="1:11" ht="42" customHeight="1">
      <c r="A2848" s="4" t="s">
        <v>7288</v>
      </c>
      <c r="B2848" s="5" t="s">
        <v>7288</v>
      </c>
      <c r="C2848" s="5" t="s">
        <v>35</v>
      </c>
      <c r="D2848" s="5" t="s">
        <v>36</v>
      </c>
      <c r="E2848" s="5" t="s">
        <v>385</v>
      </c>
      <c r="F2848" s="9">
        <v>70</v>
      </c>
      <c r="G2848" s="9">
        <v>862</v>
      </c>
      <c r="H2848" s="5" t="s">
        <v>21</v>
      </c>
      <c r="I2848" s="5" t="s">
        <v>7289</v>
      </c>
      <c r="J2848" s="12" t="str">
        <f>HYPERLINK("https://www.boe.es/gazeta/dias/1802/08/27/pdfs/GMD-1802-70.pdf#page=10","Abrir facsímil")</f>
        <v>Abrir facsímil</v>
      </c>
      <c r="K2848" s="15" t="s">
        <v>23</v>
      </c>
    </row>
    <row r="2849" spans="1:11" ht="42" customHeight="1">
      <c r="A2849" s="4" t="s">
        <v>7290</v>
      </c>
      <c r="B2849" s="5" t="s">
        <v>7291</v>
      </c>
      <c r="C2849" s="5" t="s">
        <v>90</v>
      </c>
      <c r="D2849" s="5" t="s">
        <v>91</v>
      </c>
      <c r="E2849" s="5" t="s">
        <v>814</v>
      </c>
      <c r="F2849" s="9">
        <v>41</v>
      </c>
      <c r="G2849" s="9">
        <v>496</v>
      </c>
      <c r="H2849" s="5" t="s">
        <v>21</v>
      </c>
      <c r="I2849" s="5" t="s">
        <v>7292</v>
      </c>
      <c r="J2849" s="12" t="str">
        <f>HYPERLINK("https://www.boe.es/gazeta/dias/1802/05/21/pdfs/GMD-1802-41.pdf#page=12","Abrir facsímil")</f>
        <v>Abrir facsímil</v>
      </c>
      <c r="K2849" s="15" t="s">
        <v>23</v>
      </c>
    </row>
    <row r="2850" spans="1:11" ht="42" customHeight="1">
      <c r="A2850" s="4" t="s">
        <v>7293</v>
      </c>
      <c r="B2850" s="5" t="s">
        <v>7294</v>
      </c>
      <c r="C2850" s="5" t="s">
        <v>18</v>
      </c>
      <c r="D2850" s="5" t="s">
        <v>19</v>
      </c>
      <c r="E2850" s="5" t="s">
        <v>49</v>
      </c>
      <c r="F2850" s="9">
        <v>83</v>
      </c>
      <c r="G2850" s="9">
        <v>1025</v>
      </c>
      <c r="H2850" s="5" t="s">
        <v>21</v>
      </c>
      <c r="I2850" s="5" t="s">
        <v>7295</v>
      </c>
      <c r="J2850" s="12" t="str">
        <f>HYPERLINK("https://www.boe.es/gazeta/dias/1802/10/12/pdfs/GMD-1802-83.pdf#page=13","Abrir facsímil")</f>
        <v>Abrir facsímil</v>
      </c>
      <c r="K2850" s="15" t="s">
        <v>23</v>
      </c>
    </row>
    <row r="2851" spans="1:11" ht="42" customHeight="1">
      <c r="A2851" s="4" t="s">
        <v>7296</v>
      </c>
      <c r="B2851" s="5" t="s">
        <v>7296</v>
      </c>
      <c r="C2851" s="5" t="s">
        <v>35</v>
      </c>
      <c r="D2851" s="5" t="s">
        <v>36</v>
      </c>
      <c r="E2851" s="5" t="s">
        <v>206</v>
      </c>
      <c r="F2851" s="9">
        <v>22</v>
      </c>
      <c r="G2851" s="9">
        <v>235</v>
      </c>
      <c r="H2851" s="5" t="s">
        <v>21</v>
      </c>
      <c r="I2851" s="5" t="s">
        <v>7297</v>
      </c>
      <c r="J2851" s="12" t="str">
        <f>HYPERLINK("https://www.boe.es/gazeta/dias/1802/03/16/pdfs/GMD-1802-22.pdf#page=3","Abrir facsímil")</f>
        <v>Abrir facsímil</v>
      </c>
      <c r="K2851" s="15" t="s">
        <v>23</v>
      </c>
    </row>
    <row r="2852" spans="1:11" ht="42" customHeight="1">
      <c r="A2852" s="4" t="s">
        <v>7296</v>
      </c>
      <c r="B2852" s="5" t="s">
        <v>7296</v>
      </c>
      <c r="C2852" s="5" t="s">
        <v>160</v>
      </c>
      <c r="D2852" s="5" t="s">
        <v>91</v>
      </c>
      <c r="E2852" s="5" t="s">
        <v>86</v>
      </c>
      <c r="F2852" s="9">
        <v>26</v>
      </c>
      <c r="G2852" s="9">
        <v>294</v>
      </c>
      <c r="H2852" s="5" t="s">
        <v>21</v>
      </c>
      <c r="I2852" s="5" t="s">
        <v>7298</v>
      </c>
      <c r="J2852" s="12" t="str">
        <f>HYPERLINK("https://www.boe.es/gazeta/dias/1802/03/30/pdfs/GMD-1802-26.pdf#page=6","Abrir facsímil")</f>
        <v>Abrir facsímil</v>
      </c>
      <c r="K2852" s="15" t="s">
        <v>23</v>
      </c>
    </row>
    <row r="2853" spans="1:11" ht="42" customHeight="1">
      <c r="A2853" s="4" t="s">
        <v>7299</v>
      </c>
      <c r="B2853" s="5" t="s">
        <v>7300</v>
      </c>
      <c r="C2853" s="5" t="s">
        <v>90</v>
      </c>
      <c r="D2853" s="5" t="s">
        <v>91</v>
      </c>
      <c r="E2853" s="5" t="s">
        <v>678</v>
      </c>
      <c r="F2853" s="9">
        <v>15</v>
      </c>
      <c r="G2853" s="9">
        <v>157</v>
      </c>
      <c r="H2853" s="5" t="s">
        <v>21</v>
      </c>
      <c r="I2853" s="5" t="s">
        <v>7301</v>
      </c>
      <c r="J2853" s="12" t="str">
        <f>HYPERLINK("https://www.boe.es/gazeta/dias/1802/02/19/pdfs/GMD-1802-15.pdf#page=9","Abrir facsímil")</f>
        <v>Abrir facsímil</v>
      </c>
      <c r="K2853" s="15" t="s">
        <v>23</v>
      </c>
    </row>
    <row r="2854" spans="1:11" ht="42" customHeight="1">
      <c r="A2854" s="4" t="s">
        <v>7302</v>
      </c>
      <c r="B2854" s="5" t="s">
        <v>7303</v>
      </c>
      <c r="C2854" s="5" t="s">
        <v>29</v>
      </c>
      <c r="D2854" s="5" t="s">
        <v>30</v>
      </c>
      <c r="E2854" s="5" t="s">
        <v>232</v>
      </c>
      <c r="F2854" s="9">
        <v>30</v>
      </c>
      <c r="G2854" s="9">
        <v>350</v>
      </c>
      <c r="H2854" s="5" t="s">
        <v>21</v>
      </c>
      <c r="I2854" s="5" t="s">
        <v>7304</v>
      </c>
      <c r="J2854" s="12" t="str">
        <f>HYPERLINK("https://www.boe.es/gazeta/dias/1802/04/13/pdfs/GMD-1802-30.pdf#page=6","Abrir facsímil")</f>
        <v>Abrir facsímil</v>
      </c>
      <c r="K2854" s="15" t="s">
        <v>23</v>
      </c>
    </row>
    <row r="2855" spans="1:11" ht="42" customHeight="1">
      <c r="A2855" s="4" t="s">
        <v>7305</v>
      </c>
      <c r="B2855" s="5" t="s">
        <v>7306</v>
      </c>
      <c r="C2855" s="5" t="s">
        <v>29</v>
      </c>
      <c r="D2855" s="5" t="s">
        <v>30</v>
      </c>
      <c r="E2855" s="5" t="s">
        <v>814</v>
      </c>
      <c r="F2855" s="9">
        <v>41</v>
      </c>
      <c r="G2855" s="9">
        <v>494</v>
      </c>
      <c r="H2855" s="5" t="s">
        <v>21</v>
      </c>
      <c r="I2855" s="5" t="s">
        <v>7307</v>
      </c>
      <c r="J2855" s="12" t="str">
        <f>HYPERLINK("https://www.boe.es/gazeta/dias/1802/05/21/pdfs/GMD-1802-41.pdf#page=10","Abrir facsímil")</f>
        <v>Abrir facsímil</v>
      </c>
      <c r="K2855" s="15" t="s">
        <v>23</v>
      </c>
    </row>
    <row r="2856" spans="1:11" ht="42" customHeight="1">
      <c r="A2856" s="4" t="s">
        <v>7308</v>
      </c>
      <c r="B2856" s="5" t="s">
        <v>7308</v>
      </c>
      <c r="C2856" s="5" t="s">
        <v>90</v>
      </c>
      <c r="D2856" s="5" t="s">
        <v>91</v>
      </c>
      <c r="E2856" s="5" t="s">
        <v>102</v>
      </c>
      <c r="F2856" s="9">
        <v>73</v>
      </c>
      <c r="G2856" s="9">
        <v>897</v>
      </c>
      <c r="H2856" s="5" t="s">
        <v>21</v>
      </c>
      <c r="I2856" s="5" t="s">
        <v>7309</v>
      </c>
      <c r="J2856" s="12" t="str">
        <f>HYPERLINK("https://www.boe.es/gazeta/dias/1802/09/07/pdfs/GMD-1802-73.pdf#page=5","Abrir facsímil")</f>
        <v>Abrir facsímil</v>
      </c>
      <c r="K2856" s="15" t="s">
        <v>23</v>
      </c>
    </row>
    <row r="2857" spans="1:11" ht="42" customHeight="1">
      <c r="A2857" s="4" t="s">
        <v>7310</v>
      </c>
      <c r="B2857" s="5" t="s">
        <v>7310</v>
      </c>
      <c r="C2857" s="5" t="s">
        <v>29</v>
      </c>
      <c r="D2857" s="5" t="s">
        <v>30</v>
      </c>
      <c r="E2857" s="5" t="s">
        <v>49</v>
      </c>
      <c r="F2857" s="9">
        <v>83</v>
      </c>
      <c r="G2857" s="9">
        <v>1027</v>
      </c>
      <c r="H2857" s="5" t="s">
        <v>21</v>
      </c>
      <c r="I2857" s="5" t="s">
        <v>7311</v>
      </c>
      <c r="J2857" s="12" t="str">
        <f>HYPERLINK("https://www.boe.es/gazeta/dias/1802/10/12/pdfs/GMD-1802-83.pdf#page=15","Abrir facsímil")</f>
        <v>Abrir facsímil</v>
      </c>
      <c r="K2857" s="15" t="s">
        <v>23</v>
      </c>
    </row>
    <row r="2858" spans="1:11" ht="42" customHeight="1">
      <c r="A2858" s="4" t="s">
        <v>7312</v>
      </c>
      <c r="B2858" s="5" t="s">
        <v>7312</v>
      </c>
      <c r="C2858" s="5" t="s">
        <v>29</v>
      </c>
      <c r="D2858" s="5" t="s">
        <v>30</v>
      </c>
      <c r="E2858" s="5" t="s">
        <v>1381</v>
      </c>
      <c r="F2858" s="9">
        <v>17</v>
      </c>
      <c r="G2858" s="9">
        <v>185</v>
      </c>
      <c r="H2858" s="5" t="s">
        <v>21</v>
      </c>
      <c r="I2858" s="5" t="s">
        <v>7313</v>
      </c>
      <c r="J2858" s="12" t="str">
        <f>HYPERLINK("https://www.boe.es/gazeta/dias/1802/02/26/pdfs/GMD-1802-17.pdf#page=9","Abrir facsímil")</f>
        <v>Abrir facsímil</v>
      </c>
      <c r="K2858" s="15" t="s">
        <v>23</v>
      </c>
    </row>
    <row r="2859" spans="1:11" ht="42" customHeight="1">
      <c r="A2859" s="4" t="s">
        <v>7314</v>
      </c>
      <c r="B2859" s="5" t="s">
        <v>7314</v>
      </c>
      <c r="C2859" s="5" t="s">
        <v>42</v>
      </c>
      <c r="D2859" s="5" t="s">
        <v>43</v>
      </c>
      <c r="E2859" s="5" t="s">
        <v>44</v>
      </c>
      <c r="F2859" s="9">
        <v>99</v>
      </c>
      <c r="G2859" s="9" t="s">
        <v>558</v>
      </c>
      <c r="H2859" s="5" t="s">
        <v>21</v>
      </c>
      <c r="I2859" s="5" t="s">
        <v>7315</v>
      </c>
      <c r="J2859" s="12" t="str">
        <f>HYPERLINK("https://www.boe.es/gazeta/dias/1802/12/07/pdfs/GMD-D-1802-99.pdf#page=1","Abrir facsímil")</f>
        <v>Abrir facsímil</v>
      </c>
      <c r="K2859" s="15" t="s">
        <v>23</v>
      </c>
    </row>
    <row r="2860" spans="1:11" ht="42" customHeight="1">
      <c r="A2860" s="4" t="s">
        <v>7316</v>
      </c>
      <c r="B2860" s="5" t="s">
        <v>7316</v>
      </c>
      <c r="C2860" s="5" t="s">
        <v>160</v>
      </c>
      <c r="D2860" s="5" t="s">
        <v>91</v>
      </c>
      <c r="E2860" s="5" t="s">
        <v>20</v>
      </c>
      <c r="F2860" s="9">
        <v>84</v>
      </c>
      <c r="G2860" s="9">
        <v>1042</v>
      </c>
      <c r="H2860" s="5" t="s">
        <v>21</v>
      </c>
      <c r="I2860" s="5" t="s">
        <v>7317</v>
      </c>
      <c r="J2860" s="12" t="str">
        <f>HYPERLINK("https://www.boe.es/gazeta/dias/1802/10/15/pdfs/GMD-1802-84.pdf#page=10","Abrir facsímil")</f>
        <v>Abrir facsímil</v>
      </c>
      <c r="K2860" s="15" t="s">
        <v>23</v>
      </c>
    </row>
    <row r="2861" spans="1:11" ht="42" customHeight="1">
      <c r="A2861" s="4" t="s">
        <v>7318</v>
      </c>
      <c r="B2861" s="5" t="s">
        <v>7318</v>
      </c>
      <c r="C2861" s="5" t="s">
        <v>35</v>
      </c>
      <c r="D2861" s="5" t="s">
        <v>36</v>
      </c>
      <c r="E2861" s="5" t="s">
        <v>131</v>
      </c>
      <c r="F2861" s="9">
        <v>11</v>
      </c>
      <c r="G2861" s="9">
        <v>112</v>
      </c>
      <c r="H2861" s="5" t="s">
        <v>21</v>
      </c>
      <c r="I2861" s="5" t="s">
        <v>7319</v>
      </c>
      <c r="J2861" s="12" t="str">
        <f>HYPERLINK("https://www.boe.es/gazeta/dias/1802/02/05/pdfs/GMD-1802-11.pdf#page=8","Abrir facsímil")</f>
        <v>Abrir facsímil</v>
      </c>
      <c r="K2861" s="15" t="s">
        <v>23</v>
      </c>
    </row>
    <row r="2862" spans="1:11" ht="42" customHeight="1">
      <c r="A2862" s="4" t="s">
        <v>7320</v>
      </c>
      <c r="B2862" s="5" t="s">
        <v>7320</v>
      </c>
      <c r="C2862" s="5" t="s">
        <v>29</v>
      </c>
      <c r="D2862" s="5" t="s">
        <v>30</v>
      </c>
      <c r="E2862" s="5" t="s">
        <v>481</v>
      </c>
      <c r="F2862" s="9">
        <v>79</v>
      </c>
      <c r="G2862" s="9">
        <v>974</v>
      </c>
      <c r="H2862" s="5" t="s">
        <v>21</v>
      </c>
      <c r="I2862" s="5" t="s">
        <v>7321</v>
      </c>
      <c r="J2862" s="12" t="str">
        <f>HYPERLINK("https://www.boe.es/gazeta/dias/1802/09/28/pdfs/GMD-1802-79.pdf#page=10","Abrir facsímil")</f>
        <v>Abrir facsímil</v>
      </c>
      <c r="K2862" s="15" t="s">
        <v>23</v>
      </c>
    </row>
    <row r="2863" spans="1:11" ht="42" customHeight="1">
      <c r="A2863" s="4" t="s">
        <v>7322</v>
      </c>
      <c r="B2863" s="5" t="s">
        <v>7323</v>
      </c>
      <c r="C2863" s="5" t="s">
        <v>42</v>
      </c>
      <c r="D2863" s="5" t="s">
        <v>43</v>
      </c>
      <c r="E2863" s="5" t="s">
        <v>44</v>
      </c>
      <c r="F2863" s="9">
        <v>99</v>
      </c>
      <c r="G2863" s="9" t="s">
        <v>262</v>
      </c>
      <c r="H2863" s="5" t="s">
        <v>21</v>
      </c>
      <c r="I2863" s="5" t="s">
        <v>7324</v>
      </c>
      <c r="J2863" s="12" t="str">
        <f>HYPERLINK("https://www.boe.es/gazeta/dias/1802/12/07/pdfs/GMD-D-1802-99.pdf#page=8","Abrir facsímil")</f>
        <v>Abrir facsímil</v>
      </c>
      <c r="K2863" s="15" t="s">
        <v>23</v>
      </c>
    </row>
    <row r="2864" spans="1:11" ht="42" customHeight="1">
      <c r="A2864" s="4" t="s">
        <v>7325</v>
      </c>
      <c r="B2864" s="5" t="s">
        <v>7326</v>
      </c>
      <c r="C2864" s="5" t="s">
        <v>55</v>
      </c>
      <c r="D2864" s="5" t="s">
        <v>56</v>
      </c>
      <c r="E2864" s="5" t="s">
        <v>1381</v>
      </c>
      <c r="F2864" s="9">
        <v>17</v>
      </c>
      <c r="G2864" s="9">
        <v>188</v>
      </c>
      <c r="H2864" s="5" t="s">
        <v>21</v>
      </c>
      <c r="I2864" s="5" t="s">
        <v>7327</v>
      </c>
      <c r="J2864" s="12" t="str">
        <f>HYPERLINK("https://www.boe.es/gazeta/dias/1802/02/26/pdfs/GMD-1802-17.pdf#page=12","Abrir facsímil")</f>
        <v>Abrir facsímil</v>
      </c>
      <c r="K2864" s="15" t="s">
        <v>23</v>
      </c>
    </row>
    <row r="2865" spans="1:11" ht="42" customHeight="1">
      <c r="A2865" s="4" t="s">
        <v>7325</v>
      </c>
      <c r="B2865" s="5" t="s">
        <v>7326</v>
      </c>
      <c r="C2865" s="5" t="s">
        <v>55</v>
      </c>
      <c r="D2865" s="5" t="s">
        <v>56</v>
      </c>
      <c r="E2865" s="5" t="s">
        <v>114</v>
      </c>
      <c r="F2865" s="9">
        <v>82</v>
      </c>
      <c r="G2865" s="9">
        <v>1011</v>
      </c>
      <c r="H2865" s="5" t="s">
        <v>21</v>
      </c>
      <c r="I2865" s="5" t="s">
        <v>7328</v>
      </c>
      <c r="J2865" s="12" t="str">
        <f>HYPERLINK("https://www.boe.es/gazeta/dias/1802/10/08/pdfs/GMD-1802-82.pdf#page=11","Abrir facsímil")</f>
        <v>Abrir facsímil</v>
      </c>
      <c r="K2865" s="15" t="s">
        <v>23</v>
      </c>
    </row>
    <row r="2866" spans="1:11" ht="42" customHeight="1">
      <c r="A2866" s="4" t="s">
        <v>7325</v>
      </c>
      <c r="B2866" s="5" t="s">
        <v>7326</v>
      </c>
      <c r="C2866" s="5" t="s">
        <v>18</v>
      </c>
      <c r="D2866" s="5" t="s">
        <v>19</v>
      </c>
      <c r="E2866" s="5" t="s">
        <v>73</v>
      </c>
      <c r="F2866" s="9">
        <v>102</v>
      </c>
      <c r="G2866" s="9">
        <v>1256</v>
      </c>
      <c r="H2866" s="5" t="s">
        <v>21</v>
      </c>
      <c r="I2866" s="5" t="s">
        <v>7329</v>
      </c>
      <c r="J2866" s="12" t="str">
        <f>HYPERLINK("https://www.boe.es/gazeta/dias/1802/12/17/pdfs/GMD-1802-102.pdf#page=12","Abrir facsímil")</f>
        <v>Abrir facsímil</v>
      </c>
      <c r="K2866" s="15" t="s">
        <v>23</v>
      </c>
    </row>
    <row r="2867" spans="1:11" ht="42" customHeight="1">
      <c r="A2867" s="4" t="s">
        <v>7330</v>
      </c>
      <c r="B2867" s="5" t="s">
        <v>7330</v>
      </c>
      <c r="C2867" s="5" t="s">
        <v>29</v>
      </c>
      <c r="D2867" s="5" t="s">
        <v>30</v>
      </c>
      <c r="E2867" s="5" t="s">
        <v>128</v>
      </c>
      <c r="F2867" s="9">
        <v>9</v>
      </c>
      <c r="G2867" s="9">
        <v>89</v>
      </c>
      <c r="H2867" s="5" t="s">
        <v>21</v>
      </c>
      <c r="I2867" s="5" t="s">
        <v>7331</v>
      </c>
      <c r="J2867" s="12" t="str">
        <f>HYPERLINK("https://www.boe.es/gazeta/dias/1802/01/29/pdfs/GMD-1802-9.pdf#page=9","Abrir facsímil")</f>
        <v>Abrir facsímil</v>
      </c>
      <c r="K2867" s="15" t="s">
        <v>23</v>
      </c>
    </row>
    <row r="2868" spans="1:11" ht="42" customHeight="1">
      <c r="A2868" s="4" t="s">
        <v>7332</v>
      </c>
      <c r="B2868" s="5" t="s">
        <v>7333</v>
      </c>
      <c r="C2868" s="5" t="s">
        <v>35</v>
      </c>
      <c r="D2868" s="5" t="s">
        <v>36</v>
      </c>
      <c r="E2868" s="5" t="s">
        <v>900</v>
      </c>
      <c r="F2868" s="9">
        <v>16</v>
      </c>
      <c r="G2868" s="9">
        <v>165</v>
      </c>
      <c r="H2868" s="5" t="s">
        <v>21</v>
      </c>
      <c r="I2868" s="5" t="s">
        <v>7334</v>
      </c>
      <c r="J2868" s="12" t="str">
        <f>HYPERLINK("https://www.boe.es/gazeta/dias/1802/02/23/pdfs/GMD-1802-16.pdf#page=5","Abrir facsímil")</f>
        <v>Abrir facsímil</v>
      </c>
      <c r="K2868" s="15" t="s">
        <v>23</v>
      </c>
    </row>
    <row r="2869" spans="1:11" ht="42" customHeight="1">
      <c r="A2869" s="4" t="s">
        <v>7335</v>
      </c>
      <c r="B2869" s="5" t="s">
        <v>7335</v>
      </c>
      <c r="C2869" s="5" t="s">
        <v>35</v>
      </c>
      <c r="D2869" s="5" t="s">
        <v>36</v>
      </c>
      <c r="E2869" s="5" t="s">
        <v>491</v>
      </c>
      <c r="F2869" s="9">
        <v>57</v>
      </c>
      <c r="G2869" s="9">
        <v>686</v>
      </c>
      <c r="H2869" s="5" t="s">
        <v>21</v>
      </c>
      <c r="I2869" s="5" t="s">
        <v>7336</v>
      </c>
      <c r="J2869" s="12" t="str">
        <f>HYPERLINK("https://www.boe.es/gazeta/dias/1802/07/16/pdfs/GMD-1802-57.pdf#page=6","Abrir facsímil")</f>
        <v>Abrir facsímil</v>
      </c>
      <c r="K2869" s="15" t="s">
        <v>23</v>
      </c>
    </row>
    <row r="2870" spans="1:11" ht="42" customHeight="1">
      <c r="A2870" s="4" t="s">
        <v>7337</v>
      </c>
      <c r="B2870" s="5" t="s">
        <v>7337</v>
      </c>
      <c r="C2870" s="5" t="s">
        <v>29</v>
      </c>
      <c r="D2870" s="5" t="s">
        <v>30</v>
      </c>
      <c r="E2870" s="5" t="s">
        <v>481</v>
      </c>
      <c r="F2870" s="9">
        <v>79</v>
      </c>
      <c r="G2870" s="9">
        <v>974</v>
      </c>
      <c r="H2870" s="5" t="s">
        <v>21</v>
      </c>
      <c r="I2870" s="5" t="s">
        <v>7338</v>
      </c>
      <c r="J2870" s="12" t="str">
        <f>HYPERLINK("https://www.boe.es/gazeta/dias/1802/09/28/pdfs/GMD-1802-79.pdf#page=10","Abrir facsímil")</f>
        <v>Abrir facsímil</v>
      </c>
      <c r="K2870" s="15" t="s">
        <v>23</v>
      </c>
    </row>
    <row r="2871" spans="1:11" ht="42" customHeight="1">
      <c r="A2871" s="4" t="s">
        <v>7339</v>
      </c>
      <c r="B2871" s="5" t="s">
        <v>7340</v>
      </c>
      <c r="C2871" s="5" t="s">
        <v>90</v>
      </c>
      <c r="D2871" s="5" t="s">
        <v>91</v>
      </c>
      <c r="E2871" s="5" t="s">
        <v>1618</v>
      </c>
      <c r="F2871" s="9">
        <v>31</v>
      </c>
      <c r="G2871" s="9">
        <v>359</v>
      </c>
      <c r="H2871" s="5" t="s">
        <v>21</v>
      </c>
      <c r="I2871" s="5" t="s">
        <v>7341</v>
      </c>
      <c r="J2871" s="12" t="str">
        <f>HYPERLINK("https://www.boe.es/gazeta/dias/1802/04/16/pdfs/GMD-1802-31.pdf#page=3","Abrir facsímil")</f>
        <v>Abrir facsímil</v>
      </c>
      <c r="K2871" s="15" t="s">
        <v>23</v>
      </c>
    </row>
    <row r="2872" spans="1:11" ht="42" customHeight="1">
      <c r="A2872" s="4" t="s">
        <v>7342</v>
      </c>
      <c r="B2872" s="5" t="s">
        <v>7342</v>
      </c>
      <c r="C2872" s="5" t="s">
        <v>35</v>
      </c>
      <c r="D2872" s="5" t="s">
        <v>36</v>
      </c>
      <c r="E2872" s="5" t="s">
        <v>121</v>
      </c>
      <c r="F2872" s="9">
        <v>87</v>
      </c>
      <c r="G2872" s="9">
        <v>1076</v>
      </c>
      <c r="H2872" s="5" t="s">
        <v>21</v>
      </c>
      <c r="I2872" s="5" t="s">
        <v>7343</v>
      </c>
      <c r="J2872" s="12" t="str">
        <f>HYPERLINK("https://www.boe.es/gazeta/dias/1802/10/26/pdfs/GMD-1802-87.pdf#page=4","Abrir facsímil")</f>
        <v>Abrir facsímil</v>
      </c>
      <c r="K2872" s="15" t="s">
        <v>23</v>
      </c>
    </row>
    <row r="2873" spans="1:11" ht="42" customHeight="1">
      <c r="A2873" s="4" t="s">
        <v>7344</v>
      </c>
      <c r="B2873" s="5" t="s">
        <v>7345</v>
      </c>
      <c r="C2873" s="5" t="s">
        <v>35</v>
      </c>
      <c r="D2873" s="5" t="s">
        <v>36</v>
      </c>
      <c r="E2873" s="5" t="s">
        <v>188</v>
      </c>
      <c r="F2873" s="9">
        <v>49</v>
      </c>
      <c r="G2873" s="9">
        <v>589</v>
      </c>
      <c r="H2873" s="5" t="s">
        <v>21</v>
      </c>
      <c r="I2873" s="5" t="s">
        <v>7346</v>
      </c>
      <c r="J2873" s="12" t="str">
        <f>HYPERLINK("https://www.boe.es/gazeta/dias/1802/06/18/pdfs/GMD-1802-49.pdf#page=1","Abrir facsímil")</f>
        <v>Abrir facsímil</v>
      </c>
      <c r="K2873" s="15" t="s">
        <v>23</v>
      </c>
    </row>
    <row r="2874" spans="1:11" ht="42" customHeight="1">
      <c r="A2874" s="4" t="s">
        <v>7344</v>
      </c>
      <c r="B2874" s="5" t="s">
        <v>7345</v>
      </c>
      <c r="C2874" s="5" t="s">
        <v>35</v>
      </c>
      <c r="D2874" s="5" t="s">
        <v>36</v>
      </c>
      <c r="E2874" s="5" t="s">
        <v>181</v>
      </c>
      <c r="F2874" s="9">
        <v>55</v>
      </c>
      <c r="G2874" s="9">
        <v>657</v>
      </c>
      <c r="H2874" s="5" t="s">
        <v>21</v>
      </c>
      <c r="I2874" s="5" t="s">
        <v>7347</v>
      </c>
      <c r="J2874" s="12" t="str">
        <f>HYPERLINK("https://www.boe.es/gazeta/dias/1802/07/09/pdfs/GMD-1802-55.pdf#page=1","Abrir facsímil")</f>
        <v>Abrir facsímil</v>
      </c>
      <c r="K2874" s="15" t="s">
        <v>23</v>
      </c>
    </row>
    <row r="2875" spans="1:11" ht="42" customHeight="1">
      <c r="A2875" s="4" t="s">
        <v>7344</v>
      </c>
      <c r="B2875" s="5" t="s">
        <v>7345</v>
      </c>
      <c r="C2875" s="5" t="s">
        <v>35</v>
      </c>
      <c r="D2875" s="5" t="s">
        <v>36</v>
      </c>
      <c r="E2875" s="5" t="s">
        <v>292</v>
      </c>
      <c r="F2875" s="9">
        <v>62</v>
      </c>
      <c r="G2875" s="9">
        <v>746</v>
      </c>
      <c r="H2875" s="5" t="s">
        <v>21</v>
      </c>
      <c r="I2875" s="5" t="s">
        <v>7348</v>
      </c>
      <c r="J2875" s="12" t="str">
        <f>HYPERLINK("https://www.boe.es/gazeta/dias/1802/07/30/pdfs/GMD-1802-62.pdf#page=2","Abrir facsímil")</f>
        <v>Abrir facsímil</v>
      </c>
      <c r="K2875" s="15" t="s">
        <v>23</v>
      </c>
    </row>
    <row r="2876" spans="1:11" ht="42" customHeight="1">
      <c r="A2876" s="4" t="s">
        <v>7349</v>
      </c>
      <c r="B2876" s="5" t="s">
        <v>7349</v>
      </c>
      <c r="C2876" s="5" t="s">
        <v>42</v>
      </c>
      <c r="D2876" s="5" t="s">
        <v>43</v>
      </c>
      <c r="E2876" s="5" t="s">
        <v>44</v>
      </c>
      <c r="F2876" s="9">
        <v>99</v>
      </c>
      <c r="G2876" s="9" t="s">
        <v>262</v>
      </c>
      <c r="H2876" s="5" t="s">
        <v>21</v>
      </c>
      <c r="I2876" s="5" t="s">
        <v>7350</v>
      </c>
      <c r="J2876" s="12" t="str">
        <f>HYPERLINK("https://www.boe.es/gazeta/dias/1802/12/07/pdfs/GMD-D-1802-99.pdf#page=8","Abrir facsímil")</f>
        <v>Abrir facsímil</v>
      </c>
      <c r="K2876" s="15" t="s">
        <v>23</v>
      </c>
    </row>
    <row r="2877" spans="1:11" ht="42" customHeight="1">
      <c r="A2877" s="4" t="s">
        <v>7351</v>
      </c>
      <c r="B2877" s="5" t="s">
        <v>7351</v>
      </c>
      <c r="C2877" s="5" t="s">
        <v>55</v>
      </c>
      <c r="D2877" s="5" t="s">
        <v>56</v>
      </c>
      <c r="E2877" s="5" t="s">
        <v>146</v>
      </c>
      <c r="F2877" s="9">
        <v>42</v>
      </c>
      <c r="G2877" s="9">
        <v>507</v>
      </c>
      <c r="H2877" s="5" t="s">
        <v>21</v>
      </c>
      <c r="I2877" s="5" t="s">
        <v>7352</v>
      </c>
      <c r="J2877" s="12" t="str">
        <f>HYPERLINK("https://www.boe.es/gazeta/dias/1802/05/25/pdfs/GMD-1802-42.pdf#page=11","Abrir facsímil")</f>
        <v>Abrir facsímil</v>
      </c>
      <c r="K2877" s="15" t="s">
        <v>23</v>
      </c>
    </row>
    <row r="2878" spans="1:11" ht="42" customHeight="1">
      <c r="A2878" s="4" t="s">
        <v>7353</v>
      </c>
      <c r="B2878" s="5" t="s">
        <v>7354</v>
      </c>
      <c r="C2878" s="5" t="s">
        <v>42</v>
      </c>
      <c r="D2878" s="5" t="s">
        <v>43</v>
      </c>
      <c r="E2878" s="5" t="s">
        <v>44</v>
      </c>
      <c r="F2878" s="9">
        <v>99</v>
      </c>
      <c r="G2878" s="9" t="s">
        <v>251</v>
      </c>
      <c r="H2878" s="5" t="s">
        <v>21</v>
      </c>
      <c r="I2878" s="5" t="s">
        <v>7355</v>
      </c>
      <c r="J2878" s="12" t="str">
        <f>HYPERLINK("https://www.boe.es/gazeta/dias/1802/12/07/pdfs/GMD-D-1802-99.pdf#page=6","Abrir facsímil")</f>
        <v>Abrir facsímil</v>
      </c>
      <c r="K2878" s="15" t="s">
        <v>23</v>
      </c>
    </row>
    <row r="2879" spans="1:11" ht="42" customHeight="1">
      <c r="A2879" s="4" t="s">
        <v>7356</v>
      </c>
      <c r="B2879" s="5" t="s">
        <v>7356</v>
      </c>
      <c r="C2879" s="5" t="s">
        <v>90</v>
      </c>
      <c r="D2879" s="5" t="s">
        <v>91</v>
      </c>
      <c r="E2879" s="5" t="s">
        <v>631</v>
      </c>
      <c r="F2879" s="9">
        <v>36</v>
      </c>
      <c r="G2879" s="9">
        <v>430</v>
      </c>
      <c r="H2879" s="5" t="s">
        <v>21</v>
      </c>
      <c r="I2879" s="5" t="s">
        <v>7357</v>
      </c>
      <c r="J2879" s="12" t="str">
        <f>HYPERLINK("https://www.boe.es/gazeta/dias/1802/05/04/pdfs/GMD-1802-36.pdf#page=10","Abrir facsímil")</f>
        <v>Abrir facsímil</v>
      </c>
      <c r="K2879" s="15" t="s">
        <v>23</v>
      </c>
    </row>
    <row r="2880" spans="1:11" ht="42" customHeight="1">
      <c r="A2880" s="4" t="s">
        <v>7358</v>
      </c>
      <c r="B2880" s="5" t="s">
        <v>7358</v>
      </c>
      <c r="C2880" s="5" t="s">
        <v>18</v>
      </c>
      <c r="D2880" s="5" t="s">
        <v>19</v>
      </c>
      <c r="E2880" s="5" t="s">
        <v>206</v>
      </c>
      <c r="F2880" s="9">
        <v>22</v>
      </c>
      <c r="G2880" s="9">
        <v>242</v>
      </c>
      <c r="H2880" s="5" t="s">
        <v>21</v>
      </c>
      <c r="I2880" s="5" t="s">
        <v>7359</v>
      </c>
      <c r="J2880" s="12" t="str">
        <f>HYPERLINK("https://www.boe.es/gazeta/dias/1802/03/16/pdfs/GMD-1802-22.pdf#page=10","Abrir facsímil")</f>
        <v>Abrir facsímil</v>
      </c>
      <c r="K2880" s="15" t="s">
        <v>23</v>
      </c>
    </row>
    <row r="2881" spans="1:11" ht="42" customHeight="1">
      <c r="A2881" s="4" t="s">
        <v>7360</v>
      </c>
      <c r="B2881" s="5" t="s">
        <v>7360</v>
      </c>
      <c r="C2881" s="5" t="s">
        <v>29</v>
      </c>
      <c r="D2881" s="5" t="s">
        <v>30</v>
      </c>
      <c r="E2881" s="5" t="s">
        <v>49</v>
      </c>
      <c r="F2881" s="9">
        <v>83</v>
      </c>
      <c r="G2881" s="9">
        <v>1020</v>
      </c>
      <c r="H2881" s="5" t="s">
        <v>21</v>
      </c>
      <c r="I2881" s="5" t="s">
        <v>7361</v>
      </c>
      <c r="J2881" s="12" t="str">
        <f>HYPERLINK("https://www.boe.es/gazeta/dias/1802/10/12/pdfs/GMD-1802-83.pdf#page=8","Abrir facsímil")</f>
        <v>Abrir facsímil</v>
      </c>
      <c r="K2881" s="15" t="s">
        <v>23</v>
      </c>
    </row>
    <row r="2882" spans="1:11" ht="42" customHeight="1">
      <c r="A2882" s="4" t="s">
        <v>7362</v>
      </c>
      <c r="B2882" s="5" t="s">
        <v>7363</v>
      </c>
      <c r="C2882" s="5" t="s">
        <v>18</v>
      </c>
      <c r="D2882" s="5" t="s">
        <v>19</v>
      </c>
      <c r="E2882" s="5" t="s">
        <v>49</v>
      </c>
      <c r="F2882" s="9">
        <v>83</v>
      </c>
      <c r="G2882" s="9">
        <v>1023</v>
      </c>
      <c r="H2882" s="5" t="s">
        <v>21</v>
      </c>
      <c r="I2882" s="5" t="s">
        <v>7364</v>
      </c>
      <c r="J2882" s="12" t="str">
        <f>HYPERLINK("https://www.boe.es/gazeta/dias/1802/10/12/pdfs/GMD-1802-83.pdf#page=11","Abrir facsímil")</f>
        <v>Abrir facsímil</v>
      </c>
      <c r="K2882" s="15" t="s">
        <v>23</v>
      </c>
    </row>
    <row r="2883" spans="1:11" ht="42" customHeight="1">
      <c r="A2883" s="4" t="s">
        <v>7365</v>
      </c>
      <c r="B2883" s="5" t="s">
        <v>7365</v>
      </c>
      <c r="C2883" s="5" t="s">
        <v>18</v>
      </c>
      <c r="D2883" s="5" t="s">
        <v>19</v>
      </c>
      <c r="E2883" s="5" t="s">
        <v>20</v>
      </c>
      <c r="F2883" s="9">
        <v>84</v>
      </c>
      <c r="G2883" s="9">
        <v>1044</v>
      </c>
      <c r="H2883" s="5" t="s">
        <v>21</v>
      </c>
      <c r="I2883" s="5" t="s">
        <v>7366</v>
      </c>
      <c r="J2883" s="12" t="str">
        <f>HYPERLINK("https://www.boe.es/gazeta/dias/1802/10/15/pdfs/GMD-1802-84.pdf#page=12","Abrir facsímil")</f>
        <v>Abrir facsímil</v>
      </c>
      <c r="K2883" s="15" t="s">
        <v>23</v>
      </c>
    </row>
    <row r="2884" spans="1:11" ht="42" customHeight="1">
      <c r="A2884" s="4" t="s">
        <v>7367</v>
      </c>
      <c r="B2884" s="5" t="s">
        <v>7367</v>
      </c>
      <c r="C2884" s="5" t="s">
        <v>18</v>
      </c>
      <c r="D2884" s="5" t="s">
        <v>19</v>
      </c>
      <c r="E2884" s="5" t="s">
        <v>20</v>
      </c>
      <c r="F2884" s="9">
        <v>84</v>
      </c>
      <c r="G2884" s="9">
        <v>1044</v>
      </c>
      <c r="H2884" s="5" t="s">
        <v>21</v>
      </c>
      <c r="I2884" s="5" t="s">
        <v>7368</v>
      </c>
      <c r="J2884" s="12" t="str">
        <f>HYPERLINK("https://www.boe.es/gazeta/dias/1802/10/15/pdfs/GMD-1802-84.pdf#page=12","Abrir facsímil")</f>
        <v>Abrir facsímil</v>
      </c>
      <c r="K2884" s="15" t="s">
        <v>23</v>
      </c>
    </row>
    <row r="2885" spans="1:11" ht="42" customHeight="1">
      <c r="A2885" s="4" t="s">
        <v>7369</v>
      </c>
      <c r="B2885" s="5" t="s">
        <v>7369</v>
      </c>
      <c r="C2885" s="5" t="s">
        <v>29</v>
      </c>
      <c r="D2885" s="5" t="s">
        <v>30</v>
      </c>
      <c r="E2885" s="5" t="s">
        <v>71</v>
      </c>
      <c r="F2885" s="9">
        <v>21</v>
      </c>
      <c r="G2885" s="9">
        <v>233</v>
      </c>
      <c r="H2885" s="5" t="s">
        <v>21</v>
      </c>
      <c r="I2885" s="5" t="s">
        <v>7370</v>
      </c>
      <c r="J2885" s="12" t="str">
        <f>HYPERLINK("https://www.boe.es/gazeta/dias/1802/03/12/pdfs/GMD-1802-21.pdf#page=9","Abrir facsímil")</f>
        <v>Abrir facsímil</v>
      </c>
      <c r="K2885" s="15" t="s">
        <v>23</v>
      </c>
    </row>
    <row r="2886" spans="1:11" ht="42" customHeight="1">
      <c r="A2886" s="4" t="s">
        <v>7371</v>
      </c>
      <c r="B2886" s="5" t="s">
        <v>7372</v>
      </c>
      <c r="C2886" s="5" t="s">
        <v>55</v>
      </c>
      <c r="D2886" s="5" t="s">
        <v>56</v>
      </c>
      <c r="E2886" s="5" t="s">
        <v>749</v>
      </c>
      <c r="F2886" s="9">
        <v>97</v>
      </c>
      <c r="G2886" s="9">
        <v>1204</v>
      </c>
      <c r="H2886" s="5" t="s">
        <v>21</v>
      </c>
      <c r="I2886" s="5" t="s">
        <v>7373</v>
      </c>
      <c r="J2886" s="12" t="str">
        <f>HYPERLINK("https://www.boe.es/gazeta/dias/1802/11/30/pdfs/GMD-1802-97.pdf#page=12","Abrir facsímil")</f>
        <v>Abrir facsímil</v>
      </c>
      <c r="K2886" s="15" t="s">
        <v>23</v>
      </c>
    </row>
    <row r="2887" spans="1:11" ht="42" customHeight="1">
      <c r="A2887" s="4" t="s">
        <v>7374</v>
      </c>
      <c r="B2887" s="5" t="s">
        <v>7374</v>
      </c>
      <c r="C2887" s="5" t="s">
        <v>18</v>
      </c>
      <c r="D2887" s="5" t="s">
        <v>19</v>
      </c>
      <c r="E2887" s="5" t="s">
        <v>328</v>
      </c>
      <c r="F2887" s="9">
        <v>45</v>
      </c>
      <c r="G2887" s="9">
        <v>544</v>
      </c>
      <c r="H2887" s="5" t="s">
        <v>21</v>
      </c>
      <c r="I2887" s="5" t="s">
        <v>7375</v>
      </c>
      <c r="J2887" s="12" t="str">
        <f>HYPERLINK("https://www.boe.es/gazeta/dias/1802/06/04/pdfs/GMD-1802-45.pdf#page=8","Abrir facsímil")</f>
        <v>Abrir facsímil</v>
      </c>
      <c r="K2887" s="15" t="s">
        <v>23</v>
      </c>
    </row>
    <row r="2888" spans="1:11" ht="42" customHeight="1">
      <c r="A2888" s="4" t="s">
        <v>7376</v>
      </c>
      <c r="B2888" s="5" t="s">
        <v>7376</v>
      </c>
      <c r="C2888" s="5" t="s">
        <v>29</v>
      </c>
      <c r="D2888" s="5" t="s">
        <v>30</v>
      </c>
      <c r="E2888" s="5" t="s">
        <v>751</v>
      </c>
      <c r="F2888" s="9">
        <v>98</v>
      </c>
      <c r="G2888" s="9">
        <v>1214</v>
      </c>
      <c r="H2888" s="5" t="s">
        <v>21</v>
      </c>
      <c r="I2888" s="5" t="s">
        <v>7377</v>
      </c>
      <c r="J2888" s="12" t="str">
        <f>HYPERLINK("https://www.boe.es/gazeta/dias/1802/12/03/pdfs/GMD-1802-98.pdf#page=10","Abrir facsímil")</f>
        <v>Abrir facsímil</v>
      </c>
      <c r="K2888" s="15" t="s">
        <v>23</v>
      </c>
    </row>
    <row r="2889" spans="1:11" ht="42" customHeight="1">
      <c r="A2889" s="4" t="s">
        <v>7378</v>
      </c>
      <c r="B2889" s="5" t="s">
        <v>7378</v>
      </c>
      <c r="C2889" s="5" t="s">
        <v>35</v>
      </c>
      <c r="D2889" s="5" t="s">
        <v>36</v>
      </c>
      <c r="E2889" s="5" t="s">
        <v>148</v>
      </c>
      <c r="F2889" s="9">
        <v>66</v>
      </c>
      <c r="G2889" s="9">
        <v>808</v>
      </c>
      <c r="H2889" s="5" t="s">
        <v>21</v>
      </c>
      <c r="I2889" s="5" t="s">
        <v>7379</v>
      </c>
      <c r="J2889" s="12" t="str">
        <f>HYPERLINK("https://www.boe.es/gazeta/dias/1802/08/13/pdfs/GMD-1802-66.pdf#page=12","Abrir facsímil")</f>
        <v>Abrir facsímil</v>
      </c>
      <c r="K2889" s="15" t="s">
        <v>23</v>
      </c>
    </row>
    <row r="2890" spans="1:11" ht="42" customHeight="1">
      <c r="A2890" s="4" t="s">
        <v>7380</v>
      </c>
      <c r="B2890" s="5" t="s">
        <v>7380</v>
      </c>
      <c r="C2890" s="5" t="s">
        <v>18</v>
      </c>
      <c r="D2890" s="5" t="s">
        <v>19</v>
      </c>
      <c r="E2890" s="5" t="s">
        <v>299</v>
      </c>
      <c r="F2890" s="9">
        <v>19</v>
      </c>
      <c r="G2890" s="9">
        <v>208</v>
      </c>
      <c r="H2890" s="5" t="s">
        <v>21</v>
      </c>
      <c r="I2890" s="5" t="s">
        <v>7381</v>
      </c>
      <c r="J2890" s="12" t="str">
        <f>HYPERLINK("https://www.boe.es/gazeta/dias/1802/03/05/pdfs/GMD-1802-19.pdf#page=8","Abrir facsímil")</f>
        <v>Abrir facsímil</v>
      </c>
      <c r="K2890" s="15" t="s">
        <v>23</v>
      </c>
    </row>
    <row r="2891" spans="1:11" ht="42" customHeight="1">
      <c r="A2891" s="4" t="s">
        <v>7382</v>
      </c>
      <c r="B2891" s="5" t="s">
        <v>7383</v>
      </c>
      <c r="C2891" s="5" t="s">
        <v>90</v>
      </c>
      <c r="D2891" s="5" t="s">
        <v>91</v>
      </c>
      <c r="E2891" s="5" t="s">
        <v>219</v>
      </c>
      <c r="F2891" s="9">
        <v>81</v>
      </c>
      <c r="G2891" s="9">
        <v>999</v>
      </c>
      <c r="H2891" s="5" t="s">
        <v>21</v>
      </c>
      <c r="I2891" s="5" t="s">
        <v>7384</v>
      </c>
      <c r="J2891" s="12" t="str">
        <f>HYPERLINK("https://www.boe.es/gazeta/dias/1802/10/05/pdfs/GMD-1802-81.pdf#page=11","Abrir facsímil")</f>
        <v>Abrir facsímil</v>
      </c>
      <c r="K2891" s="15" t="s">
        <v>23</v>
      </c>
    </row>
    <row r="2892" spans="1:11" ht="42" customHeight="1">
      <c r="A2892" s="4" t="s">
        <v>7385</v>
      </c>
      <c r="B2892" s="5" t="s">
        <v>7386</v>
      </c>
      <c r="C2892" s="5" t="s">
        <v>18</v>
      </c>
      <c r="D2892" s="5" t="s">
        <v>19</v>
      </c>
      <c r="E2892" s="5" t="s">
        <v>71</v>
      </c>
      <c r="F2892" s="9">
        <v>21</v>
      </c>
      <c r="G2892" s="9">
        <v>236</v>
      </c>
      <c r="H2892" s="5" t="s">
        <v>21</v>
      </c>
      <c r="I2892" s="5" t="s">
        <v>7387</v>
      </c>
      <c r="J2892" s="12" t="str">
        <f>HYPERLINK("https://www.boe.es/gazeta/dias/1802/03/12/pdfs/GMD-1802-21.pdf#page=12","Abrir facsímil")</f>
        <v>Abrir facsímil</v>
      </c>
      <c r="K2892" s="15" t="s">
        <v>23</v>
      </c>
    </row>
    <row r="2893" spans="1:11" ht="42" customHeight="1">
      <c r="A2893" s="4" t="s">
        <v>7388</v>
      </c>
      <c r="B2893" s="5" t="s">
        <v>7389</v>
      </c>
      <c r="C2893" s="5" t="s">
        <v>18</v>
      </c>
      <c r="D2893" s="5" t="s">
        <v>19</v>
      </c>
      <c r="E2893" s="5" t="s">
        <v>49</v>
      </c>
      <c r="F2893" s="9">
        <v>83</v>
      </c>
      <c r="G2893" s="9">
        <v>1022</v>
      </c>
      <c r="H2893" s="5" t="s">
        <v>21</v>
      </c>
      <c r="I2893" s="5" t="s">
        <v>7390</v>
      </c>
      <c r="J2893" s="12" t="str">
        <f>HYPERLINK("https://www.boe.es/gazeta/dias/1802/10/12/pdfs/GMD-1802-83.pdf#page=10","Abrir facsímil")</f>
        <v>Abrir facsímil</v>
      </c>
      <c r="K2893" s="15" t="s">
        <v>23</v>
      </c>
    </row>
    <row r="2894" spans="1:11" ht="42" customHeight="1">
      <c r="A2894" s="4" t="s">
        <v>7391</v>
      </c>
      <c r="B2894" s="5" t="s">
        <v>7392</v>
      </c>
      <c r="C2894" s="5" t="s">
        <v>90</v>
      </c>
      <c r="D2894" s="5" t="s">
        <v>91</v>
      </c>
      <c r="E2894" s="5" t="s">
        <v>102</v>
      </c>
      <c r="F2894" s="9">
        <v>73</v>
      </c>
      <c r="G2894" s="9">
        <v>901</v>
      </c>
      <c r="H2894" s="5" t="s">
        <v>21</v>
      </c>
      <c r="I2894" s="5" t="s">
        <v>7393</v>
      </c>
      <c r="J2894" s="12" t="str">
        <f>HYPERLINK("https://www.boe.es/gazeta/dias/1802/09/07/pdfs/GMD-1802-73.pdf#page=9","Abrir facsímil")</f>
        <v>Abrir facsímil</v>
      </c>
      <c r="K2894" s="15" t="s">
        <v>23</v>
      </c>
    </row>
    <row r="2895" spans="1:11" ht="42" customHeight="1">
      <c r="A2895" s="4" t="s">
        <v>7394</v>
      </c>
      <c r="B2895" s="5" t="s">
        <v>7394</v>
      </c>
      <c r="C2895" s="5" t="s">
        <v>42</v>
      </c>
      <c r="D2895" s="5" t="s">
        <v>43</v>
      </c>
      <c r="E2895" s="5" t="s">
        <v>44</v>
      </c>
      <c r="F2895" s="9">
        <v>99</v>
      </c>
      <c r="G2895" s="9" t="s">
        <v>550</v>
      </c>
      <c r="H2895" s="5" t="s">
        <v>21</v>
      </c>
      <c r="I2895" s="5" t="s">
        <v>7395</v>
      </c>
      <c r="J2895" s="12" t="str">
        <f>HYPERLINK("https://www.boe.es/gazeta/dias/1802/12/07/pdfs/GMD-D-1802-99.pdf#page=16","Abrir facsímil")</f>
        <v>Abrir facsímil</v>
      </c>
      <c r="K2895" s="15" t="s">
        <v>23</v>
      </c>
    </row>
    <row r="2896" spans="1:11" ht="42" customHeight="1">
      <c r="A2896" s="4" t="s">
        <v>7396</v>
      </c>
      <c r="B2896" s="5" t="s">
        <v>7396</v>
      </c>
      <c r="C2896" s="5" t="s">
        <v>160</v>
      </c>
      <c r="D2896" s="5" t="s">
        <v>91</v>
      </c>
      <c r="E2896" s="5" t="s">
        <v>1289</v>
      </c>
      <c r="F2896" s="9">
        <v>72</v>
      </c>
      <c r="G2896" s="9">
        <v>888</v>
      </c>
      <c r="H2896" s="5" t="s">
        <v>21</v>
      </c>
      <c r="I2896" s="5" t="s">
        <v>7397</v>
      </c>
      <c r="J2896" s="12" t="str">
        <f>HYPERLINK("https://www.boe.es/gazeta/dias/1802/09/03/pdfs/GMD-1802-72.pdf#page=8","Abrir facsímil")</f>
        <v>Abrir facsímil</v>
      </c>
      <c r="K2896" s="15" t="s">
        <v>23</v>
      </c>
    </row>
    <row r="2897" spans="1:11" ht="42" customHeight="1">
      <c r="A2897" s="4" t="s">
        <v>7398</v>
      </c>
      <c r="B2897" s="5" t="s">
        <v>7398</v>
      </c>
      <c r="C2897" s="5" t="s">
        <v>18</v>
      </c>
      <c r="D2897" s="5" t="s">
        <v>19</v>
      </c>
      <c r="E2897" s="5" t="s">
        <v>49</v>
      </c>
      <c r="F2897" s="9">
        <v>83</v>
      </c>
      <c r="G2897" s="9">
        <v>1024</v>
      </c>
      <c r="H2897" s="5" t="s">
        <v>21</v>
      </c>
      <c r="I2897" s="5" t="s">
        <v>7399</v>
      </c>
      <c r="J2897" s="12" t="str">
        <f>HYPERLINK("https://www.boe.es/gazeta/dias/1802/10/12/pdfs/GMD-1802-83.pdf#page=12","Abrir facsímil")</f>
        <v>Abrir facsímil</v>
      </c>
      <c r="K2897" s="15" t="s">
        <v>23</v>
      </c>
    </row>
    <row r="2898" spans="1:11" ht="42" customHeight="1">
      <c r="A2898" s="4" t="s">
        <v>7400</v>
      </c>
      <c r="B2898" s="5" t="s">
        <v>7400</v>
      </c>
      <c r="C2898" s="5" t="s">
        <v>18</v>
      </c>
      <c r="D2898" s="5" t="s">
        <v>19</v>
      </c>
      <c r="E2898" s="5" t="s">
        <v>20</v>
      </c>
      <c r="F2898" s="9">
        <v>84</v>
      </c>
      <c r="G2898" s="9">
        <v>1045</v>
      </c>
      <c r="H2898" s="5" t="s">
        <v>21</v>
      </c>
      <c r="I2898" s="5" t="s">
        <v>7401</v>
      </c>
      <c r="J2898" s="12" t="str">
        <f>HYPERLINK("https://www.boe.es/gazeta/dias/1802/10/15/pdfs/GMD-1802-84.pdf#page=13","Abrir facsímil")</f>
        <v>Abrir facsímil</v>
      </c>
      <c r="K2898" s="15" t="s">
        <v>23</v>
      </c>
    </row>
    <row r="2899" spans="1:11" ht="42" customHeight="1">
      <c r="A2899" s="4" t="s">
        <v>7402</v>
      </c>
      <c r="B2899" s="5" t="s">
        <v>7402</v>
      </c>
      <c r="C2899" s="5" t="s">
        <v>18</v>
      </c>
      <c r="D2899" s="5" t="s">
        <v>19</v>
      </c>
      <c r="E2899" s="5" t="s">
        <v>20</v>
      </c>
      <c r="F2899" s="9">
        <v>84</v>
      </c>
      <c r="G2899" s="9">
        <v>1039</v>
      </c>
      <c r="H2899" s="5" t="s">
        <v>21</v>
      </c>
      <c r="I2899" s="5" t="s">
        <v>7403</v>
      </c>
      <c r="J2899" s="12" t="str">
        <f>HYPERLINK("https://www.boe.es/gazeta/dias/1802/10/15/pdfs/GMD-1802-84.pdf#page=7","Abrir facsímil")</f>
        <v>Abrir facsímil</v>
      </c>
      <c r="K2899" s="15" t="s">
        <v>23</v>
      </c>
    </row>
    <row r="2900" spans="1:11" ht="42" customHeight="1">
      <c r="A2900" s="4" t="s">
        <v>7404</v>
      </c>
      <c r="B2900" s="5" t="s">
        <v>7405</v>
      </c>
      <c r="C2900" s="5" t="s">
        <v>29</v>
      </c>
      <c r="D2900" s="5" t="s">
        <v>30</v>
      </c>
      <c r="E2900" s="5" t="s">
        <v>167</v>
      </c>
      <c r="F2900" s="9">
        <v>23</v>
      </c>
      <c r="G2900" s="9">
        <v>259</v>
      </c>
      <c r="H2900" s="5" t="s">
        <v>21</v>
      </c>
      <c r="I2900" s="5" t="s">
        <v>7406</v>
      </c>
      <c r="J2900" s="12" t="str">
        <f>HYPERLINK("https://www.boe.es/gazeta/dias/1802/03/19/pdfs/GMD-1802-23.pdf#page=7","Abrir facsímil")</f>
        <v>Abrir facsímil</v>
      </c>
      <c r="K2900" s="15" t="s">
        <v>23</v>
      </c>
    </row>
    <row r="2901" spans="1:11" ht="42" customHeight="1">
      <c r="A2901" s="4" t="s">
        <v>7407</v>
      </c>
      <c r="B2901" s="5" t="s">
        <v>7408</v>
      </c>
      <c r="C2901" s="5" t="s">
        <v>18</v>
      </c>
      <c r="D2901" s="5" t="s">
        <v>19</v>
      </c>
      <c r="E2901" s="5" t="s">
        <v>49</v>
      </c>
      <c r="F2901" s="9">
        <v>83</v>
      </c>
      <c r="G2901" s="9">
        <v>1021</v>
      </c>
      <c r="H2901" s="5" t="s">
        <v>21</v>
      </c>
      <c r="I2901" s="5" t="s">
        <v>7409</v>
      </c>
      <c r="J2901" s="12" t="str">
        <f>HYPERLINK("https://www.boe.es/gazeta/dias/1802/10/12/pdfs/GMD-1802-83.pdf#page=9","Abrir facsímil")</f>
        <v>Abrir facsímil</v>
      </c>
      <c r="K2901" s="15" t="s">
        <v>23</v>
      </c>
    </row>
    <row r="2902" spans="1:11" ht="42" customHeight="1">
      <c r="A2902" s="4" t="s">
        <v>7410</v>
      </c>
      <c r="B2902" s="5" t="s">
        <v>7411</v>
      </c>
      <c r="C2902" s="5" t="s">
        <v>18</v>
      </c>
      <c r="D2902" s="5" t="s">
        <v>19</v>
      </c>
      <c r="E2902" s="5" t="s">
        <v>439</v>
      </c>
      <c r="F2902" s="9">
        <v>76</v>
      </c>
      <c r="G2902" s="9">
        <v>938</v>
      </c>
      <c r="H2902" s="5" t="s">
        <v>21</v>
      </c>
      <c r="I2902" s="5" t="s">
        <v>7412</v>
      </c>
      <c r="J2902" s="12" t="str">
        <f>HYPERLINK("https://www.boe.es/gazeta/dias/1802/09/17/pdfs/GMD-1802-76.pdf#page=10","Abrir facsímil")</f>
        <v>Abrir facsímil</v>
      </c>
      <c r="K2902" s="15" t="s">
        <v>23</v>
      </c>
    </row>
    <row r="2903" spans="1:11" ht="42" customHeight="1">
      <c r="A2903" s="4" t="s">
        <v>7413</v>
      </c>
      <c r="B2903" s="5" t="s">
        <v>7414</v>
      </c>
      <c r="C2903" s="5" t="s">
        <v>160</v>
      </c>
      <c r="D2903" s="5" t="s">
        <v>91</v>
      </c>
      <c r="E2903" s="5" t="s">
        <v>328</v>
      </c>
      <c r="F2903" s="9">
        <v>45</v>
      </c>
      <c r="G2903" s="9">
        <v>544</v>
      </c>
      <c r="H2903" s="5" t="s">
        <v>21</v>
      </c>
      <c r="I2903" s="5" t="s">
        <v>7415</v>
      </c>
      <c r="J2903" s="12" t="str">
        <f>HYPERLINK("https://www.boe.es/gazeta/dias/1802/06/04/pdfs/GMD-1802-45.pdf#page=8","Abrir facsímil")</f>
        <v>Abrir facsímil</v>
      </c>
      <c r="K2903" s="15" t="s">
        <v>23</v>
      </c>
    </row>
    <row r="2904" spans="1:11" ht="42" customHeight="1">
      <c r="A2904" s="4" t="s">
        <v>7416</v>
      </c>
      <c r="B2904" s="5" t="s">
        <v>7417</v>
      </c>
      <c r="C2904" s="5" t="s">
        <v>18</v>
      </c>
      <c r="D2904" s="5" t="s">
        <v>19</v>
      </c>
      <c r="E2904" s="5" t="s">
        <v>20</v>
      </c>
      <c r="F2904" s="9">
        <v>84</v>
      </c>
      <c r="G2904" s="9">
        <v>1044</v>
      </c>
      <c r="H2904" s="5" t="s">
        <v>21</v>
      </c>
      <c r="I2904" s="5" t="s">
        <v>7418</v>
      </c>
      <c r="J2904" s="12" t="str">
        <f>HYPERLINK("https://www.boe.es/gazeta/dias/1802/10/15/pdfs/GMD-1802-84.pdf#page=12","Abrir facsímil")</f>
        <v>Abrir facsímil</v>
      </c>
      <c r="K2904" s="15" t="s">
        <v>23</v>
      </c>
    </row>
    <row r="2905" spans="1:11" ht="42" customHeight="1">
      <c r="A2905" s="4" t="s">
        <v>7419</v>
      </c>
      <c r="B2905" s="5" t="s">
        <v>7420</v>
      </c>
      <c r="C2905" s="5" t="s">
        <v>90</v>
      </c>
      <c r="D2905" s="5" t="s">
        <v>91</v>
      </c>
      <c r="E2905" s="5" t="s">
        <v>86</v>
      </c>
      <c r="F2905" s="9">
        <v>26</v>
      </c>
      <c r="G2905" s="9">
        <v>298</v>
      </c>
      <c r="H2905" s="5" t="s">
        <v>21</v>
      </c>
      <c r="I2905" s="5" t="s">
        <v>7421</v>
      </c>
      <c r="J2905" s="12" t="str">
        <f>HYPERLINK("https://www.boe.es/gazeta/dias/1802/03/30/pdfs/GMD-1802-26.pdf#page=10","Abrir facsímil")</f>
        <v>Abrir facsímil</v>
      </c>
      <c r="K2905" s="15" t="s">
        <v>23</v>
      </c>
    </row>
    <row r="2906" spans="1:11" ht="42" customHeight="1">
      <c r="A2906" s="4" t="s">
        <v>7422</v>
      </c>
      <c r="B2906" s="5" t="s">
        <v>7423</v>
      </c>
      <c r="C2906" s="5" t="s">
        <v>29</v>
      </c>
      <c r="D2906" s="5" t="s">
        <v>30</v>
      </c>
      <c r="E2906" s="5" t="s">
        <v>436</v>
      </c>
      <c r="F2906" s="9">
        <v>58</v>
      </c>
      <c r="G2906" s="9">
        <v>701</v>
      </c>
      <c r="H2906" s="5" t="s">
        <v>21</v>
      </c>
      <c r="I2906" s="5" t="s">
        <v>7424</v>
      </c>
      <c r="J2906" s="12" t="str">
        <f>HYPERLINK("https://www.boe.es/gazeta/dias/1802/07/20/pdfs/GMD-1802-58.pdf#page=9","Abrir facsímil")</f>
        <v>Abrir facsímil</v>
      </c>
      <c r="K2906" s="15" t="s">
        <v>23</v>
      </c>
    </row>
    <row r="2907" spans="1:11" ht="42" customHeight="1">
      <c r="A2907" s="4" t="s">
        <v>7422</v>
      </c>
      <c r="B2907" s="5" t="s">
        <v>7423</v>
      </c>
      <c r="C2907" s="5" t="s">
        <v>18</v>
      </c>
      <c r="D2907" s="5" t="s">
        <v>19</v>
      </c>
      <c r="E2907" s="5" t="s">
        <v>1749</v>
      </c>
      <c r="F2907" s="9">
        <v>60</v>
      </c>
      <c r="G2907" s="9">
        <v>730</v>
      </c>
      <c r="H2907" s="5" t="s">
        <v>21</v>
      </c>
      <c r="I2907" s="5" t="s">
        <v>7425</v>
      </c>
      <c r="J2907" s="12" t="str">
        <f>HYPERLINK("https://www.boe.es/gazeta/dias/1802/07/23/pdfs/GMD-1802-60.pdf#page=14","Abrir facsímil")</f>
        <v>Abrir facsímil</v>
      </c>
      <c r="K2907" s="15" t="s">
        <v>23</v>
      </c>
    </row>
    <row r="2908" spans="1:11" ht="42" customHeight="1">
      <c r="A2908" s="4" t="s">
        <v>7426</v>
      </c>
      <c r="B2908" s="5" t="s">
        <v>7427</v>
      </c>
      <c r="C2908" s="5" t="s">
        <v>160</v>
      </c>
      <c r="D2908" s="5" t="s">
        <v>91</v>
      </c>
      <c r="E2908" s="5" t="s">
        <v>328</v>
      </c>
      <c r="F2908" s="9">
        <v>45</v>
      </c>
      <c r="G2908" s="9">
        <v>546</v>
      </c>
      <c r="H2908" s="5" t="s">
        <v>21</v>
      </c>
      <c r="I2908" s="5" t="s">
        <v>7428</v>
      </c>
      <c r="J2908" s="12" t="str">
        <f>HYPERLINK("https://www.boe.es/gazeta/dias/1802/06/04/pdfs/GMD-1802-45.pdf#page=10","Abrir facsímil")</f>
        <v>Abrir facsímil</v>
      </c>
      <c r="K2908" s="15" t="s">
        <v>23</v>
      </c>
    </row>
    <row r="2909" spans="1:11" ht="42" customHeight="1">
      <c r="A2909" s="4" t="s">
        <v>7429</v>
      </c>
      <c r="B2909" s="5" t="s">
        <v>7430</v>
      </c>
      <c r="C2909" s="5" t="s">
        <v>18</v>
      </c>
      <c r="D2909" s="5" t="s">
        <v>19</v>
      </c>
      <c r="E2909" s="5" t="s">
        <v>20</v>
      </c>
      <c r="F2909" s="9">
        <v>84</v>
      </c>
      <c r="G2909" s="9">
        <v>1047</v>
      </c>
      <c r="H2909" s="5" t="s">
        <v>21</v>
      </c>
      <c r="I2909" s="5" t="s">
        <v>7431</v>
      </c>
      <c r="J2909" s="12" t="str">
        <f>HYPERLINK("https://www.boe.es/gazeta/dias/1802/10/15/pdfs/GMD-1802-84.pdf#page=15","Abrir facsímil")</f>
        <v>Abrir facsímil</v>
      </c>
      <c r="K2909" s="15" t="s">
        <v>23</v>
      </c>
    </row>
    <row r="2910" spans="1:11" ht="42" customHeight="1">
      <c r="A2910" s="4" t="s">
        <v>7432</v>
      </c>
      <c r="B2910" s="5" t="s">
        <v>7433</v>
      </c>
      <c r="C2910" s="5" t="s">
        <v>18</v>
      </c>
      <c r="D2910" s="5" t="s">
        <v>19</v>
      </c>
      <c r="E2910" s="5" t="s">
        <v>49</v>
      </c>
      <c r="F2910" s="9">
        <v>83</v>
      </c>
      <c r="G2910" s="9">
        <v>1020</v>
      </c>
      <c r="H2910" s="5" t="s">
        <v>21</v>
      </c>
      <c r="I2910" s="5" t="s">
        <v>7434</v>
      </c>
      <c r="J2910" s="12" t="str">
        <f>HYPERLINK("https://www.boe.es/gazeta/dias/1802/10/12/pdfs/GMD-1802-83.pdf#page=8","Abrir facsímil")</f>
        <v>Abrir facsímil</v>
      </c>
      <c r="K2910" s="15" t="s">
        <v>23</v>
      </c>
    </row>
    <row r="2911" spans="1:11" ht="42" customHeight="1">
      <c r="A2911" s="4" t="s">
        <v>7435</v>
      </c>
      <c r="B2911" s="5" t="s">
        <v>7436</v>
      </c>
      <c r="C2911" s="5" t="s">
        <v>90</v>
      </c>
      <c r="D2911" s="5" t="s">
        <v>91</v>
      </c>
      <c r="E2911" s="5" t="s">
        <v>436</v>
      </c>
      <c r="F2911" s="9">
        <v>58</v>
      </c>
      <c r="G2911" s="9">
        <v>701</v>
      </c>
      <c r="H2911" s="5" t="s">
        <v>21</v>
      </c>
      <c r="I2911" s="5" t="s">
        <v>7437</v>
      </c>
      <c r="J2911" s="12" t="str">
        <f>HYPERLINK("https://www.boe.es/gazeta/dias/1802/07/20/pdfs/GMD-1802-58.pdf#page=9","Abrir facsímil")</f>
        <v>Abrir facsímil</v>
      </c>
      <c r="K2911" s="15" t="s">
        <v>23</v>
      </c>
    </row>
    <row r="2912" spans="1:11" ht="42" customHeight="1">
      <c r="A2912" s="4" t="s">
        <v>7438</v>
      </c>
      <c r="B2912" s="5" t="s">
        <v>7439</v>
      </c>
      <c r="C2912" s="5" t="s">
        <v>18</v>
      </c>
      <c r="D2912" s="5" t="s">
        <v>19</v>
      </c>
      <c r="E2912" s="5" t="s">
        <v>20</v>
      </c>
      <c r="F2912" s="9">
        <v>84</v>
      </c>
      <c r="G2912" s="9">
        <v>1044</v>
      </c>
      <c r="H2912" s="5" t="s">
        <v>21</v>
      </c>
      <c r="I2912" s="5" t="s">
        <v>7440</v>
      </c>
      <c r="J2912" s="12" t="str">
        <f>HYPERLINK("https://www.boe.es/gazeta/dias/1802/10/15/pdfs/GMD-1802-84.pdf#page=12","Abrir facsímil")</f>
        <v>Abrir facsímil</v>
      </c>
      <c r="K2912" s="15" t="s">
        <v>23</v>
      </c>
    </row>
    <row r="2913" spans="1:11" ht="42" customHeight="1">
      <c r="A2913" s="4" t="s">
        <v>7441</v>
      </c>
      <c r="B2913" s="5" t="s">
        <v>7442</v>
      </c>
      <c r="C2913" s="5" t="s">
        <v>18</v>
      </c>
      <c r="D2913" s="5" t="s">
        <v>19</v>
      </c>
      <c r="E2913" s="5" t="s">
        <v>152</v>
      </c>
      <c r="F2913" s="9">
        <v>25</v>
      </c>
      <c r="G2913" s="9">
        <v>284</v>
      </c>
      <c r="H2913" s="5" t="s">
        <v>21</v>
      </c>
      <c r="I2913" s="5" t="s">
        <v>7443</v>
      </c>
      <c r="J2913" s="12" t="str">
        <f>HYPERLINK("https://www.boe.es/gazeta/dias/1802/03/26/pdfs/GMD-1802-25.pdf#page=8","Abrir facsímil")</f>
        <v>Abrir facsímil</v>
      </c>
      <c r="K2913" s="15" t="s">
        <v>23</v>
      </c>
    </row>
    <row r="2914" spans="1:11" ht="42" customHeight="1">
      <c r="A2914" s="4" t="s">
        <v>7444</v>
      </c>
      <c r="B2914" s="5" t="s">
        <v>7445</v>
      </c>
      <c r="C2914" s="5" t="s">
        <v>160</v>
      </c>
      <c r="D2914" s="5" t="s">
        <v>91</v>
      </c>
      <c r="E2914" s="5" t="s">
        <v>148</v>
      </c>
      <c r="F2914" s="9">
        <v>66</v>
      </c>
      <c r="G2914" s="9">
        <v>808</v>
      </c>
      <c r="H2914" s="5" t="s">
        <v>21</v>
      </c>
      <c r="I2914" s="5" t="s">
        <v>7446</v>
      </c>
      <c r="J2914" s="12" t="str">
        <f>HYPERLINK("https://www.boe.es/gazeta/dias/1802/08/13/pdfs/GMD-1802-66.pdf#page=12","Abrir facsímil")</f>
        <v>Abrir facsímil</v>
      </c>
      <c r="K2914" s="15" t="s">
        <v>23</v>
      </c>
    </row>
    <row r="2915" spans="1:11" ht="42" customHeight="1">
      <c r="A2915" s="4" t="s">
        <v>7447</v>
      </c>
      <c r="B2915" s="5" t="s">
        <v>7448</v>
      </c>
      <c r="C2915" s="5" t="s">
        <v>18</v>
      </c>
      <c r="D2915" s="5" t="s">
        <v>19</v>
      </c>
      <c r="E2915" s="5" t="s">
        <v>31</v>
      </c>
      <c r="F2915" s="9">
        <v>27</v>
      </c>
      <c r="G2915" s="9">
        <v>318</v>
      </c>
      <c r="H2915" s="5" t="s">
        <v>21</v>
      </c>
      <c r="I2915" s="5" t="s">
        <v>7449</v>
      </c>
      <c r="J2915" s="12" t="str">
        <f>HYPERLINK("https://www.boe.es/gazeta/dias/1802/04/02/pdfs/GMD-1802-27.pdf#page=14","Abrir facsímil")</f>
        <v>Abrir facsímil</v>
      </c>
      <c r="K2915" s="15" t="s">
        <v>23</v>
      </c>
    </row>
    <row r="2916" spans="1:11" ht="42" customHeight="1">
      <c r="A2916" s="4" t="s">
        <v>7450</v>
      </c>
      <c r="B2916" s="5" t="s">
        <v>7451</v>
      </c>
      <c r="C2916" s="5" t="s">
        <v>160</v>
      </c>
      <c r="D2916" s="5" t="s">
        <v>91</v>
      </c>
      <c r="E2916" s="5" t="s">
        <v>170</v>
      </c>
      <c r="F2916" s="9">
        <v>28</v>
      </c>
      <c r="G2916" s="9">
        <v>330</v>
      </c>
      <c r="H2916" s="5" t="s">
        <v>21</v>
      </c>
      <c r="I2916" s="5" t="s">
        <v>7452</v>
      </c>
      <c r="J2916" s="12" t="str">
        <f>HYPERLINK("https://www.boe.es/gazeta/dias/1802/04/06/pdfs/GMD-1802-28.pdf#page=10","Abrir facsímil")</f>
        <v>Abrir facsímil</v>
      </c>
      <c r="K2916" s="15" t="s">
        <v>23</v>
      </c>
    </row>
    <row r="2917" spans="1:11" ht="42" customHeight="1">
      <c r="A2917" s="4" t="s">
        <v>7453</v>
      </c>
      <c r="B2917" s="5" t="s">
        <v>7454</v>
      </c>
      <c r="C2917" s="5" t="s">
        <v>160</v>
      </c>
      <c r="D2917" s="5" t="s">
        <v>91</v>
      </c>
      <c r="E2917" s="5" t="s">
        <v>1332</v>
      </c>
      <c r="F2917" s="9">
        <v>4</v>
      </c>
      <c r="G2917" s="9">
        <v>38</v>
      </c>
      <c r="H2917" s="5" t="s">
        <v>21</v>
      </c>
      <c r="I2917" s="5" t="s">
        <v>7455</v>
      </c>
      <c r="J2917" s="12" t="str">
        <f>HYPERLINK("https://www.boe.es/gazeta/dias/1802/01/12/pdfs/GMD-1802-4.pdf#page=10","Abrir facsímil")</f>
        <v>Abrir facsímil</v>
      </c>
      <c r="K2917" s="15" t="s">
        <v>23</v>
      </c>
    </row>
    <row r="2918" spans="1:11" ht="42" customHeight="1">
      <c r="A2918" s="4" t="s">
        <v>7456</v>
      </c>
      <c r="B2918" s="5" t="s">
        <v>7457</v>
      </c>
      <c r="C2918" s="5" t="s">
        <v>160</v>
      </c>
      <c r="D2918" s="5" t="s">
        <v>91</v>
      </c>
      <c r="E2918" s="5" t="s">
        <v>1332</v>
      </c>
      <c r="F2918" s="9">
        <v>4</v>
      </c>
      <c r="G2918" s="9">
        <v>39</v>
      </c>
      <c r="H2918" s="5" t="s">
        <v>21</v>
      </c>
      <c r="I2918" s="5" t="s">
        <v>7458</v>
      </c>
      <c r="J2918" s="12" t="str">
        <f>HYPERLINK("https://www.boe.es/gazeta/dias/1802/01/12/pdfs/GMD-1802-4.pdf#page=11","Abrir facsímil")</f>
        <v>Abrir facsímil</v>
      </c>
      <c r="K2918" s="15" t="s">
        <v>23</v>
      </c>
    </row>
    <row r="2919" spans="1:11" ht="42" customHeight="1">
      <c r="A2919" s="4" t="s">
        <v>7456</v>
      </c>
      <c r="B2919" s="5" t="s">
        <v>7457</v>
      </c>
      <c r="C2919" s="5" t="s">
        <v>160</v>
      </c>
      <c r="D2919" s="5" t="s">
        <v>91</v>
      </c>
      <c r="E2919" s="5" t="s">
        <v>328</v>
      </c>
      <c r="F2919" s="9">
        <v>45</v>
      </c>
      <c r="G2919" s="9">
        <v>546</v>
      </c>
      <c r="H2919" s="5" t="s">
        <v>21</v>
      </c>
      <c r="I2919" s="5" t="s">
        <v>7459</v>
      </c>
      <c r="J2919" s="12" t="str">
        <f>HYPERLINK("https://www.boe.es/gazeta/dias/1802/06/04/pdfs/GMD-1802-45.pdf#page=10","Abrir facsímil")</f>
        <v>Abrir facsímil</v>
      </c>
      <c r="K2919" s="15" t="s">
        <v>23</v>
      </c>
    </row>
    <row r="2920" spans="1:11" ht="42" customHeight="1">
      <c r="A2920" s="4" t="s">
        <v>7460</v>
      </c>
      <c r="B2920" s="5" t="s">
        <v>7461</v>
      </c>
      <c r="C2920" s="5" t="s">
        <v>55</v>
      </c>
      <c r="D2920" s="5" t="s">
        <v>56</v>
      </c>
      <c r="E2920" s="5" t="s">
        <v>678</v>
      </c>
      <c r="F2920" s="9">
        <v>15</v>
      </c>
      <c r="G2920" s="9">
        <v>159</v>
      </c>
      <c r="H2920" s="5" t="s">
        <v>21</v>
      </c>
      <c r="I2920" s="5" t="s">
        <v>7462</v>
      </c>
      <c r="J2920" s="12" t="str">
        <f>HYPERLINK("https://www.boe.es/gazeta/dias/1802/02/19/pdfs/GMD-1802-15.pdf#page=11","Abrir facsímil")</f>
        <v>Abrir facsímil</v>
      </c>
      <c r="K2920" s="15" t="s">
        <v>23</v>
      </c>
    </row>
    <row r="2921" spans="1:11" ht="42" customHeight="1">
      <c r="A2921" s="4" t="s">
        <v>7463</v>
      </c>
      <c r="B2921" s="5" t="s">
        <v>7464</v>
      </c>
      <c r="C2921" s="5" t="s">
        <v>35</v>
      </c>
      <c r="D2921" s="5" t="s">
        <v>36</v>
      </c>
      <c r="E2921" s="5" t="s">
        <v>865</v>
      </c>
      <c r="F2921" s="9">
        <v>12</v>
      </c>
      <c r="G2921" s="9">
        <v>123</v>
      </c>
      <c r="H2921" s="5" t="s">
        <v>21</v>
      </c>
      <c r="I2921" s="5" t="s">
        <v>7465</v>
      </c>
      <c r="J2921" s="12" t="str">
        <f>HYPERLINK("https://www.boe.es/gazeta/dias/1802/02/09/pdfs/GMD-1802-12.pdf#page=7","Abrir facsímil")</f>
        <v>Abrir facsímil</v>
      </c>
      <c r="K2921" s="15" t="s">
        <v>23</v>
      </c>
    </row>
    <row r="2922" spans="1:11" ht="42" customHeight="1">
      <c r="A2922" s="4" t="s">
        <v>7466</v>
      </c>
      <c r="B2922" s="5" t="s">
        <v>7467</v>
      </c>
      <c r="C2922" s="5" t="s">
        <v>90</v>
      </c>
      <c r="D2922" s="5" t="s">
        <v>91</v>
      </c>
      <c r="E2922" s="5" t="s">
        <v>183</v>
      </c>
      <c r="F2922" s="9">
        <v>56</v>
      </c>
      <c r="G2922" s="9">
        <v>678</v>
      </c>
      <c r="H2922" s="5" t="s">
        <v>21</v>
      </c>
      <c r="I2922" s="5" t="s">
        <v>7468</v>
      </c>
      <c r="J2922" s="12" t="str">
        <f>HYPERLINK("https://www.boe.es/gazeta/dias/1802/07/13/pdfs/GMD-1802-56.pdf#page=10","Abrir facsímil")</f>
        <v>Abrir facsímil</v>
      </c>
      <c r="K2922" s="15" t="s">
        <v>23</v>
      </c>
    </row>
    <row r="2923" spans="1:11" ht="42" customHeight="1">
      <c r="A2923" s="4" t="s">
        <v>7469</v>
      </c>
      <c r="B2923" s="5" t="s">
        <v>7470</v>
      </c>
      <c r="C2923" s="5" t="s">
        <v>55</v>
      </c>
      <c r="D2923" s="5" t="s">
        <v>56</v>
      </c>
      <c r="E2923" s="5" t="s">
        <v>86</v>
      </c>
      <c r="F2923" s="9">
        <v>26</v>
      </c>
      <c r="G2923" s="9">
        <v>296</v>
      </c>
      <c r="H2923" s="5" t="s">
        <v>21</v>
      </c>
      <c r="I2923" s="5" t="s">
        <v>7471</v>
      </c>
      <c r="J2923" s="12" t="str">
        <f>HYPERLINK("https://www.boe.es/gazeta/dias/1802/03/30/pdfs/GMD-1802-26.pdf#page=8","Abrir facsímil")</f>
        <v>Abrir facsímil</v>
      </c>
      <c r="K2923" s="15" t="s">
        <v>23</v>
      </c>
    </row>
    <row r="2924" spans="1:11" ht="42" customHeight="1">
      <c r="A2924" s="4" t="s">
        <v>7472</v>
      </c>
      <c r="B2924" s="5" t="s">
        <v>7473</v>
      </c>
      <c r="C2924" s="5" t="s">
        <v>29</v>
      </c>
      <c r="D2924" s="5" t="s">
        <v>30</v>
      </c>
      <c r="E2924" s="5" t="s">
        <v>31</v>
      </c>
      <c r="F2924" s="9">
        <v>27</v>
      </c>
      <c r="G2924" s="9">
        <v>318</v>
      </c>
      <c r="H2924" s="5" t="s">
        <v>21</v>
      </c>
      <c r="I2924" s="5" t="s">
        <v>7474</v>
      </c>
      <c r="J2924" s="12" t="str">
        <f>HYPERLINK("https://www.boe.es/gazeta/dias/1802/04/02/pdfs/GMD-1802-27.pdf#page=14","Abrir facsímil")</f>
        <v>Abrir facsímil</v>
      </c>
      <c r="K2924" s="15" t="s">
        <v>23</v>
      </c>
    </row>
    <row r="2925" spans="1:11" ht="42" customHeight="1">
      <c r="A2925" s="4" t="s">
        <v>7475</v>
      </c>
      <c r="B2925" s="5" t="s">
        <v>7476</v>
      </c>
      <c r="C2925" s="5" t="s">
        <v>29</v>
      </c>
      <c r="D2925" s="5" t="s">
        <v>30</v>
      </c>
      <c r="E2925" s="5" t="s">
        <v>299</v>
      </c>
      <c r="F2925" s="9">
        <v>19</v>
      </c>
      <c r="G2925" s="9">
        <v>210</v>
      </c>
      <c r="H2925" s="5" t="s">
        <v>21</v>
      </c>
      <c r="I2925" s="5" t="s">
        <v>7477</v>
      </c>
      <c r="J2925" s="12" t="str">
        <f>HYPERLINK("https://www.boe.es/gazeta/dias/1802/03/05/pdfs/GMD-1802-19.pdf#page=10","Abrir facsímil")</f>
        <v>Abrir facsímil</v>
      </c>
      <c r="K2925" s="15" t="s">
        <v>23</v>
      </c>
    </row>
    <row r="2926" spans="1:11" ht="42" customHeight="1">
      <c r="A2926" s="4" t="s">
        <v>7478</v>
      </c>
      <c r="B2926" s="5" t="s">
        <v>7479</v>
      </c>
      <c r="C2926" s="5" t="s">
        <v>42</v>
      </c>
      <c r="D2926" s="5" t="s">
        <v>43</v>
      </c>
      <c r="E2926" s="5" t="s">
        <v>44</v>
      </c>
      <c r="F2926" s="9">
        <v>99</v>
      </c>
      <c r="G2926" s="9" t="s">
        <v>272</v>
      </c>
      <c r="H2926" s="5" t="s">
        <v>21</v>
      </c>
      <c r="I2926" s="5" t="s">
        <v>7480</v>
      </c>
      <c r="J2926" s="12" t="str">
        <f>HYPERLINK("https://www.boe.es/gazeta/dias/1802/12/07/pdfs/GMD-D-1802-99.pdf#page=3","Abrir facsímil")</f>
        <v>Abrir facsímil</v>
      </c>
      <c r="K2926" s="15" t="s">
        <v>23</v>
      </c>
    </row>
    <row r="2927" spans="1:11" ht="42" customHeight="1">
      <c r="A2927" s="4" t="s">
        <v>7481</v>
      </c>
      <c r="B2927" s="5" t="s">
        <v>7482</v>
      </c>
      <c r="C2927" s="5" t="s">
        <v>29</v>
      </c>
      <c r="D2927" s="5" t="s">
        <v>30</v>
      </c>
      <c r="E2927" s="5" t="s">
        <v>1407</v>
      </c>
      <c r="F2927" s="9">
        <v>8</v>
      </c>
      <c r="G2927" s="9">
        <v>79</v>
      </c>
      <c r="H2927" s="5" t="s">
        <v>21</v>
      </c>
      <c r="I2927" s="5" t="s">
        <v>7483</v>
      </c>
      <c r="J2927" s="12" t="str">
        <f>HYPERLINK("https://www.boe.es/gazeta/dias/1802/01/26/pdfs/GMD-1802-8.pdf#page=7","Abrir facsímil")</f>
        <v>Abrir facsímil</v>
      </c>
      <c r="K2927" s="15" t="s">
        <v>23</v>
      </c>
    </row>
    <row r="2928" spans="1:11" ht="42" customHeight="1">
      <c r="A2928" s="4" t="s">
        <v>7481</v>
      </c>
      <c r="B2928" s="5" t="s">
        <v>7482</v>
      </c>
      <c r="C2928" s="5" t="s">
        <v>90</v>
      </c>
      <c r="D2928" s="5" t="s">
        <v>91</v>
      </c>
      <c r="E2928" s="5" t="s">
        <v>247</v>
      </c>
      <c r="F2928" s="9">
        <v>14</v>
      </c>
      <c r="G2928" s="9">
        <v>146</v>
      </c>
      <c r="H2928" s="5" t="s">
        <v>21</v>
      </c>
      <c r="I2928" s="5" t="s">
        <v>7484</v>
      </c>
      <c r="J2928" s="12" t="str">
        <f>HYPERLINK("https://www.boe.es/gazeta/dias/1802/02/16/pdfs/GMD-1802-14.pdf#page=10","Abrir facsímil")</f>
        <v>Abrir facsímil</v>
      </c>
      <c r="K2928" s="15" t="s">
        <v>23</v>
      </c>
    </row>
    <row r="2929" spans="1:11" ht="42" customHeight="1">
      <c r="A2929" s="4" t="s">
        <v>7481</v>
      </c>
      <c r="B2929" s="5" t="s">
        <v>7482</v>
      </c>
      <c r="C2929" s="5" t="s">
        <v>29</v>
      </c>
      <c r="D2929" s="5" t="s">
        <v>30</v>
      </c>
      <c r="E2929" s="5" t="s">
        <v>232</v>
      </c>
      <c r="F2929" s="9">
        <v>30</v>
      </c>
      <c r="G2929" s="9">
        <v>351</v>
      </c>
      <c r="H2929" s="5" t="s">
        <v>21</v>
      </c>
      <c r="I2929" s="5" t="s">
        <v>7485</v>
      </c>
      <c r="J2929" s="12" t="str">
        <f>HYPERLINK("https://www.boe.es/gazeta/dias/1802/04/13/pdfs/GMD-1802-30.pdf#page=7","Abrir facsímil")</f>
        <v>Abrir facsímil</v>
      </c>
      <c r="K2929" s="15" t="s">
        <v>23</v>
      </c>
    </row>
    <row r="2930" spans="1:11" ht="42" customHeight="1">
      <c r="A2930" s="4" t="s">
        <v>7481</v>
      </c>
      <c r="B2930" s="5" t="s">
        <v>7482</v>
      </c>
      <c r="C2930" s="5" t="s">
        <v>29</v>
      </c>
      <c r="D2930" s="5" t="s">
        <v>30</v>
      </c>
      <c r="E2930" s="5" t="s">
        <v>192</v>
      </c>
      <c r="F2930" s="9">
        <v>53</v>
      </c>
      <c r="G2930" s="9">
        <v>643</v>
      </c>
      <c r="H2930" s="5" t="s">
        <v>21</v>
      </c>
      <c r="I2930" s="5" t="s">
        <v>7486</v>
      </c>
      <c r="J2930" s="12" t="str">
        <f>HYPERLINK("https://www.boe.es/gazeta/dias/1802/07/02/pdfs/GMD-1802-53.pdf#page=11","Abrir facsímil")</f>
        <v>Abrir facsímil</v>
      </c>
      <c r="K2930" s="15" t="s">
        <v>23</v>
      </c>
    </row>
    <row r="2931" spans="1:11" ht="42" customHeight="1">
      <c r="A2931" s="4" t="s">
        <v>7481</v>
      </c>
      <c r="B2931" s="5" t="s">
        <v>7482</v>
      </c>
      <c r="C2931" s="5" t="s">
        <v>29</v>
      </c>
      <c r="D2931" s="5" t="s">
        <v>30</v>
      </c>
      <c r="E2931" s="5" t="s">
        <v>192</v>
      </c>
      <c r="F2931" s="9">
        <v>53</v>
      </c>
      <c r="G2931" s="9">
        <v>644</v>
      </c>
      <c r="H2931" s="5" t="s">
        <v>21</v>
      </c>
      <c r="I2931" s="5" t="s">
        <v>7487</v>
      </c>
      <c r="J2931" s="12" t="str">
        <f>HYPERLINK("https://www.boe.es/gazeta/dias/1802/07/02/pdfs/GMD-1802-53.pdf#page=12","Abrir facsímil")</f>
        <v>Abrir facsímil</v>
      </c>
      <c r="K2931" s="15" t="s">
        <v>23</v>
      </c>
    </row>
    <row r="2932" spans="1:11" ht="42" customHeight="1">
      <c r="A2932" s="4" t="s">
        <v>7481</v>
      </c>
      <c r="B2932" s="5" t="s">
        <v>7482</v>
      </c>
      <c r="C2932" s="5" t="s">
        <v>29</v>
      </c>
      <c r="D2932" s="5" t="s">
        <v>30</v>
      </c>
      <c r="E2932" s="5" t="s">
        <v>1749</v>
      </c>
      <c r="F2932" s="9">
        <v>60</v>
      </c>
      <c r="G2932" s="9">
        <v>731</v>
      </c>
      <c r="H2932" s="5" t="s">
        <v>21</v>
      </c>
      <c r="I2932" s="5" t="s">
        <v>7488</v>
      </c>
      <c r="J2932" s="12" t="str">
        <f>HYPERLINK("https://www.boe.es/gazeta/dias/1802/07/23/pdfs/GMD-1802-60.pdf#page=15","Abrir facsímil")</f>
        <v>Abrir facsímil</v>
      </c>
      <c r="K2932" s="15" t="s">
        <v>23</v>
      </c>
    </row>
    <row r="2933" spans="1:11" ht="42" customHeight="1">
      <c r="A2933" s="4" t="s">
        <v>7481</v>
      </c>
      <c r="B2933" s="5" t="s">
        <v>7482</v>
      </c>
      <c r="C2933" s="5" t="s">
        <v>160</v>
      </c>
      <c r="D2933" s="5" t="s">
        <v>91</v>
      </c>
      <c r="E2933" s="5" t="s">
        <v>1374</v>
      </c>
      <c r="F2933" s="9">
        <v>71</v>
      </c>
      <c r="G2933" s="9">
        <v>875</v>
      </c>
      <c r="H2933" s="5" t="s">
        <v>21</v>
      </c>
      <c r="I2933" s="5" t="s">
        <v>7489</v>
      </c>
      <c r="J2933" s="12" t="str">
        <f>HYPERLINK("https://www.boe.es/gazeta/dias/1802/08/31/pdfs/GMD-1802-71.pdf#page=11","Abrir facsímil")</f>
        <v>Abrir facsímil</v>
      </c>
      <c r="K2933" s="15" t="s">
        <v>23</v>
      </c>
    </row>
    <row r="2934" spans="1:11" ht="42" customHeight="1">
      <c r="A2934" s="4" t="s">
        <v>7481</v>
      </c>
      <c r="B2934" s="5" t="s">
        <v>7482</v>
      </c>
      <c r="C2934" s="5" t="s">
        <v>29</v>
      </c>
      <c r="D2934" s="5" t="s">
        <v>30</v>
      </c>
      <c r="E2934" s="5" t="s">
        <v>1289</v>
      </c>
      <c r="F2934" s="9">
        <v>72</v>
      </c>
      <c r="G2934" s="9">
        <v>891</v>
      </c>
      <c r="H2934" s="5" t="s">
        <v>21</v>
      </c>
      <c r="I2934" s="5" t="s">
        <v>7490</v>
      </c>
      <c r="J2934" s="12" t="str">
        <f>HYPERLINK("https://www.boe.es/gazeta/dias/1802/09/03/pdfs/GMD-1802-72.pdf#page=11","Abrir facsímil")</f>
        <v>Abrir facsímil</v>
      </c>
      <c r="K2934" s="15" t="s">
        <v>23</v>
      </c>
    </row>
    <row r="2935" spans="1:11" ht="42" customHeight="1">
      <c r="A2935" s="4" t="s">
        <v>7481</v>
      </c>
      <c r="B2935" s="5" t="s">
        <v>7482</v>
      </c>
      <c r="C2935" s="5" t="s">
        <v>160</v>
      </c>
      <c r="D2935" s="5" t="s">
        <v>91</v>
      </c>
      <c r="E2935" s="5" t="s">
        <v>219</v>
      </c>
      <c r="F2935" s="9">
        <v>81</v>
      </c>
      <c r="G2935" s="9">
        <v>999</v>
      </c>
      <c r="H2935" s="5" t="s">
        <v>21</v>
      </c>
      <c r="I2935" s="5" t="s">
        <v>7491</v>
      </c>
      <c r="J2935" s="12" t="str">
        <f>HYPERLINK("https://www.boe.es/gazeta/dias/1802/10/05/pdfs/GMD-1802-81.pdf#page=11","Abrir facsímil")</f>
        <v>Abrir facsímil</v>
      </c>
      <c r="K2935" s="15" t="s">
        <v>23</v>
      </c>
    </row>
    <row r="2936" spans="1:11" ht="42" customHeight="1">
      <c r="A2936" s="4" t="s">
        <v>7481</v>
      </c>
      <c r="B2936" s="5" t="s">
        <v>7482</v>
      </c>
      <c r="C2936" s="5" t="s">
        <v>160</v>
      </c>
      <c r="D2936" s="5" t="s">
        <v>91</v>
      </c>
      <c r="E2936" s="5" t="s">
        <v>745</v>
      </c>
      <c r="F2936" s="9">
        <v>92</v>
      </c>
      <c r="G2936" s="9">
        <v>1139</v>
      </c>
      <c r="H2936" s="5" t="s">
        <v>21</v>
      </c>
      <c r="I2936" s="5" t="s">
        <v>7492</v>
      </c>
      <c r="J2936" s="12" t="str">
        <f>HYPERLINK("https://www.boe.es/gazeta/dias/1802/11/12/pdfs/GMD-1802-92.pdf#page=7","Abrir facsímil")</f>
        <v>Abrir facsímil</v>
      </c>
      <c r="K2936" s="15" t="s">
        <v>23</v>
      </c>
    </row>
    <row r="2937" spans="1:11" ht="42" customHeight="1">
      <c r="A2937" s="4" t="s">
        <v>7481</v>
      </c>
      <c r="B2937" s="5" t="s">
        <v>7482</v>
      </c>
      <c r="C2937" s="5" t="s">
        <v>42</v>
      </c>
      <c r="D2937" s="5" t="s">
        <v>43</v>
      </c>
      <c r="E2937" s="5" t="s">
        <v>44</v>
      </c>
      <c r="F2937" s="9">
        <v>99</v>
      </c>
      <c r="G2937" s="9" t="s">
        <v>779</v>
      </c>
      <c r="H2937" s="5" t="s">
        <v>21</v>
      </c>
      <c r="I2937" s="5" t="s">
        <v>7493</v>
      </c>
      <c r="J2937" s="12" t="str">
        <f>HYPERLINK("https://www.boe.es/gazeta/dias/1802/12/07/pdfs/GMD-D-1802-99.pdf#page=13","Abrir facsímil")</f>
        <v>Abrir facsímil</v>
      </c>
      <c r="K2937" s="15" t="s">
        <v>23</v>
      </c>
    </row>
    <row r="2938" spans="1:11" ht="42" customHeight="1">
      <c r="A2938" s="4" t="s">
        <v>7481</v>
      </c>
      <c r="B2938" s="5" t="s">
        <v>7482</v>
      </c>
      <c r="C2938" s="5" t="s">
        <v>42</v>
      </c>
      <c r="D2938" s="5" t="s">
        <v>43</v>
      </c>
      <c r="E2938" s="5" t="s">
        <v>44</v>
      </c>
      <c r="F2938" s="9">
        <v>99</v>
      </c>
      <c r="G2938" s="9" t="s">
        <v>550</v>
      </c>
      <c r="H2938" s="5" t="s">
        <v>21</v>
      </c>
      <c r="I2938" s="5" t="s">
        <v>7494</v>
      </c>
      <c r="J2938" s="12" t="str">
        <f>HYPERLINK("https://www.boe.es/gazeta/dias/1802/12/07/pdfs/GMD-D-1802-99.pdf#page=16","Abrir facsímil")</f>
        <v>Abrir facsímil</v>
      </c>
      <c r="K2938" s="15" t="s">
        <v>23</v>
      </c>
    </row>
    <row r="2939" spans="1:11" ht="42" customHeight="1">
      <c r="A2939" s="4" t="s">
        <v>7481</v>
      </c>
      <c r="B2939" s="5" t="s">
        <v>7482</v>
      </c>
      <c r="C2939" s="5" t="s">
        <v>29</v>
      </c>
      <c r="D2939" s="5" t="s">
        <v>30</v>
      </c>
      <c r="E2939" s="5" t="s">
        <v>73</v>
      </c>
      <c r="F2939" s="9">
        <v>102</v>
      </c>
      <c r="G2939" s="9">
        <v>1255</v>
      </c>
      <c r="H2939" s="5" t="s">
        <v>21</v>
      </c>
      <c r="I2939" s="5" t="s">
        <v>7495</v>
      </c>
      <c r="J2939" s="12" t="str">
        <f>HYPERLINK("https://www.boe.es/gazeta/dias/1802/12/17/pdfs/GMD-1802-102.pdf#page=11","Abrir facsímil")</f>
        <v>Abrir facsímil</v>
      </c>
      <c r="K2939" s="15" t="s">
        <v>23</v>
      </c>
    </row>
    <row r="2940" spans="1:11" ht="42" customHeight="1">
      <c r="A2940" s="4" t="s">
        <v>7496</v>
      </c>
      <c r="B2940" s="5" t="s">
        <v>7497</v>
      </c>
      <c r="C2940" s="5" t="s">
        <v>42</v>
      </c>
      <c r="D2940" s="5" t="s">
        <v>43</v>
      </c>
      <c r="E2940" s="5" t="s">
        <v>44</v>
      </c>
      <c r="F2940" s="9">
        <v>99</v>
      </c>
      <c r="G2940" s="9" t="s">
        <v>78</v>
      </c>
      <c r="H2940" s="5" t="s">
        <v>21</v>
      </c>
      <c r="I2940" s="5" t="s">
        <v>7498</v>
      </c>
      <c r="J2940" s="12" t="str">
        <f>HYPERLINK("https://www.boe.es/gazeta/dias/1802/12/07/pdfs/GMD-D-1802-99.pdf#page=15","Abrir facsímil")</f>
        <v>Abrir facsímil</v>
      </c>
      <c r="K2940" s="15" t="s">
        <v>23</v>
      </c>
    </row>
    <row r="2941" spans="1:11" ht="42" customHeight="1">
      <c r="A2941" s="4" t="s">
        <v>7499</v>
      </c>
      <c r="B2941" s="5" t="s">
        <v>7500</v>
      </c>
      <c r="C2941" s="5" t="s">
        <v>42</v>
      </c>
      <c r="D2941" s="5" t="s">
        <v>43</v>
      </c>
      <c r="E2941" s="5" t="s">
        <v>44</v>
      </c>
      <c r="F2941" s="9">
        <v>99</v>
      </c>
      <c r="G2941" s="9" t="s">
        <v>251</v>
      </c>
      <c r="H2941" s="5" t="s">
        <v>21</v>
      </c>
      <c r="I2941" s="5" t="s">
        <v>7501</v>
      </c>
      <c r="J2941" s="12" t="str">
        <f>HYPERLINK("https://www.boe.es/gazeta/dias/1802/12/07/pdfs/GMD-D-1802-99.pdf#page=6","Abrir facsímil")</f>
        <v>Abrir facsímil</v>
      </c>
      <c r="K2941" s="15" t="s">
        <v>23</v>
      </c>
    </row>
    <row r="2942" spans="1:11" ht="42" customHeight="1">
      <c r="A2942" s="4" t="s">
        <v>7502</v>
      </c>
      <c r="B2942" s="5" t="s">
        <v>7503</v>
      </c>
      <c r="C2942" s="5" t="s">
        <v>42</v>
      </c>
      <c r="D2942" s="5" t="s">
        <v>43</v>
      </c>
      <c r="E2942" s="5" t="s">
        <v>44</v>
      </c>
      <c r="F2942" s="9">
        <v>99</v>
      </c>
      <c r="G2942" s="9" t="s">
        <v>262</v>
      </c>
      <c r="H2942" s="5" t="s">
        <v>21</v>
      </c>
      <c r="I2942" s="5" t="s">
        <v>7504</v>
      </c>
      <c r="J2942" s="12" t="str">
        <f>HYPERLINK("https://www.boe.es/gazeta/dias/1802/12/07/pdfs/GMD-D-1802-99.pdf#page=8","Abrir facsímil")</f>
        <v>Abrir facsímil</v>
      </c>
      <c r="K2942" s="15" t="s">
        <v>23</v>
      </c>
    </row>
    <row r="2943" spans="1:11" ht="42" customHeight="1">
      <c r="A2943" s="4" t="s">
        <v>7505</v>
      </c>
      <c r="B2943" s="5" t="s">
        <v>7506</v>
      </c>
      <c r="C2943" s="5" t="s">
        <v>42</v>
      </c>
      <c r="D2943" s="5" t="s">
        <v>43</v>
      </c>
      <c r="E2943" s="5" t="s">
        <v>44</v>
      </c>
      <c r="F2943" s="9">
        <v>99</v>
      </c>
      <c r="G2943" s="9" t="s">
        <v>314</v>
      </c>
      <c r="H2943" s="5" t="s">
        <v>21</v>
      </c>
      <c r="I2943" s="5" t="s">
        <v>7507</v>
      </c>
      <c r="J2943" s="12" t="str">
        <f>HYPERLINK("https://www.boe.es/gazeta/dias/1802/12/07/pdfs/GMD-D-1802-99.pdf#page=2","Abrir facsímil")</f>
        <v>Abrir facsímil</v>
      </c>
      <c r="K2943" s="15" t="s">
        <v>23</v>
      </c>
    </row>
    <row r="2944" spans="1:11" ht="42" customHeight="1">
      <c r="A2944" s="4" t="s">
        <v>7508</v>
      </c>
      <c r="B2944" s="5" t="s">
        <v>7509</v>
      </c>
      <c r="C2944" s="5" t="s">
        <v>42</v>
      </c>
      <c r="D2944" s="5" t="s">
        <v>43</v>
      </c>
      <c r="E2944" s="5" t="s">
        <v>44</v>
      </c>
      <c r="F2944" s="9">
        <v>99</v>
      </c>
      <c r="G2944" s="9" t="s">
        <v>322</v>
      </c>
      <c r="H2944" s="5" t="s">
        <v>21</v>
      </c>
      <c r="I2944" s="5" t="s">
        <v>7510</v>
      </c>
      <c r="J2944" s="12" t="str">
        <f>HYPERLINK("https://www.boe.es/gazeta/dias/1802/12/07/pdfs/GMD-D-1802-99.pdf#page=10","Abrir facsímil")</f>
        <v>Abrir facsímil</v>
      </c>
      <c r="K2944" s="15" t="s">
        <v>23</v>
      </c>
    </row>
    <row r="2945" spans="1:11" ht="42" customHeight="1">
      <c r="A2945" s="4" t="s">
        <v>7511</v>
      </c>
      <c r="B2945" s="5" t="s">
        <v>7512</v>
      </c>
      <c r="C2945" s="5" t="s">
        <v>42</v>
      </c>
      <c r="D2945" s="5" t="s">
        <v>43</v>
      </c>
      <c r="E2945" s="5" t="s">
        <v>44</v>
      </c>
      <c r="F2945" s="9">
        <v>99</v>
      </c>
      <c r="G2945" s="9" t="s">
        <v>222</v>
      </c>
      <c r="H2945" s="5" t="s">
        <v>21</v>
      </c>
      <c r="I2945" s="5" t="s">
        <v>7513</v>
      </c>
      <c r="J2945" s="12" t="str">
        <f>HYPERLINK("https://www.boe.es/gazeta/dias/1802/12/07/pdfs/GMD-D-1802-99.pdf#page=5","Abrir facsímil")</f>
        <v>Abrir facsímil</v>
      </c>
      <c r="K2945" s="15" t="s">
        <v>23</v>
      </c>
    </row>
    <row r="2946" spans="1:11" ht="42" customHeight="1">
      <c r="A2946" s="4" t="s">
        <v>7514</v>
      </c>
      <c r="B2946" s="5" t="s">
        <v>7515</v>
      </c>
      <c r="C2946" s="5" t="s">
        <v>29</v>
      </c>
      <c r="D2946" s="5" t="s">
        <v>30</v>
      </c>
      <c r="E2946" s="5" t="s">
        <v>82</v>
      </c>
      <c r="F2946" s="9">
        <v>74</v>
      </c>
      <c r="G2946" s="9">
        <v>915</v>
      </c>
      <c r="H2946" s="5" t="s">
        <v>21</v>
      </c>
      <c r="I2946" s="5" t="s">
        <v>7516</v>
      </c>
      <c r="J2946" s="12" t="str">
        <f>HYPERLINK("https://www.boe.es/gazeta/dias/1802/09/10/pdfs/GMD-1802-74.pdf#page=11","Abrir facsímil")</f>
        <v>Abrir facsímil</v>
      </c>
      <c r="K2946" s="15" t="s">
        <v>23</v>
      </c>
    </row>
    <row r="2947" spans="1:11" ht="42" customHeight="1">
      <c r="A2947" s="4" t="s">
        <v>7514</v>
      </c>
      <c r="B2947" s="5" t="s">
        <v>7515</v>
      </c>
      <c r="C2947" s="5" t="s">
        <v>42</v>
      </c>
      <c r="D2947" s="5" t="s">
        <v>43</v>
      </c>
      <c r="E2947" s="5" t="s">
        <v>44</v>
      </c>
      <c r="F2947" s="9">
        <v>99</v>
      </c>
      <c r="G2947" s="9" t="s">
        <v>544</v>
      </c>
      <c r="H2947" s="5" t="s">
        <v>21</v>
      </c>
      <c r="I2947" s="5" t="s">
        <v>7517</v>
      </c>
      <c r="J2947" s="12" t="str">
        <f>HYPERLINK("https://www.boe.es/gazeta/dias/1802/12/07/pdfs/GMD-D-1802-99.pdf#page=11","Abrir facsímil")</f>
        <v>Abrir facsímil</v>
      </c>
      <c r="K2947" s="15" t="s">
        <v>23</v>
      </c>
    </row>
    <row r="2948" spans="1:11" ht="42" customHeight="1">
      <c r="A2948" s="4" t="s">
        <v>7514</v>
      </c>
      <c r="B2948" s="5" t="s">
        <v>7515</v>
      </c>
      <c r="C2948" s="5" t="s">
        <v>42</v>
      </c>
      <c r="D2948" s="5" t="s">
        <v>43</v>
      </c>
      <c r="E2948" s="5" t="s">
        <v>44</v>
      </c>
      <c r="F2948" s="9">
        <v>99</v>
      </c>
      <c r="G2948" s="9" t="s">
        <v>45</v>
      </c>
      <c r="H2948" s="5" t="s">
        <v>21</v>
      </c>
      <c r="I2948" s="5" t="s">
        <v>7518</v>
      </c>
      <c r="J2948" s="12" t="str">
        <f>HYPERLINK("https://www.boe.es/gazeta/dias/1802/12/07/pdfs/GMD-D-1802-99.pdf#page=14","Abrir facsímil")</f>
        <v>Abrir facsímil</v>
      </c>
      <c r="K2948" s="15" t="s">
        <v>23</v>
      </c>
    </row>
    <row r="2949" spans="1:11" ht="42" customHeight="1">
      <c r="A2949" s="4" t="s">
        <v>7514</v>
      </c>
      <c r="B2949" s="5" t="s">
        <v>7515</v>
      </c>
      <c r="C2949" s="5" t="s">
        <v>42</v>
      </c>
      <c r="D2949" s="5" t="s">
        <v>43</v>
      </c>
      <c r="E2949" s="5" t="s">
        <v>44</v>
      </c>
      <c r="F2949" s="9">
        <v>99</v>
      </c>
      <c r="G2949" s="9" t="s">
        <v>537</v>
      </c>
      <c r="H2949" s="5" t="s">
        <v>21</v>
      </c>
      <c r="I2949" s="5" t="s">
        <v>7519</v>
      </c>
      <c r="J2949" s="12" t="str">
        <f>HYPERLINK("https://www.boe.es/gazeta/dias/1802/12/07/pdfs/GMD-D-1802-99.pdf#page=9","Abrir facsímil")</f>
        <v>Abrir facsímil</v>
      </c>
      <c r="K2949" s="15" t="s">
        <v>23</v>
      </c>
    </row>
    <row r="2950" spans="1:11" ht="42" customHeight="1">
      <c r="A2950" s="4" t="s">
        <v>7520</v>
      </c>
      <c r="B2950" s="5" t="s">
        <v>7521</v>
      </c>
      <c r="C2950" s="5" t="s">
        <v>42</v>
      </c>
      <c r="D2950" s="5" t="s">
        <v>43</v>
      </c>
      <c r="E2950" s="5" t="s">
        <v>44</v>
      </c>
      <c r="F2950" s="9">
        <v>99</v>
      </c>
      <c r="G2950" s="9" t="s">
        <v>272</v>
      </c>
      <c r="H2950" s="5" t="s">
        <v>21</v>
      </c>
      <c r="I2950" s="5" t="s">
        <v>7522</v>
      </c>
      <c r="J2950" s="12" t="str">
        <f>HYPERLINK("https://www.boe.es/gazeta/dias/1802/12/07/pdfs/GMD-D-1802-99.pdf#page=3","Abrir facsímil")</f>
        <v>Abrir facsímil</v>
      </c>
      <c r="K2950" s="15" t="s">
        <v>23</v>
      </c>
    </row>
    <row r="2951" spans="1:11" ht="42" customHeight="1">
      <c r="A2951" s="4" t="s">
        <v>7523</v>
      </c>
      <c r="B2951" s="5" t="s">
        <v>7524</v>
      </c>
      <c r="C2951" s="5" t="s">
        <v>42</v>
      </c>
      <c r="D2951" s="5" t="s">
        <v>43</v>
      </c>
      <c r="E2951" s="5" t="s">
        <v>44</v>
      </c>
      <c r="F2951" s="9">
        <v>99</v>
      </c>
      <c r="G2951" s="9" t="s">
        <v>295</v>
      </c>
      <c r="H2951" s="5" t="s">
        <v>21</v>
      </c>
      <c r="I2951" s="5" t="s">
        <v>7525</v>
      </c>
      <c r="J2951" s="12" t="str">
        <f>HYPERLINK("https://www.boe.es/gazeta/dias/1802/12/07/pdfs/GMD-D-1802-99.pdf#page=7","Abrir facsímil")</f>
        <v>Abrir facsímil</v>
      </c>
      <c r="K2951" s="15" t="s">
        <v>23</v>
      </c>
    </row>
    <row r="2952" spans="1:11" ht="42" customHeight="1">
      <c r="A2952" s="4" t="s">
        <v>7526</v>
      </c>
      <c r="B2952" s="5" t="s">
        <v>7527</v>
      </c>
      <c r="C2952" s="5" t="s">
        <v>18</v>
      </c>
      <c r="D2952" s="5" t="s">
        <v>19</v>
      </c>
      <c r="E2952" s="5" t="s">
        <v>49</v>
      </c>
      <c r="F2952" s="9">
        <v>83</v>
      </c>
      <c r="G2952" s="9">
        <v>1026</v>
      </c>
      <c r="H2952" s="5" t="s">
        <v>21</v>
      </c>
      <c r="I2952" s="5" t="s">
        <v>7528</v>
      </c>
      <c r="J2952" s="12" t="str">
        <f>HYPERLINK("https://www.boe.es/gazeta/dias/1802/10/12/pdfs/GMD-1802-83.pdf#page=14","Abrir facsímil")</f>
        <v>Abrir facsímil</v>
      </c>
      <c r="K2952" s="15" t="s">
        <v>23</v>
      </c>
    </row>
    <row r="2953" spans="1:11" ht="42" customHeight="1">
      <c r="A2953" s="4" t="s">
        <v>7526</v>
      </c>
      <c r="B2953" s="5" t="s">
        <v>7527</v>
      </c>
      <c r="C2953" s="5" t="s">
        <v>42</v>
      </c>
      <c r="D2953" s="5" t="s">
        <v>43</v>
      </c>
      <c r="E2953" s="5" t="s">
        <v>44</v>
      </c>
      <c r="F2953" s="9">
        <v>99</v>
      </c>
      <c r="G2953" s="9" t="s">
        <v>322</v>
      </c>
      <c r="H2953" s="5" t="s">
        <v>21</v>
      </c>
      <c r="I2953" s="5" t="s">
        <v>7529</v>
      </c>
      <c r="J2953" s="12" t="str">
        <f>HYPERLINK("https://www.boe.es/gazeta/dias/1802/12/07/pdfs/GMD-D-1802-99.pdf#page=10","Abrir facsímil")</f>
        <v>Abrir facsímil</v>
      </c>
      <c r="K2953" s="15" t="s">
        <v>23</v>
      </c>
    </row>
    <row r="2954" spans="1:11" ht="42" customHeight="1">
      <c r="A2954" s="4" t="s">
        <v>7526</v>
      </c>
      <c r="B2954" s="5" t="s">
        <v>7527</v>
      </c>
      <c r="C2954" s="5" t="s">
        <v>42</v>
      </c>
      <c r="D2954" s="5" t="s">
        <v>43</v>
      </c>
      <c r="E2954" s="5" t="s">
        <v>44</v>
      </c>
      <c r="F2954" s="9">
        <v>99</v>
      </c>
      <c r="G2954" s="9" t="s">
        <v>537</v>
      </c>
      <c r="H2954" s="5" t="s">
        <v>21</v>
      </c>
      <c r="I2954" s="5" t="s">
        <v>7530</v>
      </c>
      <c r="J2954" s="12" t="str">
        <f>HYPERLINK("https://www.boe.es/gazeta/dias/1802/12/07/pdfs/GMD-D-1802-99.pdf#page=9","Abrir facsímil")</f>
        <v>Abrir facsímil</v>
      </c>
      <c r="K2954" s="15" t="s">
        <v>23</v>
      </c>
    </row>
    <row r="2955" spans="1:11" ht="42" customHeight="1">
      <c r="A2955" s="4" t="s">
        <v>7531</v>
      </c>
      <c r="B2955" s="5" t="s">
        <v>7532</v>
      </c>
      <c r="C2955" s="5" t="s">
        <v>42</v>
      </c>
      <c r="D2955" s="5" t="s">
        <v>43</v>
      </c>
      <c r="E2955" s="5" t="s">
        <v>44</v>
      </c>
      <c r="F2955" s="9">
        <v>99</v>
      </c>
      <c r="G2955" s="9" t="s">
        <v>322</v>
      </c>
      <c r="H2955" s="5" t="s">
        <v>21</v>
      </c>
      <c r="I2955" s="5" t="s">
        <v>7533</v>
      </c>
      <c r="J2955" s="12" t="str">
        <f>HYPERLINK("https://www.boe.es/gazeta/dias/1802/12/07/pdfs/GMD-D-1802-99.pdf#page=10","Abrir facsímil")</f>
        <v>Abrir facsímil</v>
      </c>
      <c r="K2955" s="15" t="s">
        <v>23</v>
      </c>
    </row>
    <row r="2956" spans="1:11" ht="42" customHeight="1">
      <c r="A2956" s="4" t="s">
        <v>7534</v>
      </c>
      <c r="B2956" s="5" t="s">
        <v>7535</v>
      </c>
      <c r="C2956" s="5" t="s">
        <v>42</v>
      </c>
      <c r="D2956" s="5" t="s">
        <v>43</v>
      </c>
      <c r="E2956" s="5" t="s">
        <v>44</v>
      </c>
      <c r="F2956" s="9">
        <v>99</v>
      </c>
      <c r="G2956" s="9" t="s">
        <v>251</v>
      </c>
      <c r="H2956" s="5" t="s">
        <v>21</v>
      </c>
      <c r="I2956" s="5" t="s">
        <v>7536</v>
      </c>
      <c r="J2956" s="12" t="str">
        <f>HYPERLINK("https://www.boe.es/gazeta/dias/1802/12/07/pdfs/GMD-D-1802-99.pdf#page=6","Abrir facsímil")</f>
        <v>Abrir facsímil</v>
      </c>
      <c r="K2956" s="15" t="s">
        <v>23</v>
      </c>
    </row>
    <row r="2957" spans="1:11" ht="42" customHeight="1">
      <c r="A2957" s="4" t="s">
        <v>7537</v>
      </c>
      <c r="B2957" s="5" t="s">
        <v>7538</v>
      </c>
      <c r="C2957" s="5" t="s">
        <v>42</v>
      </c>
      <c r="D2957" s="5" t="s">
        <v>43</v>
      </c>
      <c r="E2957" s="5" t="s">
        <v>44</v>
      </c>
      <c r="F2957" s="9">
        <v>99</v>
      </c>
      <c r="G2957" s="9" t="s">
        <v>548</v>
      </c>
      <c r="H2957" s="5" t="s">
        <v>21</v>
      </c>
      <c r="I2957" s="5" t="s">
        <v>7539</v>
      </c>
      <c r="J2957" s="12" t="str">
        <f>HYPERLINK("https://www.boe.es/gazeta/dias/1802/12/07/pdfs/GMD-D-1802-99.pdf#page=12","Abrir facsímil")</f>
        <v>Abrir facsímil</v>
      </c>
      <c r="K2957" s="15" t="s">
        <v>23</v>
      </c>
    </row>
    <row r="2958" spans="1:11" ht="42" customHeight="1">
      <c r="A2958" s="4" t="s">
        <v>7540</v>
      </c>
      <c r="B2958" s="5" t="s">
        <v>7541</v>
      </c>
      <c r="C2958" s="5" t="s">
        <v>55</v>
      </c>
      <c r="D2958" s="5" t="s">
        <v>56</v>
      </c>
      <c r="E2958" s="5" t="s">
        <v>1829</v>
      </c>
      <c r="F2958" s="9">
        <v>32</v>
      </c>
      <c r="G2958" s="9">
        <v>380</v>
      </c>
      <c r="H2958" s="5" t="s">
        <v>21</v>
      </c>
      <c r="I2958" s="5" t="s">
        <v>7542</v>
      </c>
      <c r="J2958" s="12" t="str">
        <f>HYPERLINK("https://www.boe.es/gazeta/dias/1802/04/20/pdfs/GMD-1802-32.pdf#page=12","Abrir facsímil")</f>
        <v>Abrir facsímil</v>
      </c>
      <c r="K2958" s="15" t="s">
        <v>23</v>
      </c>
    </row>
    <row r="2959" spans="1:11" ht="42" customHeight="1">
      <c r="A2959" s="4" t="s">
        <v>7543</v>
      </c>
      <c r="B2959" s="5" t="s">
        <v>7544</v>
      </c>
      <c r="C2959" s="5" t="s">
        <v>29</v>
      </c>
      <c r="D2959" s="5" t="s">
        <v>30</v>
      </c>
      <c r="E2959" s="5" t="s">
        <v>635</v>
      </c>
      <c r="F2959" s="9">
        <v>47</v>
      </c>
      <c r="G2959" s="9">
        <v>573</v>
      </c>
      <c r="H2959" s="5" t="s">
        <v>21</v>
      </c>
      <c r="I2959" s="5" t="s">
        <v>7545</v>
      </c>
      <c r="J2959" s="12" t="str">
        <f>HYPERLINK("https://www.boe.es/gazeta/dias/1802/06/11/pdfs/GMD-1802-47.pdf#page=9","Abrir facsímil")</f>
        <v>Abrir facsímil</v>
      </c>
      <c r="K2959" s="15" t="s">
        <v>23</v>
      </c>
    </row>
    <row r="2960" spans="1:11" ht="42" customHeight="1">
      <c r="A2960" s="4" t="s">
        <v>7546</v>
      </c>
      <c r="B2960" s="5" t="s">
        <v>7547</v>
      </c>
      <c r="C2960" s="5" t="s">
        <v>18</v>
      </c>
      <c r="D2960" s="5" t="s">
        <v>19</v>
      </c>
      <c r="E2960" s="5" t="s">
        <v>1185</v>
      </c>
      <c r="F2960" s="9">
        <v>93</v>
      </c>
      <c r="G2960" s="9">
        <v>1148</v>
      </c>
      <c r="H2960" s="5" t="s">
        <v>21</v>
      </c>
      <c r="I2960" s="5" t="s">
        <v>7548</v>
      </c>
      <c r="J2960" s="12" t="str">
        <f>HYPERLINK("https://www.boe.es/gazeta/dias/1802/11/16/pdfs/GMD-1802-93.pdf#page=8","Abrir facsímil")</f>
        <v>Abrir facsímil</v>
      </c>
      <c r="K2960" s="15" t="s">
        <v>23</v>
      </c>
    </row>
    <row r="2961" spans="1:11" ht="42" customHeight="1">
      <c r="A2961" s="4" t="s">
        <v>7549</v>
      </c>
      <c r="B2961" s="5" t="s">
        <v>7550</v>
      </c>
      <c r="C2961" s="5" t="s">
        <v>18</v>
      </c>
      <c r="D2961" s="5" t="s">
        <v>19</v>
      </c>
      <c r="E2961" s="5" t="s">
        <v>121</v>
      </c>
      <c r="F2961" s="9">
        <v>87</v>
      </c>
      <c r="G2961" s="9">
        <v>1081</v>
      </c>
      <c r="H2961" s="5" t="s">
        <v>21</v>
      </c>
      <c r="I2961" s="5" t="s">
        <v>7551</v>
      </c>
      <c r="J2961" s="12" t="str">
        <f>HYPERLINK("https://www.boe.es/gazeta/dias/1802/10/26/pdfs/GMD-1802-87.pdf#page=9","Abrir facsímil")</f>
        <v>Abrir facsímil</v>
      </c>
      <c r="K2961" s="15" t="s">
        <v>23</v>
      </c>
    </row>
    <row r="2962" spans="1:11" ht="42" customHeight="1">
      <c r="A2962" s="4" t="s">
        <v>7552</v>
      </c>
      <c r="B2962" s="5" t="s">
        <v>7553</v>
      </c>
      <c r="C2962" s="5" t="s">
        <v>29</v>
      </c>
      <c r="D2962" s="5" t="s">
        <v>30</v>
      </c>
      <c r="E2962" s="5" t="s">
        <v>631</v>
      </c>
      <c r="F2962" s="9">
        <v>36</v>
      </c>
      <c r="G2962" s="9">
        <v>423</v>
      </c>
      <c r="H2962" s="5" t="s">
        <v>21</v>
      </c>
      <c r="I2962" s="5" t="s">
        <v>7554</v>
      </c>
      <c r="J2962" s="12" t="str">
        <f>HYPERLINK("https://www.boe.es/gazeta/dias/1802/05/04/pdfs/GMD-1802-36.pdf#page=3","Abrir facsímil")</f>
        <v>Abrir facsímil</v>
      </c>
      <c r="K2962" s="15" t="s">
        <v>23</v>
      </c>
    </row>
    <row r="2963" spans="1:11" ht="42" customHeight="1">
      <c r="A2963" s="4" t="s">
        <v>7552</v>
      </c>
      <c r="B2963" s="5" t="s">
        <v>7553</v>
      </c>
      <c r="C2963" s="5" t="s">
        <v>18</v>
      </c>
      <c r="D2963" s="5" t="s">
        <v>19</v>
      </c>
      <c r="E2963" s="5" t="s">
        <v>25</v>
      </c>
      <c r="F2963" s="9">
        <v>44</v>
      </c>
      <c r="G2963" s="9">
        <v>526</v>
      </c>
      <c r="H2963" s="5" t="s">
        <v>21</v>
      </c>
      <c r="I2963" s="5" t="s">
        <v>7555</v>
      </c>
      <c r="J2963" s="12" t="str">
        <f>HYPERLINK("https://www.boe.es/gazeta/dias/1802/06/01/pdfs/GMD-1802-44.pdf#page=2","Abrir facsímil")</f>
        <v>Abrir facsímil</v>
      </c>
      <c r="K2963" s="15" t="s">
        <v>23</v>
      </c>
    </row>
    <row r="2964" spans="1:11" ht="42" customHeight="1">
      <c r="A2964" s="4" t="s">
        <v>7552</v>
      </c>
      <c r="B2964" s="5" t="s">
        <v>7553</v>
      </c>
      <c r="C2964" s="5" t="s">
        <v>90</v>
      </c>
      <c r="D2964" s="5" t="s">
        <v>91</v>
      </c>
      <c r="E2964" s="5" t="s">
        <v>188</v>
      </c>
      <c r="F2964" s="9">
        <v>49</v>
      </c>
      <c r="G2964" s="9">
        <v>590</v>
      </c>
      <c r="H2964" s="5" t="s">
        <v>21</v>
      </c>
      <c r="I2964" s="5" t="s">
        <v>7556</v>
      </c>
      <c r="J2964" s="12" t="str">
        <f>HYPERLINK("https://www.boe.es/gazeta/dias/1802/06/18/pdfs/GMD-1802-49.pdf#page=2","Abrir facsímil")</f>
        <v>Abrir facsímil</v>
      </c>
      <c r="K2964" s="15" t="s">
        <v>23</v>
      </c>
    </row>
    <row r="2965" spans="1:11" ht="42" customHeight="1">
      <c r="A2965" s="4" t="s">
        <v>7552</v>
      </c>
      <c r="B2965" s="5" t="s">
        <v>7553</v>
      </c>
      <c r="C2965" s="5" t="s">
        <v>35</v>
      </c>
      <c r="D2965" s="5" t="s">
        <v>36</v>
      </c>
      <c r="E2965" s="5" t="s">
        <v>183</v>
      </c>
      <c r="F2965" s="9">
        <v>56</v>
      </c>
      <c r="G2965" s="9">
        <v>676</v>
      </c>
      <c r="H2965" s="5" t="s">
        <v>21</v>
      </c>
      <c r="I2965" s="5" t="s">
        <v>7557</v>
      </c>
      <c r="J2965" s="12" t="str">
        <f>HYPERLINK("https://www.boe.es/gazeta/dias/1802/07/13/pdfs/GMD-1802-56.pdf#page=8","Abrir facsímil")</f>
        <v>Abrir facsímil</v>
      </c>
      <c r="K2965" s="15" t="s">
        <v>23</v>
      </c>
    </row>
    <row r="2966" spans="1:11" ht="42" customHeight="1">
      <c r="A2966" s="4" t="s">
        <v>7552</v>
      </c>
      <c r="B2966" s="5" t="s">
        <v>7553</v>
      </c>
      <c r="C2966" s="5" t="s">
        <v>35</v>
      </c>
      <c r="D2966" s="5" t="s">
        <v>36</v>
      </c>
      <c r="E2966" s="5" t="s">
        <v>99</v>
      </c>
      <c r="F2966" s="9">
        <v>86</v>
      </c>
      <c r="G2966" s="9">
        <v>1063</v>
      </c>
      <c r="H2966" s="5" t="s">
        <v>21</v>
      </c>
      <c r="I2966" s="5" t="s">
        <v>7558</v>
      </c>
      <c r="J2966" s="12" t="str">
        <f>HYPERLINK("https://www.boe.es/gazeta/dias/1802/10/22/pdfs/GMD-1802-86.pdf#page=3","Abrir facsímil")</f>
        <v>Abrir facsímil</v>
      </c>
      <c r="K2966" s="15" t="s">
        <v>23</v>
      </c>
    </row>
    <row r="2967" spans="1:11" ht="42" customHeight="1">
      <c r="A2967" s="4" t="s">
        <v>7552</v>
      </c>
      <c r="B2967" s="5" t="s">
        <v>7553</v>
      </c>
      <c r="C2967" s="5" t="s">
        <v>35</v>
      </c>
      <c r="D2967" s="5" t="s">
        <v>36</v>
      </c>
      <c r="E2967" s="5" t="s">
        <v>745</v>
      </c>
      <c r="F2967" s="9">
        <v>92</v>
      </c>
      <c r="G2967" s="9">
        <v>1134</v>
      </c>
      <c r="H2967" s="5" t="s">
        <v>21</v>
      </c>
      <c r="I2967" s="5" t="s">
        <v>7559</v>
      </c>
      <c r="J2967" s="12" t="str">
        <f>HYPERLINK("https://www.boe.es/gazeta/dias/1802/11/12/pdfs/GMD-1802-92.pdf#page=2","Abrir facsímil")</f>
        <v>Abrir facsímil</v>
      </c>
      <c r="K2967" s="15" t="s">
        <v>23</v>
      </c>
    </row>
    <row r="2968" spans="1:11" ht="42" customHeight="1">
      <c r="A2968" s="4" t="s">
        <v>7552</v>
      </c>
      <c r="B2968" s="5" t="s">
        <v>7553</v>
      </c>
      <c r="C2968" s="5" t="s">
        <v>29</v>
      </c>
      <c r="D2968" s="5" t="s">
        <v>30</v>
      </c>
      <c r="E2968" s="5" t="s">
        <v>389</v>
      </c>
      <c r="F2968" s="9">
        <v>96</v>
      </c>
      <c r="G2968" s="9">
        <v>1183</v>
      </c>
      <c r="H2968" s="5" t="s">
        <v>21</v>
      </c>
      <c r="I2968" s="5" t="s">
        <v>7560</v>
      </c>
      <c r="J2968" s="12" t="str">
        <f>HYPERLINK("https://www.boe.es/gazeta/dias/1802/11/26/pdfs/GMD-1802-96.pdf#page=3","Abrir facsímil")</f>
        <v>Abrir facsímil</v>
      </c>
      <c r="K2968" s="15" t="s">
        <v>23</v>
      </c>
    </row>
    <row r="2969" spans="1:11" ht="42" customHeight="1">
      <c r="A2969" s="4" t="s">
        <v>7552</v>
      </c>
      <c r="B2969" s="5" t="s">
        <v>7553</v>
      </c>
      <c r="C2969" s="5" t="s">
        <v>18</v>
      </c>
      <c r="D2969" s="5" t="s">
        <v>19</v>
      </c>
      <c r="E2969" s="5" t="s">
        <v>44</v>
      </c>
      <c r="F2969" s="9">
        <v>99</v>
      </c>
      <c r="G2969" s="9">
        <v>1219</v>
      </c>
      <c r="H2969" s="5" t="s">
        <v>21</v>
      </c>
      <c r="I2969" s="5" t="s">
        <v>7561</v>
      </c>
      <c r="J2969" s="12" t="str">
        <f>HYPERLINK("https://www.boe.es/gazeta/dias/1802/12/07/pdfs/GMD-1802-99.pdf#page=3","Abrir facsímil")</f>
        <v>Abrir facsímil</v>
      </c>
      <c r="K2969" s="15" t="s">
        <v>23</v>
      </c>
    </row>
    <row r="2970" spans="1:11" ht="42" customHeight="1">
      <c r="A2970" s="4" t="s">
        <v>7552</v>
      </c>
      <c r="B2970" s="5" t="s">
        <v>7553</v>
      </c>
      <c r="C2970" s="5" t="s">
        <v>29</v>
      </c>
      <c r="D2970" s="5" t="s">
        <v>30</v>
      </c>
      <c r="E2970" s="5" t="s">
        <v>604</v>
      </c>
      <c r="F2970" s="9">
        <v>100</v>
      </c>
      <c r="G2970" s="9">
        <v>1229</v>
      </c>
      <c r="H2970" s="5" t="s">
        <v>21</v>
      </c>
      <c r="I2970" s="5" t="s">
        <v>7562</v>
      </c>
      <c r="J2970" s="12" t="str">
        <f>HYPERLINK("https://www.boe.es/gazeta/dias/1802/12/10/pdfs/GMD-1802-100.pdf#page=1","Abrir facsímil")</f>
        <v>Abrir facsímil</v>
      </c>
      <c r="K2970" s="15" t="s">
        <v>23</v>
      </c>
    </row>
    <row r="2971" spans="1:11" ht="42" customHeight="1">
      <c r="A2971" s="4" t="s">
        <v>7563</v>
      </c>
      <c r="B2971" s="5" t="s">
        <v>7564</v>
      </c>
      <c r="C2971" s="5" t="s">
        <v>18</v>
      </c>
      <c r="D2971" s="5" t="s">
        <v>19</v>
      </c>
      <c r="E2971" s="5" t="s">
        <v>152</v>
      </c>
      <c r="F2971" s="9">
        <v>25</v>
      </c>
      <c r="G2971" s="9">
        <v>278</v>
      </c>
      <c r="H2971" s="5" t="s">
        <v>21</v>
      </c>
      <c r="I2971" s="5" t="s">
        <v>7565</v>
      </c>
      <c r="J2971" s="12" t="str">
        <f>HYPERLINK("https://www.boe.es/gazeta/dias/1802/03/26/pdfs/GMD-1802-25.pdf#page=2","Abrir facsímil")</f>
        <v>Abrir facsímil</v>
      </c>
      <c r="K2971" s="15" t="s">
        <v>23</v>
      </c>
    </row>
    <row r="2972" spans="1:11" ht="42" customHeight="1">
      <c r="A2972" s="4" t="s">
        <v>7566</v>
      </c>
      <c r="B2972" s="5" t="s">
        <v>7567</v>
      </c>
      <c r="C2972" s="5" t="s">
        <v>35</v>
      </c>
      <c r="D2972" s="5" t="s">
        <v>36</v>
      </c>
      <c r="E2972" s="5" t="s">
        <v>1332</v>
      </c>
      <c r="F2972" s="9">
        <v>4</v>
      </c>
      <c r="G2972" s="9">
        <v>30</v>
      </c>
      <c r="H2972" s="5" t="s">
        <v>21</v>
      </c>
      <c r="I2972" s="5" t="s">
        <v>7568</v>
      </c>
      <c r="J2972" s="12" t="str">
        <f>HYPERLINK("https://www.boe.es/gazeta/dias/1802/01/12/pdfs/GMD-1802-4.pdf#page=2","Abrir facsímil")</f>
        <v>Abrir facsímil</v>
      </c>
      <c r="K2972" s="15" t="s">
        <v>23</v>
      </c>
    </row>
    <row r="2973" spans="1:11" ht="42" customHeight="1">
      <c r="A2973" s="4" t="s">
        <v>7566</v>
      </c>
      <c r="B2973" s="5" t="s">
        <v>7567</v>
      </c>
      <c r="C2973" s="5" t="s">
        <v>90</v>
      </c>
      <c r="D2973" s="5" t="s">
        <v>91</v>
      </c>
      <c r="E2973" s="5" t="s">
        <v>31</v>
      </c>
      <c r="F2973" s="9">
        <v>27</v>
      </c>
      <c r="G2973" s="9">
        <v>307</v>
      </c>
      <c r="H2973" s="5" t="s">
        <v>21</v>
      </c>
      <c r="I2973" s="5" t="s">
        <v>7569</v>
      </c>
      <c r="J2973" s="12" t="str">
        <f>HYPERLINK("https://www.boe.es/gazeta/dias/1802/04/02/pdfs/GMD-1802-27.pdf#page=3","Abrir facsímil")</f>
        <v>Abrir facsímil</v>
      </c>
      <c r="K2973" s="15" t="s">
        <v>23</v>
      </c>
    </row>
    <row r="2974" spans="1:11" ht="42" customHeight="1">
      <c r="A2974" s="4" t="s">
        <v>7566</v>
      </c>
      <c r="B2974" s="5" t="s">
        <v>7567</v>
      </c>
      <c r="C2974" s="5" t="s">
        <v>35</v>
      </c>
      <c r="D2974" s="5" t="s">
        <v>36</v>
      </c>
      <c r="E2974" s="5" t="s">
        <v>82</v>
      </c>
      <c r="F2974" s="9">
        <v>74</v>
      </c>
      <c r="G2974" s="9">
        <v>907</v>
      </c>
      <c r="H2974" s="5" t="s">
        <v>21</v>
      </c>
      <c r="I2974" s="5" t="s">
        <v>7570</v>
      </c>
      <c r="J2974" s="12" t="str">
        <f>HYPERLINK("https://www.boe.es/gazeta/dias/1802/09/10/pdfs/GMD-1802-74.pdf#page=3","Abrir facsímil")</f>
        <v>Abrir facsímil</v>
      </c>
      <c r="K2974" s="15" t="s">
        <v>23</v>
      </c>
    </row>
    <row r="2975" spans="1:11" ht="42" customHeight="1">
      <c r="A2975" s="4" t="s">
        <v>7571</v>
      </c>
      <c r="B2975" s="5" t="s">
        <v>7572</v>
      </c>
      <c r="C2975" s="5" t="s">
        <v>42</v>
      </c>
      <c r="D2975" s="5" t="s">
        <v>43</v>
      </c>
      <c r="E2975" s="5" t="s">
        <v>44</v>
      </c>
      <c r="F2975" s="9">
        <v>99</v>
      </c>
      <c r="G2975" s="9" t="s">
        <v>537</v>
      </c>
      <c r="H2975" s="5" t="s">
        <v>21</v>
      </c>
      <c r="I2975" s="5" t="s">
        <v>7573</v>
      </c>
      <c r="J2975" s="12" t="str">
        <f>HYPERLINK("https://www.boe.es/gazeta/dias/1802/12/07/pdfs/GMD-D-1802-99.pdf#page=9","Abrir facsímil")</f>
        <v>Abrir facsímil</v>
      </c>
      <c r="K2975" s="15" t="s">
        <v>23</v>
      </c>
    </row>
    <row r="2976" spans="1:11" ht="42" customHeight="1">
      <c r="A2976" s="4" t="s">
        <v>7574</v>
      </c>
      <c r="B2976" s="5" t="s">
        <v>7575</v>
      </c>
      <c r="C2976" s="5" t="s">
        <v>18</v>
      </c>
      <c r="D2976" s="5" t="s">
        <v>19</v>
      </c>
      <c r="E2976" s="5" t="s">
        <v>49</v>
      </c>
      <c r="F2976" s="9">
        <v>83</v>
      </c>
      <c r="G2976" s="9">
        <v>1022</v>
      </c>
      <c r="H2976" s="5" t="s">
        <v>21</v>
      </c>
      <c r="I2976" s="5" t="s">
        <v>7576</v>
      </c>
      <c r="J2976" s="12" t="str">
        <f>HYPERLINK("https://www.boe.es/gazeta/dias/1802/10/12/pdfs/GMD-1802-83.pdf#page=10","Abrir facsímil")</f>
        <v>Abrir facsímil</v>
      </c>
      <c r="K2976" s="15" t="s">
        <v>23</v>
      </c>
    </row>
    <row r="2977" spans="1:11" ht="42" customHeight="1">
      <c r="A2977" s="4" t="s">
        <v>7577</v>
      </c>
      <c r="B2977" s="5" t="s">
        <v>7577</v>
      </c>
      <c r="C2977" s="5" t="s">
        <v>18</v>
      </c>
      <c r="D2977" s="5" t="s">
        <v>19</v>
      </c>
      <c r="E2977" s="5" t="s">
        <v>751</v>
      </c>
      <c r="F2977" s="9">
        <v>98</v>
      </c>
      <c r="G2977" s="9">
        <v>1213</v>
      </c>
      <c r="H2977" s="5" t="s">
        <v>21</v>
      </c>
      <c r="I2977" s="5" t="s">
        <v>7578</v>
      </c>
      <c r="J2977" s="12" t="str">
        <f>HYPERLINK("https://www.boe.es/gazeta/dias/1802/12/03/pdfs/GMD-1802-98.pdf#page=9","Abrir facsímil")</f>
        <v>Abrir facsímil</v>
      </c>
      <c r="K2977" s="15" t="s">
        <v>23</v>
      </c>
    </row>
    <row r="2978" spans="1:11" ht="42" customHeight="1">
      <c r="A2978" s="4" t="s">
        <v>7579</v>
      </c>
      <c r="B2978" s="5" t="s">
        <v>7579</v>
      </c>
      <c r="C2978" s="5" t="s">
        <v>18</v>
      </c>
      <c r="D2978" s="5" t="s">
        <v>19</v>
      </c>
      <c r="E2978" s="5" t="s">
        <v>530</v>
      </c>
      <c r="F2978" s="9">
        <v>48</v>
      </c>
      <c r="G2978" s="9">
        <v>587</v>
      </c>
      <c r="H2978" s="5" t="s">
        <v>21</v>
      </c>
      <c r="I2978" s="5" t="s">
        <v>7580</v>
      </c>
      <c r="J2978" s="12" t="str">
        <f>HYPERLINK("https://www.boe.es/gazeta/dias/1802/06/15/pdfs/GMD-1802-48.pdf#page=11","Abrir facsímil")</f>
        <v>Abrir facsímil</v>
      </c>
      <c r="K2978" s="15" t="s">
        <v>23</v>
      </c>
    </row>
    <row r="2979" spans="1:11" ht="42" customHeight="1">
      <c r="A2979" s="4" t="s">
        <v>7581</v>
      </c>
      <c r="B2979" s="5" t="s">
        <v>7582</v>
      </c>
      <c r="C2979" s="5" t="s">
        <v>90</v>
      </c>
      <c r="D2979" s="5" t="s">
        <v>91</v>
      </c>
      <c r="E2979" s="5" t="s">
        <v>183</v>
      </c>
      <c r="F2979" s="9">
        <v>56</v>
      </c>
      <c r="G2979" s="9">
        <v>678</v>
      </c>
      <c r="H2979" s="5" t="s">
        <v>21</v>
      </c>
      <c r="I2979" s="5" t="s">
        <v>7583</v>
      </c>
      <c r="J2979" s="12" t="str">
        <f>HYPERLINK("https://www.boe.es/gazeta/dias/1802/07/13/pdfs/GMD-1802-56.pdf#page=10","Abrir facsímil")</f>
        <v>Abrir facsímil</v>
      </c>
      <c r="K2979" s="15" t="s">
        <v>23</v>
      </c>
    </row>
    <row r="2980" spans="1:11" ht="42" customHeight="1">
      <c r="A2980" s="4" t="s">
        <v>7584</v>
      </c>
      <c r="B2980" s="5" t="s">
        <v>7585</v>
      </c>
      <c r="C2980" s="5" t="s">
        <v>29</v>
      </c>
      <c r="D2980" s="5" t="s">
        <v>30</v>
      </c>
      <c r="E2980" s="5" t="s">
        <v>146</v>
      </c>
      <c r="F2980" s="9">
        <v>42</v>
      </c>
      <c r="G2980" s="9">
        <v>504</v>
      </c>
      <c r="H2980" s="5" t="s">
        <v>21</v>
      </c>
      <c r="I2980" s="5" t="s">
        <v>7586</v>
      </c>
      <c r="J2980" s="12" t="str">
        <f>HYPERLINK("https://www.boe.es/gazeta/dias/1802/05/25/pdfs/GMD-1802-42.pdf#page=8","Abrir facsímil")</f>
        <v>Abrir facsímil</v>
      </c>
      <c r="K2980" s="15" t="s">
        <v>23</v>
      </c>
    </row>
    <row r="2981" spans="1:11" ht="42" customHeight="1">
      <c r="A2981" s="4" t="s">
        <v>7587</v>
      </c>
      <c r="B2981" s="5" t="s">
        <v>7588</v>
      </c>
      <c r="C2981" s="5" t="s">
        <v>35</v>
      </c>
      <c r="D2981" s="5" t="s">
        <v>36</v>
      </c>
      <c r="E2981" s="5" t="s">
        <v>247</v>
      </c>
      <c r="F2981" s="9">
        <v>14</v>
      </c>
      <c r="G2981" s="9">
        <v>145</v>
      </c>
      <c r="H2981" s="5" t="s">
        <v>21</v>
      </c>
      <c r="I2981" s="5" t="s">
        <v>7589</v>
      </c>
      <c r="J2981" s="12" t="str">
        <f>HYPERLINK("https://www.boe.es/gazeta/dias/1802/02/16/pdfs/GMD-1802-14.pdf#page=9","Abrir facsímil")</f>
        <v>Abrir facsímil</v>
      </c>
      <c r="K2981" s="15" t="s">
        <v>23</v>
      </c>
    </row>
    <row r="2982" spans="1:11" ht="42" customHeight="1">
      <c r="A2982" s="4" t="s">
        <v>7590</v>
      </c>
      <c r="B2982" s="5" t="s">
        <v>7590</v>
      </c>
      <c r="C2982" s="5" t="s">
        <v>18</v>
      </c>
      <c r="D2982" s="5" t="s">
        <v>19</v>
      </c>
      <c r="E2982" s="5" t="s">
        <v>37</v>
      </c>
      <c r="F2982" s="9">
        <v>106</v>
      </c>
      <c r="G2982" s="9">
        <v>1293</v>
      </c>
      <c r="H2982" s="5" t="s">
        <v>21</v>
      </c>
      <c r="I2982" s="5" t="s">
        <v>7591</v>
      </c>
      <c r="J2982" s="12" t="str">
        <f>HYPERLINK("https://www.boe.es/gazeta/dias/1802/12/31/pdfs/GMD-1802-106.pdf#page=5","Abrir facsímil")</f>
        <v>Abrir facsímil</v>
      </c>
      <c r="K2982" s="15" t="s">
        <v>23</v>
      </c>
    </row>
    <row r="2983" spans="1:11" ht="42" customHeight="1">
      <c r="A2983" s="4" t="s">
        <v>7592</v>
      </c>
      <c r="B2983" s="5" t="s">
        <v>7593</v>
      </c>
      <c r="C2983" s="5" t="s">
        <v>42</v>
      </c>
      <c r="D2983" s="5" t="s">
        <v>43</v>
      </c>
      <c r="E2983" s="5" t="s">
        <v>44</v>
      </c>
      <c r="F2983" s="9">
        <v>99</v>
      </c>
      <c r="G2983" s="9" t="s">
        <v>295</v>
      </c>
      <c r="H2983" s="5" t="s">
        <v>21</v>
      </c>
      <c r="I2983" s="5" t="s">
        <v>7594</v>
      </c>
      <c r="J2983" s="12" t="str">
        <f>HYPERLINK("https://www.boe.es/gazeta/dias/1802/12/07/pdfs/GMD-D-1802-99.pdf#page=7","Abrir facsímil")</f>
        <v>Abrir facsímil</v>
      </c>
      <c r="K2983" s="15" t="s">
        <v>23</v>
      </c>
    </row>
    <row r="2984" spans="1:11" ht="42" customHeight="1">
      <c r="A2984" s="4" t="s">
        <v>7595</v>
      </c>
      <c r="B2984" s="5" t="s">
        <v>7596</v>
      </c>
      <c r="C2984" s="5" t="s">
        <v>42</v>
      </c>
      <c r="D2984" s="5" t="s">
        <v>43</v>
      </c>
      <c r="E2984" s="5" t="s">
        <v>44</v>
      </c>
      <c r="F2984" s="9">
        <v>99</v>
      </c>
      <c r="G2984" s="9" t="s">
        <v>222</v>
      </c>
      <c r="H2984" s="5" t="s">
        <v>21</v>
      </c>
      <c r="I2984" s="5" t="s">
        <v>7597</v>
      </c>
      <c r="J2984" s="12" t="str">
        <f>HYPERLINK("https://www.boe.es/gazeta/dias/1802/12/07/pdfs/GMD-D-1802-99.pdf#page=5","Abrir facsímil")</f>
        <v>Abrir facsímil</v>
      </c>
      <c r="K2984" s="15" t="s">
        <v>23</v>
      </c>
    </row>
    <row r="2985" spans="1:11" ht="42" customHeight="1">
      <c r="A2985" s="4" t="s">
        <v>7598</v>
      </c>
      <c r="B2985" s="5" t="s">
        <v>7599</v>
      </c>
      <c r="C2985" s="5" t="s">
        <v>18</v>
      </c>
      <c r="D2985" s="5" t="s">
        <v>19</v>
      </c>
      <c r="E2985" s="5" t="s">
        <v>20</v>
      </c>
      <c r="F2985" s="9">
        <v>84</v>
      </c>
      <c r="G2985" s="9">
        <v>1042</v>
      </c>
      <c r="H2985" s="5" t="s">
        <v>21</v>
      </c>
      <c r="I2985" s="5" t="s">
        <v>7600</v>
      </c>
      <c r="J2985" s="12" t="str">
        <f>HYPERLINK("https://www.boe.es/gazeta/dias/1802/10/15/pdfs/GMD-1802-84.pdf#page=10","Abrir facsímil")</f>
        <v>Abrir facsímil</v>
      </c>
      <c r="K2985" s="15" t="s">
        <v>23</v>
      </c>
    </row>
    <row r="2986" spans="1:11" ht="42" customHeight="1">
      <c r="A2986" s="4" t="s">
        <v>7601</v>
      </c>
      <c r="B2986" s="5" t="s">
        <v>7601</v>
      </c>
      <c r="C2986" s="5" t="s">
        <v>35</v>
      </c>
      <c r="D2986" s="5" t="s">
        <v>36</v>
      </c>
      <c r="E2986" s="5" t="s">
        <v>181</v>
      </c>
      <c r="F2986" s="9">
        <v>55</v>
      </c>
      <c r="G2986" s="9">
        <v>657</v>
      </c>
      <c r="H2986" s="5" t="s">
        <v>21</v>
      </c>
      <c r="I2986" s="5" t="s">
        <v>7602</v>
      </c>
      <c r="J2986" s="12" t="str">
        <f>HYPERLINK("https://www.boe.es/gazeta/dias/1802/07/09/pdfs/GMD-1802-55.pdf#page=1","Abrir facsímil")</f>
        <v>Abrir facsímil</v>
      </c>
      <c r="K2986" s="15" t="s">
        <v>23</v>
      </c>
    </row>
    <row r="2987" spans="1:11" ht="42" customHeight="1">
      <c r="A2987" s="4" t="s">
        <v>7603</v>
      </c>
      <c r="B2987" s="5" t="s">
        <v>7604</v>
      </c>
      <c r="C2987" s="5" t="s">
        <v>18</v>
      </c>
      <c r="D2987" s="5" t="s">
        <v>19</v>
      </c>
      <c r="E2987" s="5" t="s">
        <v>49</v>
      </c>
      <c r="F2987" s="9">
        <v>83</v>
      </c>
      <c r="G2987" s="9">
        <v>1021</v>
      </c>
      <c r="H2987" s="5" t="s">
        <v>21</v>
      </c>
      <c r="I2987" s="5" t="s">
        <v>7605</v>
      </c>
      <c r="J2987" s="12" t="str">
        <f>HYPERLINK("https://www.boe.es/gazeta/dias/1802/10/12/pdfs/GMD-1802-83.pdf#page=9","Abrir facsímil")</f>
        <v>Abrir facsímil</v>
      </c>
      <c r="K2987" s="15" t="s">
        <v>23</v>
      </c>
    </row>
    <row r="2988" spans="1:11" ht="42" customHeight="1">
      <c r="A2988" s="4" t="s">
        <v>7606</v>
      </c>
      <c r="B2988" s="5" t="s">
        <v>7607</v>
      </c>
      <c r="C2988" s="5" t="s">
        <v>18</v>
      </c>
      <c r="D2988" s="5" t="s">
        <v>19</v>
      </c>
      <c r="E2988" s="5" t="s">
        <v>49</v>
      </c>
      <c r="F2988" s="9">
        <v>83</v>
      </c>
      <c r="G2988" s="9">
        <v>1023</v>
      </c>
      <c r="H2988" s="5" t="s">
        <v>21</v>
      </c>
      <c r="I2988" s="5" t="s">
        <v>7608</v>
      </c>
      <c r="J2988" s="12" t="str">
        <f>HYPERLINK("https://www.boe.es/gazeta/dias/1802/10/12/pdfs/GMD-1802-83.pdf#page=11","Abrir facsímil")</f>
        <v>Abrir facsímil</v>
      </c>
      <c r="K2988" s="15" t="s">
        <v>23</v>
      </c>
    </row>
    <row r="2989" spans="1:11" ht="42" customHeight="1">
      <c r="A2989" s="4" t="s">
        <v>7609</v>
      </c>
      <c r="B2989" s="5" t="s">
        <v>7609</v>
      </c>
      <c r="C2989" s="5" t="s">
        <v>90</v>
      </c>
      <c r="D2989" s="5" t="s">
        <v>91</v>
      </c>
      <c r="E2989" s="5" t="s">
        <v>381</v>
      </c>
      <c r="F2989" s="9">
        <v>13</v>
      </c>
      <c r="G2989" s="9">
        <v>130</v>
      </c>
      <c r="H2989" s="5" t="s">
        <v>21</v>
      </c>
      <c r="I2989" s="5" t="s">
        <v>7610</v>
      </c>
      <c r="J2989" s="12" t="str">
        <f>HYPERLINK("https://www.boe.es/gazeta/dias/1802/02/12/pdfs/GMD-1802-13.pdf#page=6","Abrir facsímil")</f>
        <v>Abrir facsímil</v>
      </c>
      <c r="K2989" s="15" t="s">
        <v>23</v>
      </c>
    </row>
    <row r="2990" spans="1:11" ht="42" customHeight="1">
      <c r="A2990" s="4" t="s">
        <v>7611</v>
      </c>
      <c r="B2990" s="5" t="s">
        <v>7611</v>
      </c>
      <c r="C2990" s="5" t="s">
        <v>29</v>
      </c>
      <c r="D2990" s="5" t="s">
        <v>30</v>
      </c>
      <c r="E2990" s="5" t="s">
        <v>37</v>
      </c>
      <c r="F2990" s="9">
        <v>106</v>
      </c>
      <c r="G2990" s="9">
        <v>1296</v>
      </c>
      <c r="H2990" s="5" t="s">
        <v>21</v>
      </c>
      <c r="I2990" s="5" t="s">
        <v>7612</v>
      </c>
      <c r="J2990" s="12" t="str">
        <f>HYPERLINK("https://www.boe.es/gazeta/dias/1802/12/31/pdfs/GMD-1802-106.pdf#page=8","Abrir facsímil")</f>
        <v>Abrir facsímil</v>
      </c>
      <c r="K2990" s="15" t="s">
        <v>23</v>
      </c>
    </row>
    <row r="2991" spans="1:11" ht="42" customHeight="1">
      <c r="A2991" s="4" t="s">
        <v>7613</v>
      </c>
      <c r="B2991" s="5" t="s">
        <v>7614</v>
      </c>
      <c r="C2991" s="5" t="s">
        <v>18</v>
      </c>
      <c r="D2991" s="5" t="s">
        <v>19</v>
      </c>
      <c r="E2991" s="5" t="s">
        <v>20</v>
      </c>
      <c r="F2991" s="9">
        <v>84</v>
      </c>
      <c r="G2991" s="9">
        <v>1040</v>
      </c>
      <c r="H2991" s="5" t="s">
        <v>21</v>
      </c>
      <c r="I2991" s="5" t="s">
        <v>7615</v>
      </c>
      <c r="J2991" s="12" t="str">
        <f>HYPERLINK("https://www.boe.es/gazeta/dias/1802/10/15/pdfs/GMD-1802-84.pdf#page=8","Abrir facsímil")</f>
        <v>Abrir facsímil</v>
      </c>
      <c r="K2991" s="15" t="s">
        <v>23</v>
      </c>
    </row>
    <row r="2992" spans="1:11" ht="42" customHeight="1">
      <c r="A2992" s="4" t="s">
        <v>7616</v>
      </c>
      <c r="B2992" s="5" t="s">
        <v>7617</v>
      </c>
      <c r="C2992" s="5" t="s">
        <v>18</v>
      </c>
      <c r="D2992" s="5" t="s">
        <v>19</v>
      </c>
      <c r="E2992" s="5" t="s">
        <v>49</v>
      </c>
      <c r="F2992" s="9">
        <v>83</v>
      </c>
      <c r="G2992" s="9">
        <v>1025</v>
      </c>
      <c r="H2992" s="5" t="s">
        <v>21</v>
      </c>
      <c r="I2992" s="5" t="s">
        <v>7618</v>
      </c>
      <c r="J2992" s="12" t="str">
        <f>HYPERLINK("https://www.boe.es/gazeta/dias/1802/10/12/pdfs/GMD-1802-83.pdf#page=13","Abrir facsímil")</f>
        <v>Abrir facsímil</v>
      </c>
      <c r="K2992" s="15" t="s">
        <v>23</v>
      </c>
    </row>
    <row r="2993" spans="1:11" ht="42" customHeight="1">
      <c r="A2993" s="4" t="s">
        <v>7619</v>
      </c>
      <c r="B2993" s="5" t="s">
        <v>7620</v>
      </c>
      <c r="C2993" s="5" t="s">
        <v>18</v>
      </c>
      <c r="D2993" s="5" t="s">
        <v>19</v>
      </c>
      <c r="E2993" s="5" t="s">
        <v>49</v>
      </c>
      <c r="F2993" s="9">
        <v>83</v>
      </c>
      <c r="G2993" s="9">
        <v>1024</v>
      </c>
      <c r="H2993" s="5" t="s">
        <v>21</v>
      </c>
      <c r="I2993" s="5" t="s">
        <v>7621</v>
      </c>
      <c r="J2993" s="12" t="str">
        <f>HYPERLINK("https://www.boe.es/gazeta/dias/1802/10/12/pdfs/GMD-1802-83.pdf#page=12","Abrir facsímil")</f>
        <v>Abrir facsímil</v>
      </c>
      <c r="K2993" s="15" t="s">
        <v>23</v>
      </c>
    </row>
    <row r="2994" spans="1:11" ht="42" customHeight="1">
      <c r="A2994" s="4" t="s">
        <v>7622</v>
      </c>
      <c r="B2994" s="5" t="s">
        <v>7622</v>
      </c>
      <c r="C2994" s="5" t="s">
        <v>18</v>
      </c>
      <c r="D2994" s="5" t="s">
        <v>19</v>
      </c>
      <c r="E2994" s="5" t="s">
        <v>49</v>
      </c>
      <c r="F2994" s="9">
        <v>83</v>
      </c>
      <c r="G2994" s="9">
        <v>1025</v>
      </c>
      <c r="H2994" s="5" t="s">
        <v>21</v>
      </c>
      <c r="I2994" s="5" t="s">
        <v>7623</v>
      </c>
      <c r="J2994" s="12" t="str">
        <f>HYPERLINK("https://www.boe.es/gazeta/dias/1802/10/12/pdfs/GMD-1802-83.pdf#page=13","Abrir facsímil")</f>
        <v>Abrir facsímil</v>
      </c>
      <c r="K2994" s="15" t="s">
        <v>23</v>
      </c>
    </row>
    <row r="2995" spans="1:11" ht="42" customHeight="1">
      <c r="A2995" s="4" t="s">
        <v>7624</v>
      </c>
      <c r="B2995" s="5" t="s">
        <v>7624</v>
      </c>
      <c r="C2995" s="5" t="s">
        <v>29</v>
      </c>
      <c r="D2995" s="5" t="s">
        <v>30</v>
      </c>
      <c r="E2995" s="5" t="s">
        <v>332</v>
      </c>
      <c r="F2995" s="9">
        <v>24</v>
      </c>
      <c r="G2995" s="9">
        <v>272</v>
      </c>
      <c r="H2995" s="5" t="s">
        <v>21</v>
      </c>
      <c r="I2995" s="5" t="s">
        <v>7625</v>
      </c>
      <c r="J2995" s="12" t="str">
        <f>HYPERLINK("https://www.boe.es/gazeta/dias/1802/03/23/pdfs/GMD-1802-24.pdf#page=8","Abrir facsímil")</f>
        <v>Abrir facsímil</v>
      </c>
      <c r="K2995" s="15" t="s">
        <v>23</v>
      </c>
    </row>
    <row r="2996" spans="1:11" ht="42" customHeight="1">
      <c r="A2996" s="4" t="s">
        <v>7626</v>
      </c>
      <c r="B2996" s="5" t="s">
        <v>7626</v>
      </c>
      <c r="C2996" s="5" t="s">
        <v>29</v>
      </c>
      <c r="D2996" s="5" t="s">
        <v>30</v>
      </c>
      <c r="E2996" s="5" t="s">
        <v>381</v>
      </c>
      <c r="F2996" s="9">
        <v>13</v>
      </c>
      <c r="G2996" s="9">
        <v>131</v>
      </c>
      <c r="H2996" s="5" t="s">
        <v>21</v>
      </c>
      <c r="I2996" s="5" t="s">
        <v>7627</v>
      </c>
      <c r="J2996" s="12" t="str">
        <f>HYPERLINK("https://www.boe.es/gazeta/dias/1802/02/12/pdfs/GMD-1802-13.pdf#page=7","Abrir facsímil")</f>
        <v>Abrir facsímil</v>
      </c>
      <c r="K2996" s="15" t="s">
        <v>23</v>
      </c>
    </row>
    <row r="2997" spans="1:11" ht="42" customHeight="1">
      <c r="A2997" s="4" t="s">
        <v>7628</v>
      </c>
      <c r="B2997" s="5" t="s">
        <v>7628</v>
      </c>
      <c r="C2997" s="5" t="s">
        <v>35</v>
      </c>
      <c r="D2997" s="5" t="s">
        <v>36</v>
      </c>
      <c r="E2997" s="5" t="s">
        <v>1185</v>
      </c>
      <c r="F2997" s="9">
        <v>93</v>
      </c>
      <c r="G2997" s="9">
        <v>1145</v>
      </c>
      <c r="H2997" s="5" t="s">
        <v>21</v>
      </c>
      <c r="I2997" s="5" t="s">
        <v>7629</v>
      </c>
      <c r="J2997" s="12" t="str">
        <f>HYPERLINK("https://www.boe.es/gazeta/dias/1802/11/16/pdfs/GMD-1802-93.pdf#page=5","Abrir facsímil")</f>
        <v>Abrir facsímil</v>
      </c>
      <c r="K2997" s="15" t="s">
        <v>23</v>
      </c>
    </row>
    <row r="2998" spans="1:11" ht="42" customHeight="1">
      <c r="A2998" s="4" t="s">
        <v>7630</v>
      </c>
      <c r="B2998" s="5" t="s">
        <v>7631</v>
      </c>
      <c r="C2998" s="5" t="s">
        <v>29</v>
      </c>
      <c r="D2998" s="5" t="s">
        <v>30</v>
      </c>
      <c r="E2998" s="5" t="s">
        <v>1374</v>
      </c>
      <c r="F2998" s="9">
        <v>71</v>
      </c>
      <c r="G2998" s="9">
        <v>875</v>
      </c>
      <c r="H2998" s="5" t="s">
        <v>21</v>
      </c>
      <c r="I2998" s="5" t="s">
        <v>7632</v>
      </c>
      <c r="J2998" s="12" t="str">
        <f>HYPERLINK("https://www.boe.es/gazeta/dias/1802/08/31/pdfs/GMD-1802-71.pdf#page=11","Abrir facsímil")</f>
        <v>Abrir facsímil</v>
      </c>
      <c r="K2998" s="15" t="s">
        <v>23</v>
      </c>
    </row>
    <row r="2999" spans="1:11" ht="42" customHeight="1">
      <c r="A2999" s="4" t="s">
        <v>7633</v>
      </c>
      <c r="B2999" s="5" t="s">
        <v>7634</v>
      </c>
      <c r="C2999" s="5" t="s">
        <v>29</v>
      </c>
      <c r="D2999" s="5" t="s">
        <v>30</v>
      </c>
      <c r="E2999" s="5" t="s">
        <v>1374</v>
      </c>
      <c r="F2999" s="9">
        <v>71</v>
      </c>
      <c r="G2999" s="9">
        <v>875</v>
      </c>
      <c r="H2999" s="5" t="s">
        <v>21</v>
      </c>
      <c r="I2999" s="5" t="s">
        <v>7635</v>
      </c>
      <c r="J2999" s="12" t="str">
        <f>HYPERLINK("https://www.boe.es/gazeta/dias/1802/08/31/pdfs/GMD-1802-71.pdf#page=11","Abrir facsímil")</f>
        <v>Abrir facsímil</v>
      </c>
      <c r="K2999" s="15" t="s">
        <v>23</v>
      </c>
    </row>
    <row r="3000" spans="1:11" ht="42" customHeight="1">
      <c r="A3000" s="4" t="s">
        <v>7636</v>
      </c>
      <c r="B3000" s="5" t="s">
        <v>7637</v>
      </c>
      <c r="C3000" s="5" t="s">
        <v>18</v>
      </c>
      <c r="D3000" s="5" t="s">
        <v>19</v>
      </c>
      <c r="E3000" s="5" t="s">
        <v>82</v>
      </c>
      <c r="F3000" s="9">
        <v>74</v>
      </c>
      <c r="G3000" s="9">
        <v>914</v>
      </c>
      <c r="H3000" s="5" t="s">
        <v>21</v>
      </c>
      <c r="I3000" s="5" t="s">
        <v>7638</v>
      </c>
      <c r="J3000" s="12" t="str">
        <f>HYPERLINK("https://www.boe.es/gazeta/dias/1802/09/10/pdfs/GMD-1802-74.pdf#page=10","Abrir facsímil")</f>
        <v>Abrir facsímil</v>
      </c>
      <c r="K3000" s="15" t="s">
        <v>23</v>
      </c>
    </row>
    <row r="3001" spans="1:11" ht="42" customHeight="1">
      <c r="A3001" s="4" t="s">
        <v>7639</v>
      </c>
      <c r="B3001" s="5" t="s">
        <v>7640</v>
      </c>
      <c r="C3001" s="5" t="s">
        <v>29</v>
      </c>
      <c r="D3001" s="5" t="s">
        <v>30</v>
      </c>
      <c r="E3001" s="5" t="s">
        <v>128</v>
      </c>
      <c r="F3001" s="9">
        <v>9</v>
      </c>
      <c r="G3001" s="9">
        <v>85</v>
      </c>
      <c r="H3001" s="5" t="s">
        <v>21</v>
      </c>
      <c r="I3001" s="5" t="s">
        <v>7641</v>
      </c>
      <c r="J3001" s="12" t="str">
        <f>HYPERLINK("https://www.boe.es/gazeta/dias/1802/01/29/pdfs/GMD-1802-9.pdf#page=5","Abrir facsímil")</f>
        <v>Abrir facsímil</v>
      </c>
      <c r="K3001" s="15" t="s">
        <v>23</v>
      </c>
    </row>
    <row r="3002" spans="1:11" ht="42" customHeight="1">
      <c r="A3002" s="4" t="s">
        <v>7639</v>
      </c>
      <c r="B3002" s="5" t="s">
        <v>7640</v>
      </c>
      <c r="C3002" s="5" t="s">
        <v>35</v>
      </c>
      <c r="D3002" s="5" t="s">
        <v>36</v>
      </c>
      <c r="E3002" s="5" t="s">
        <v>133</v>
      </c>
      <c r="F3002" s="9">
        <v>33</v>
      </c>
      <c r="G3002" s="9">
        <v>381</v>
      </c>
      <c r="H3002" s="5" t="s">
        <v>21</v>
      </c>
      <c r="I3002" s="5" t="s">
        <v>7642</v>
      </c>
      <c r="J3002" s="12" t="str">
        <f>HYPERLINK("https://www.boe.es/gazeta/dias/1802/04/23/pdfs/GMD-1802-33.pdf#page=1","Abrir facsímil")</f>
        <v>Abrir facsímil</v>
      </c>
      <c r="K3002" s="15" t="s">
        <v>23</v>
      </c>
    </row>
    <row r="3003" spans="1:11" ht="42" customHeight="1">
      <c r="A3003" s="4" t="s">
        <v>7643</v>
      </c>
      <c r="B3003" s="5" t="s">
        <v>7644</v>
      </c>
      <c r="C3003" s="5" t="s">
        <v>160</v>
      </c>
      <c r="D3003" s="5" t="s">
        <v>91</v>
      </c>
      <c r="E3003" s="5" t="s">
        <v>219</v>
      </c>
      <c r="F3003" s="9">
        <v>81</v>
      </c>
      <c r="G3003" s="9">
        <v>999</v>
      </c>
      <c r="H3003" s="5" t="s">
        <v>21</v>
      </c>
      <c r="I3003" s="5" t="s">
        <v>7645</v>
      </c>
      <c r="J3003" s="12" t="str">
        <f>HYPERLINK("https://www.boe.es/gazeta/dias/1802/10/05/pdfs/GMD-1802-81.pdf#page=11","Abrir facsímil")</f>
        <v>Abrir facsímil</v>
      </c>
      <c r="K3003" s="15" t="s">
        <v>23</v>
      </c>
    </row>
    <row r="3004" spans="1:11" ht="42" customHeight="1">
      <c r="A3004" s="4" t="s">
        <v>7646</v>
      </c>
      <c r="B3004" s="5" t="s">
        <v>7647</v>
      </c>
      <c r="C3004" s="5" t="s">
        <v>29</v>
      </c>
      <c r="D3004" s="5" t="s">
        <v>30</v>
      </c>
      <c r="E3004" s="5" t="s">
        <v>710</v>
      </c>
      <c r="F3004" s="9">
        <v>85</v>
      </c>
      <c r="G3004" s="9">
        <v>1058</v>
      </c>
      <c r="H3004" s="5" t="s">
        <v>21</v>
      </c>
      <c r="I3004" s="5" t="s">
        <v>7648</v>
      </c>
      <c r="J3004" s="12" t="str">
        <f>HYPERLINK("https://www.boe.es/gazeta/dias/1802/10/19/pdfs/GMD-1802-85.pdf#page=10","Abrir facsímil")</f>
        <v>Abrir facsímil</v>
      </c>
      <c r="K3004" s="15" t="s">
        <v>23</v>
      </c>
    </row>
    <row r="3005" spans="1:11" ht="42" customHeight="1">
      <c r="A3005" s="4" t="s">
        <v>7649</v>
      </c>
      <c r="B3005" s="5" t="s">
        <v>7649</v>
      </c>
      <c r="C3005" s="5" t="s">
        <v>29</v>
      </c>
      <c r="D3005" s="5" t="s">
        <v>30</v>
      </c>
      <c r="E3005" s="5" t="s">
        <v>102</v>
      </c>
      <c r="F3005" s="9">
        <v>73</v>
      </c>
      <c r="G3005" s="9">
        <v>901</v>
      </c>
      <c r="H3005" s="5" t="s">
        <v>21</v>
      </c>
      <c r="I3005" s="5" t="s">
        <v>7650</v>
      </c>
      <c r="J3005" s="12" t="str">
        <f>HYPERLINK("https://www.boe.es/gazeta/dias/1802/09/07/pdfs/GMD-1802-73.pdf#page=9","Abrir facsímil")</f>
        <v>Abrir facsímil</v>
      </c>
      <c r="K3005" s="15" t="s">
        <v>23</v>
      </c>
    </row>
    <row r="3006" spans="1:11" ht="42" customHeight="1">
      <c r="A3006" s="4" t="s">
        <v>7651</v>
      </c>
      <c r="B3006" s="5" t="s">
        <v>7652</v>
      </c>
      <c r="C3006" s="5" t="s">
        <v>42</v>
      </c>
      <c r="D3006" s="5" t="s">
        <v>43</v>
      </c>
      <c r="E3006" s="5" t="s">
        <v>44</v>
      </c>
      <c r="F3006" s="9">
        <v>99</v>
      </c>
      <c r="G3006" s="9" t="s">
        <v>45</v>
      </c>
      <c r="H3006" s="5" t="s">
        <v>21</v>
      </c>
      <c r="I3006" s="5" t="s">
        <v>7653</v>
      </c>
      <c r="J3006" s="12" t="str">
        <f>HYPERLINK("https://www.boe.es/gazeta/dias/1802/12/07/pdfs/GMD-D-1802-99.pdf#page=14","Abrir facsímil")</f>
        <v>Abrir facsímil</v>
      </c>
      <c r="K3006" s="15" t="s">
        <v>23</v>
      </c>
    </row>
    <row r="3007" spans="1:11" ht="42" customHeight="1">
      <c r="A3007" s="4" t="s">
        <v>7654</v>
      </c>
      <c r="B3007" s="5" t="s">
        <v>7655</v>
      </c>
      <c r="C3007" s="5" t="s">
        <v>18</v>
      </c>
      <c r="D3007" s="5" t="s">
        <v>19</v>
      </c>
      <c r="E3007" s="5" t="s">
        <v>1113</v>
      </c>
      <c r="F3007" s="9">
        <v>6</v>
      </c>
      <c r="G3007" s="9">
        <v>59</v>
      </c>
      <c r="H3007" s="5" t="s">
        <v>21</v>
      </c>
      <c r="I3007" s="5" t="s">
        <v>7656</v>
      </c>
      <c r="J3007" s="12" t="str">
        <f>HYPERLINK("https://www.boe.es/gazeta/dias/1802/01/19/pdfs/GMD-1802-6.pdf#page=7","Abrir facsímil")</f>
        <v>Abrir facsímil</v>
      </c>
      <c r="K3007" s="15" t="s">
        <v>23</v>
      </c>
    </row>
    <row r="3008" spans="1:11" ht="42" customHeight="1">
      <c r="A3008" s="4" t="s">
        <v>7657</v>
      </c>
      <c r="B3008" s="5" t="s">
        <v>7658</v>
      </c>
      <c r="C3008" s="5" t="s">
        <v>55</v>
      </c>
      <c r="D3008" s="5" t="s">
        <v>56</v>
      </c>
      <c r="E3008" s="5" t="s">
        <v>25</v>
      </c>
      <c r="F3008" s="9">
        <v>44</v>
      </c>
      <c r="G3008" s="9">
        <v>535</v>
      </c>
      <c r="H3008" s="5" t="s">
        <v>21</v>
      </c>
      <c r="I3008" s="5" t="s">
        <v>7659</v>
      </c>
      <c r="J3008" s="12" t="str">
        <f>HYPERLINK("https://www.boe.es/gazeta/dias/1802/06/01/pdfs/GMD-1802-44.pdf#page=11","Abrir facsímil")</f>
        <v>Abrir facsímil</v>
      </c>
      <c r="K3008" s="15" t="s">
        <v>23</v>
      </c>
    </row>
    <row r="3009" spans="1:11" ht="42" customHeight="1">
      <c r="A3009" s="4" t="s">
        <v>7654</v>
      </c>
      <c r="B3009" s="5" t="s">
        <v>7655</v>
      </c>
      <c r="C3009" s="5" t="s">
        <v>55</v>
      </c>
      <c r="D3009" s="5" t="s">
        <v>56</v>
      </c>
      <c r="E3009" s="5" t="s">
        <v>25</v>
      </c>
      <c r="F3009" s="9">
        <v>44</v>
      </c>
      <c r="G3009" s="9">
        <v>536</v>
      </c>
      <c r="H3009" s="5" t="s">
        <v>21</v>
      </c>
      <c r="I3009" s="5" t="s">
        <v>7660</v>
      </c>
      <c r="J3009" s="12" t="str">
        <f>HYPERLINK("https://www.boe.es/gazeta/dias/1802/06/01/pdfs/GMD-1802-44.pdf#page=12","Abrir facsímil")</f>
        <v>Abrir facsímil</v>
      </c>
      <c r="K3009" s="15" t="s">
        <v>23</v>
      </c>
    </row>
    <row r="3010" spans="1:11" ht="42" customHeight="1">
      <c r="A3010" s="4" t="s">
        <v>7654</v>
      </c>
      <c r="B3010" s="5" t="s">
        <v>7655</v>
      </c>
      <c r="C3010" s="5" t="s">
        <v>55</v>
      </c>
      <c r="D3010" s="5" t="s">
        <v>56</v>
      </c>
      <c r="E3010" s="5" t="s">
        <v>385</v>
      </c>
      <c r="F3010" s="9">
        <v>70</v>
      </c>
      <c r="G3010" s="9">
        <v>864</v>
      </c>
      <c r="H3010" s="5" t="s">
        <v>21</v>
      </c>
      <c r="I3010" s="5" t="s">
        <v>7661</v>
      </c>
      <c r="J3010" s="12" t="str">
        <f>HYPERLINK("https://www.boe.es/gazeta/dias/1802/08/27/pdfs/GMD-1802-70.pdf#page=12","Abrir facsímil")</f>
        <v>Abrir facsímil</v>
      </c>
      <c r="K3010" s="15" t="s">
        <v>23</v>
      </c>
    </row>
    <row r="3011" spans="1:11" ht="42" customHeight="1">
      <c r="A3011" s="4" t="s">
        <v>7662</v>
      </c>
      <c r="B3011" s="5" t="s">
        <v>7663</v>
      </c>
      <c r="C3011" s="5" t="s">
        <v>42</v>
      </c>
      <c r="D3011" s="5" t="s">
        <v>43</v>
      </c>
      <c r="E3011" s="5" t="s">
        <v>44</v>
      </c>
      <c r="F3011" s="9">
        <v>99</v>
      </c>
      <c r="G3011" s="9" t="s">
        <v>322</v>
      </c>
      <c r="H3011" s="5" t="s">
        <v>21</v>
      </c>
      <c r="I3011" s="5" t="s">
        <v>7664</v>
      </c>
      <c r="J3011" s="12" t="str">
        <f>HYPERLINK("https://www.boe.es/gazeta/dias/1802/12/07/pdfs/GMD-D-1802-99.pdf#page=10","Abrir facsímil")</f>
        <v>Abrir facsímil</v>
      </c>
      <c r="K3011" s="15" t="s">
        <v>23</v>
      </c>
    </row>
    <row r="3012" spans="1:11" ht="42" customHeight="1">
      <c r="A3012" s="4" t="s">
        <v>7665</v>
      </c>
      <c r="B3012" s="5" t="s">
        <v>7666</v>
      </c>
      <c r="C3012" s="5" t="s">
        <v>35</v>
      </c>
      <c r="D3012" s="5" t="s">
        <v>36</v>
      </c>
      <c r="E3012" s="5" t="s">
        <v>219</v>
      </c>
      <c r="F3012" s="9">
        <v>81</v>
      </c>
      <c r="G3012" s="9">
        <v>997</v>
      </c>
      <c r="H3012" s="5" t="s">
        <v>21</v>
      </c>
      <c r="I3012" s="5" t="s">
        <v>7667</v>
      </c>
      <c r="J3012" s="12" t="str">
        <f>HYPERLINK("https://www.boe.es/gazeta/dias/1802/10/05/pdfs/GMD-1802-81.pdf#page=9","Abrir facsímil")</f>
        <v>Abrir facsímil</v>
      </c>
      <c r="K3012" s="15" t="s">
        <v>23</v>
      </c>
    </row>
    <row r="3013" spans="1:11" ht="42" customHeight="1">
      <c r="A3013" s="4" t="s">
        <v>7668</v>
      </c>
      <c r="B3013" s="5" t="s">
        <v>7669</v>
      </c>
      <c r="C3013" s="5" t="s">
        <v>29</v>
      </c>
      <c r="D3013" s="5" t="s">
        <v>30</v>
      </c>
      <c r="E3013" s="5" t="s">
        <v>49</v>
      </c>
      <c r="F3013" s="9">
        <v>83</v>
      </c>
      <c r="G3013" s="9">
        <v>1021</v>
      </c>
      <c r="H3013" s="5" t="s">
        <v>21</v>
      </c>
      <c r="I3013" s="5" t="s">
        <v>7670</v>
      </c>
      <c r="J3013" s="12" t="str">
        <f>HYPERLINK("https://www.boe.es/gazeta/dias/1802/10/12/pdfs/GMD-1802-83.pdf#page=9","Abrir facsímil")</f>
        <v>Abrir facsímil</v>
      </c>
      <c r="K3013" s="15" t="s">
        <v>23</v>
      </c>
    </row>
    <row r="3014" spans="1:11" ht="42" customHeight="1">
      <c r="A3014" s="4" t="s">
        <v>7671</v>
      </c>
      <c r="B3014" s="5" t="s">
        <v>7672</v>
      </c>
      <c r="C3014" s="5" t="s">
        <v>29</v>
      </c>
      <c r="D3014" s="5" t="s">
        <v>30</v>
      </c>
      <c r="E3014" s="5" t="s">
        <v>192</v>
      </c>
      <c r="F3014" s="9">
        <v>53</v>
      </c>
      <c r="G3014" s="9">
        <v>640</v>
      </c>
      <c r="H3014" s="5" t="s">
        <v>21</v>
      </c>
      <c r="I3014" s="5" t="s">
        <v>7673</v>
      </c>
      <c r="J3014" s="12" t="str">
        <f>HYPERLINK("https://www.boe.es/gazeta/dias/1802/07/02/pdfs/GMD-1802-53.pdf#page=8","Abrir facsímil")</f>
        <v>Abrir facsímil</v>
      </c>
      <c r="K3014" s="15" t="s">
        <v>23</v>
      </c>
    </row>
    <row r="3015" spans="1:11" ht="42" customHeight="1">
      <c r="A3015" s="4" t="s">
        <v>7674</v>
      </c>
      <c r="B3015" s="5" t="s">
        <v>7675</v>
      </c>
      <c r="C3015" s="5" t="s">
        <v>90</v>
      </c>
      <c r="D3015" s="5" t="s">
        <v>91</v>
      </c>
      <c r="E3015" s="5" t="s">
        <v>436</v>
      </c>
      <c r="F3015" s="9">
        <v>58</v>
      </c>
      <c r="G3015" s="9">
        <v>701</v>
      </c>
      <c r="H3015" s="5" t="s">
        <v>21</v>
      </c>
      <c r="I3015" s="5" t="s">
        <v>7676</v>
      </c>
      <c r="J3015" s="12" t="str">
        <f>HYPERLINK("https://www.boe.es/gazeta/dias/1802/07/20/pdfs/GMD-1802-58.pdf#page=9","Abrir facsímil")</f>
        <v>Abrir facsímil</v>
      </c>
      <c r="K3015" s="15" t="s">
        <v>23</v>
      </c>
    </row>
    <row r="3016" spans="1:11" ht="42" customHeight="1">
      <c r="A3016" s="4" t="s">
        <v>7677</v>
      </c>
      <c r="B3016" s="5" t="s">
        <v>7678</v>
      </c>
      <c r="C3016" s="5" t="s">
        <v>29</v>
      </c>
      <c r="D3016" s="5" t="s">
        <v>30</v>
      </c>
      <c r="E3016" s="5" t="s">
        <v>128</v>
      </c>
      <c r="F3016" s="9">
        <v>9</v>
      </c>
      <c r="G3016" s="9">
        <v>88</v>
      </c>
      <c r="H3016" s="5" t="s">
        <v>21</v>
      </c>
      <c r="I3016" s="5" t="s">
        <v>7679</v>
      </c>
      <c r="J3016" s="12" t="str">
        <f>HYPERLINK("https://www.boe.es/gazeta/dias/1802/01/29/pdfs/GMD-1802-9.pdf#page=8","Abrir facsímil")</f>
        <v>Abrir facsímil</v>
      </c>
      <c r="K3016" s="15" t="s">
        <v>23</v>
      </c>
    </row>
    <row r="3017" spans="1:11" ht="42" customHeight="1">
      <c r="A3017" s="4" t="s">
        <v>7680</v>
      </c>
      <c r="B3017" s="5" t="s">
        <v>7681</v>
      </c>
      <c r="C3017" s="5" t="s">
        <v>42</v>
      </c>
      <c r="D3017" s="5" t="s">
        <v>43</v>
      </c>
      <c r="E3017" s="5" t="s">
        <v>44</v>
      </c>
      <c r="F3017" s="9">
        <v>99</v>
      </c>
      <c r="G3017" s="9" t="s">
        <v>78</v>
      </c>
      <c r="H3017" s="5" t="s">
        <v>21</v>
      </c>
      <c r="I3017" s="5" t="s">
        <v>7682</v>
      </c>
      <c r="J3017" s="12" t="str">
        <f>HYPERLINK("https://www.boe.es/gazeta/dias/1802/12/07/pdfs/GMD-D-1802-99.pdf#page=15","Abrir facsímil")</f>
        <v>Abrir facsímil</v>
      </c>
      <c r="K3017" s="15" t="s">
        <v>23</v>
      </c>
    </row>
    <row r="3018" spans="1:11" ht="42" customHeight="1">
      <c r="A3018" s="4" t="s">
        <v>7683</v>
      </c>
      <c r="B3018" s="5" t="s">
        <v>7684</v>
      </c>
      <c r="C3018" s="5" t="s">
        <v>29</v>
      </c>
      <c r="D3018" s="5" t="s">
        <v>30</v>
      </c>
      <c r="E3018" s="5" t="s">
        <v>133</v>
      </c>
      <c r="F3018" s="9">
        <v>33</v>
      </c>
      <c r="G3018" s="9">
        <v>387</v>
      </c>
      <c r="H3018" s="5" t="s">
        <v>21</v>
      </c>
      <c r="I3018" s="5" t="s">
        <v>7685</v>
      </c>
      <c r="J3018" s="12" t="str">
        <f>HYPERLINK("https://www.boe.es/gazeta/dias/1802/04/23/pdfs/GMD-1802-33.pdf#page=7","Abrir facsímil")</f>
        <v>Abrir facsímil</v>
      </c>
      <c r="K3018" s="15" t="s">
        <v>23</v>
      </c>
    </row>
    <row r="3019" spans="1:11" ht="42" customHeight="1">
      <c r="A3019" s="4" t="s">
        <v>7686</v>
      </c>
      <c r="B3019" s="5" t="s">
        <v>7686</v>
      </c>
      <c r="C3019" s="5" t="s">
        <v>35</v>
      </c>
      <c r="D3019" s="5" t="s">
        <v>36</v>
      </c>
      <c r="E3019" s="5" t="s">
        <v>131</v>
      </c>
      <c r="F3019" s="9">
        <v>11</v>
      </c>
      <c r="G3019" s="9">
        <v>105</v>
      </c>
      <c r="H3019" s="5" t="s">
        <v>21</v>
      </c>
      <c r="I3019" s="5" t="s">
        <v>7687</v>
      </c>
      <c r="J3019" s="12" t="str">
        <f>HYPERLINK("https://www.boe.es/gazeta/dias/1802/02/05/pdfs/GMD-1802-11.pdf#page=1","Abrir facsímil")</f>
        <v>Abrir facsímil</v>
      </c>
      <c r="K3019" s="15" t="s">
        <v>23</v>
      </c>
    </row>
    <row r="3020" spans="1:11" ht="42" customHeight="1">
      <c r="A3020" s="4" t="s">
        <v>7688</v>
      </c>
      <c r="B3020" s="5" t="s">
        <v>7689</v>
      </c>
      <c r="C3020" s="5" t="s">
        <v>90</v>
      </c>
      <c r="D3020" s="5" t="s">
        <v>91</v>
      </c>
      <c r="E3020" s="5" t="s">
        <v>102</v>
      </c>
      <c r="F3020" s="9">
        <v>73</v>
      </c>
      <c r="G3020" s="9">
        <v>903</v>
      </c>
      <c r="H3020" s="5" t="s">
        <v>21</v>
      </c>
      <c r="I3020" s="5" t="s">
        <v>7690</v>
      </c>
      <c r="J3020" s="12" t="str">
        <f>HYPERLINK("https://www.boe.es/gazeta/dias/1802/09/07/pdfs/GMD-1802-73.pdf#page=11","Abrir facsímil")</f>
        <v>Abrir facsímil</v>
      </c>
      <c r="K3020" s="15" t="s">
        <v>23</v>
      </c>
    </row>
    <row r="3021" spans="1:11" ht="42" customHeight="1">
      <c r="A3021" s="4" t="s">
        <v>7691</v>
      </c>
      <c r="B3021" s="5" t="s">
        <v>7692</v>
      </c>
      <c r="C3021" s="5" t="s">
        <v>29</v>
      </c>
      <c r="D3021" s="5" t="s">
        <v>30</v>
      </c>
      <c r="E3021" s="5" t="s">
        <v>86</v>
      </c>
      <c r="F3021" s="9">
        <v>26</v>
      </c>
      <c r="G3021" s="9">
        <v>298</v>
      </c>
      <c r="H3021" s="5" t="s">
        <v>21</v>
      </c>
      <c r="I3021" s="5" t="s">
        <v>7693</v>
      </c>
      <c r="J3021" s="12" t="str">
        <f>HYPERLINK("https://www.boe.es/gazeta/dias/1802/03/30/pdfs/GMD-1802-26.pdf#page=10","Abrir facsímil")</f>
        <v>Abrir facsímil</v>
      </c>
      <c r="K3021" s="15" t="s">
        <v>23</v>
      </c>
    </row>
    <row r="3022" spans="1:11" ht="42" customHeight="1">
      <c r="A3022" s="4" t="s">
        <v>7694</v>
      </c>
      <c r="B3022" s="5" t="s">
        <v>7694</v>
      </c>
      <c r="C3022" s="5" t="s">
        <v>18</v>
      </c>
      <c r="D3022" s="5" t="s">
        <v>19</v>
      </c>
      <c r="E3022" s="5" t="s">
        <v>436</v>
      </c>
      <c r="F3022" s="9">
        <v>58</v>
      </c>
      <c r="G3022" s="9">
        <v>701</v>
      </c>
      <c r="H3022" s="5" t="s">
        <v>21</v>
      </c>
      <c r="I3022" s="5" t="s">
        <v>7695</v>
      </c>
      <c r="J3022" s="12" t="str">
        <f>HYPERLINK("https://www.boe.es/gazeta/dias/1802/07/20/pdfs/GMD-1802-58.pdf#page=9","Abrir facsímil")</f>
        <v>Abrir facsímil</v>
      </c>
      <c r="K3022" s="15" t="s">
        <v>23</v>
      </c>
    </row>
    <row r="3023" spans="1:11" ht="42" customHeight="1">
      <c r="A3023" s="4" t="s">
        <v>7696</v>
      </c>
      <c r="B3023" s="5" t="s">
        <v>7697</v>
      </c>
      <c r="C3023" s="5" t="s">
        <v>35</v>
      </c>
      <c r="D3023" s="5" t="s">
        <v>36</v>
      </c>
      <c r="E3023" s="5" t="s">
        <v>385</v>
      </c>
      <c r="F3023" s="9">
        <v>70</v>
      </c>
      <c r="G3023" s="9">
        <v>862</v>
      </c>
      <c r="H3023" s="5" t="s">
        <v>21</v>
      </c>
      <c r="I3023" s="5" t="s">
        <v>7698</v>
      </c>
      <c r="J3023" s="12" t="str">
        <f>HYPERLINK("https://www.boe.es/gazeta/dias/1802/08/27/pdfs/GMD-1802-70.pdf#page=10","Abrir facsímil")</f>
        <v>Abrir facsímil</v>
      </c>
      <c r="K3023" s="15" t="s">
        <v>23</v>
      </c>
    </row>
    <row r="3024" spans="1:11" ht="42" customHeight="1">
      <c r="A3024" s="4" t="s">
        <v>7699</v>
      </c>
      <c r="B3024" s="5" t="s">
        <v>7699</v>
      </c>
      <c r="C3024" s="5" t="s">
        <v>35</v>
      </c>
      <c r="D3024" s="5" t="s">
        <v>36</v>
      </c>
      <c r="E3024" s="5" t="s">
        <v>188</v>
      </c>
      <c r="F3024" s="9">
        <v>49</v>
      </c>
      <c r="G3024" s="9">
        <v>593</v>
      </c>
      <c r="H3024" s="5" t="s">
        <v>21</v>
      </c>
      <c r="I3024" s="5" t="s">
        <v>7700</v>
      </c>
      <c r="J3024" s="12" t="str">
        <f>HYPERLINK("https://www.boe.es/gazeta/dias/1802/06/18/pdfs/GMD-1802-49.pdf#page=5","Abrir facsímil")</f>
        <v>Abrir facsímil</v>
      </c>
      <c r="K3024" s="15" t="s">
        <v>23</v>
      </c>
    </row>
    <row r="3025" spans="1:11" ht="42" customHeight="1">
      <c r="A3025" s="4" t="s">
        <v>7701</v>
      </c>
      <c r="B3025" s="5" t="s">
        <v>7701</v>
      </c>
      <c r="C3025" s="5" t="s">
        <v>35</v>
      </c>
      <c r="D3025" s="5" t="s">
        <v>36</v>
      </c>
      <c r="E3025" s="5" t="s">
        <v>299</v>
      </c>
      <c r="F3025" s="9">
        <v>19</v>
      </c>
      <c r="G3025" s="9">
        <v>204</v>
      </c>
      <c r="H3025" s="5" t="s">
        <v>21</v>
      </c>
      <c r="I3025" s="5" t="s">
        <v>7702</v>
      </c>
      <c r="J3025" s="12" t="str">
        <f>HYPERLINK("https://www.boe.es/gazeta/dias/1802/03/05/pdfs/GMD-1802-19.pdf#page=4","Abrir facsímil")</f>
        <v>Abrir facsímil</v>
      </c>
      <c r="K3025" s="15" t="s">
        <v>23</v>
      </c>
    </row>
    <row r="3026" spans="1:11" ht="42" customHeight="1">
      <c r="A3026" s="4" t="s">
        <v>7701</v>
      </c>
      <c r="B3026" s="5" t="s">
        <v>7701</v>
      </c>
      <c r="C3026" s="5" t="s">
        <v>29</v>
      </c>
      <c r="D3026" s="5" t="s">
        <v>30</v>
      </c>
      <c r="E3026" s="5" t="s">
        <v>31</v>
      </c>
      <c r="F3026" s="9">
        <v>27</v>
      </c>
      <c r="G3026" s="9">
        <v>309</v>
      </c>
      <c r="H3026" s="5" t="s">
        <v>21</v>
      </c>
      <c r="I3026" s="5" t="s">
        <v>7703</v>
      </c>
      <c r="J3026" s="12" t="str">
        <f>HYPERLINK("https://www.boe.es/gazeta/dias/1802/04/02/pdfs/GMD-1802-27.pdf#page=5","Abrir facsímil")</f>
        <v>Abrir facsímil</v>
      </c>
      <c r="K3026" s="15" t="s">
        <v>23</v>
      </c>
    </row>
    <row r="3027" spans="1:11" ht="42" customHeight="1">
      <c r="A3027" s="4" t="s">
        <v>7701</v>
      </c>
      <c r="B3027" s="5" t="s">
        <v>7701</v>
      </c>
      <c r="C3027" s="5" t="s">
        <v>160</v>
      </c>
      <c r="D3027" s="5" t="s">
        <v>91</v>
      </c>
      <c r="E3027" s="5" t="s">
        <v>1959</v>
      </c>
      <c r="F3027" s="9">
        <v>34</v>
      </c>
      <c r="G3027" s="9">
        <v>392</v>
      </c>
      <c r="H3027" s="5" t="s">
        <v>21</v>
      </c>
      <c r="I3027" s="5" t="s">
        <v>7704</v>
      </c>
      <c r="J3027" s="12" t="str">
        <f>HYPERLINK("https://www.boe.es/gazeta/dias/1802/04/27/pdfs/GMD-1802-34.pdf#page=4","Abrir facsímil")</f>
        <v>Abrir facsímil</v>
      </c>
      <c r="K3027" s="15" t="s">
        <v>23</v>
      </c>
    </row>
    <row r="3028" spans="1:11" ht="42" customHeight="1">
      <c r="A3028" s="4" t="s">
        <v>7701</v>
      </c>
      <c r="B3028" s="5" t="s">
        <v>7701</v>
      </c>
      <c r="C3028" s="5" t="s">
        <v>35</v>
      </c>
      <c r="D3028" s="5" t="s">
        <v>36</v>
      </c>
      <c r="E3028" s="5" t="s">
        <v>172</v>
      </c>
      <c r="F3028" s="9">
        <v>35</v>
      </c>
      <c r="G3028" s="9">
        <v>406</v>
      </c>
      <c r="H3028" s="5" t="s">
        <v>21</v>
      </c>
      <c r="I3028" s="5" t="s">
        <v>7705</v>
      </c>
      <c r="J3028" s="12" t="str">
        <f>HYPERLINK("https://www.boe.es/gazeta/dias/1802/04/30/pdfs/GMD-1802-35.pdf#page=6","Abrir facsímil")</f>
        <v>Abrir facsímil</v>
      </c>
      <c r="K3028" s="15" t="s">
        <v>23</v>
      </c>
    </row>
    <row r="3029" spans="1:11" ht="42" customHeight="1">
      <c r="A3029" s="4" t="s">
        <v>7701</v>
      </c>
      <c r="B3029" s="5" t="s">
        <v>7701</v>
      </c>
      <c r="C3029" s="5" t="s">
        <v>18</v>
      </c>
      <c r="D3029" s="5" t="s">
        <v>19</v>
      </c>
      <c r="E3029" s="5" t="s">
        <v>635</v>
      </c>
      <c r="F3029" s="9">
        <v>47</v>
      </c>
      <c r="G3029" s="9">
        <v>567</v>
      </c>
      <c r="H3029" s="5" t="s">
        <v>21</v>
      </c>
      <c r="I3029" s="5" t="s">
        <v>7706</v>
      </c>
      <c r="J3029" s="12" t="str">
        <f>HYPERLINK("https://www.boe.es/gazeta/dias/1802/06/11/pdfs/GMD-1802-47.pdf#page=3","Abrir facsímil")</f>
        <v>Abrir facsímil</v>
      </c>
      <c r="K3029" s="15" t="s">
        <v>23</v>
      </c>
    </row>
    <row r="3030" spans="1:11" ht="42" customHeight="1">
      <c r="A3030" s="4" t="s">
        <v>7701</v>
      </c>
      <c r="B3030" s="5" t="s">
        <v>7701</v>
      </c>
      <c r="C3030" s="5" t="s">
        <v>35</v>
      </c>
      <c r="D3030" s="5" t="s">
        <v>36</v>
      </c>
      <c r="E3030" s="5" t="s">
        <v>921</v>
      </c>
      <c r="F3030" s="9">
        <v>50</v>
      </c>
      <c r="G3030" s="9">
        <v>605</v>
      </c>
      <c r="H3030" s="5" t="s">
        <v>21</v>
      </c>
      <c r="I3030" s="5" t="s">
        <v>7707</v>
      </c>
      <c r="J3030" s="12" t="str">
        <f>HYPERLINK("https://www.boe.es/gazeta/dias/1802/06/22/pdfs/GMD-1802-50.pdf#page=5","Abrir facsímil")</f>
        <v>Abrir facsímil</v>
      </c>
      <c r="K3030" s="15" t="s">
        <v>23</v>
      </c>
    </row>
    <row r="3031" spans="1:11" ht="42" customHeight="1">
      <c r="A3031" s="4" t="s">
        <v>7701</v>
      </c>
      <c r="B3031" s="5" t="s">
        <v>7701</v>
      </c>
      <c r="C3031" s="5" t="s">
        <v>35</v>
      </c>
      <c r="D3031" s="5" t="s">
        <v>36</v>
      </c>
      <c r="E3031" s="5" t="s">
        <v>1289</v>
      </c>
      <c r="F3031" s="9">
        <v>72</v>
      </c>
      <c r="G3031" s="9">
        <v>886</v>
      </c>
      <c r="H3031" s="5" t="s">
        <v>21</v>
      </c>
      <c r="I3031" s="5" t="s">
        <v>7708</v>
      </c>
      <c r="J3031" s="12" t="str">
        <f>HYPERLINK("https://www.boe.es/gazeta/dias/1802/09/03/pdfs/GMD-1802-72.pdf#page=6","Abrir facsímil")</f>
        <v>Abrir facsímil</v>
      </c>
      <c r="K3031" s="15" t="s">
        <v>23</v>
      </c>
    </row>
    <row r="3032" spans="1:11" ht="42" customHeight="1">
      <c r="A3032" s="4" t="s">
        <v>7701</v>
      </c>
      <c r="B3032" s="5" t="s">
        <v>7701</v>
      </c>
      <c r="C3032" s="5" t="s">
        <v>35</v>
      </c>
      <c r="D3032" s="5" t="s">
        <v>36</v>
      </c>
      <c r="E3032" s="5" t="s">
        <v>481</v>
      </c>
      <c r="F3032" s="9">
        <v>79</v>
      </c>
      <c r="G3032" s="9">
        <v>971</v>
      </c>
      <c r="H3032" s="5" t="s">
        <v>21</v>
      </c>
      <c r="I3032" s="5" t="s">
        <v>7709</v>
      </c>
      <c r="J3032" s="12" t="str">
        <f>HYPERLINK("https://www.boe.es/gazeta/dias/1802/09/28/pdfs/GMD-1802-79.pdf#page=7","Abrir facsímil")</f>
        <v>Abrir facsímil</v>
      </c>
      <c r="K3032" s="15" t="s">
        <v>23</v>
      </c>
    </row>
    <row r="3033" spans="1:11" ht="42" customHeight="1">
      <c r="A3033" s="4" t="s">
        <v>7701</v>
      </c>
      <c r="B3033" s="5" t="s">
        <v>7701</v>
      </c>
      <c r="C3033" s="5" t="s">
        <v>18</v>
      </c>
      <c r="D3033" s="5" t="s">
        <v>19</v>
      </c>
      <c r="E3033" s="5" t="s">
        <v>710</v>
      </c>
      <c r="F3033" s="9">
        <v>85</v>
      </c>
      <c r="G3033" s="9">
        <v>1056</v>
      </c>
      <c r="H3033" s="5" t="s">
        <v>21</v>
      </c>
      <c r="I3033" s="5" t="s">
        <v>7710</v>
      </c>
      <c r="J3033" s="12" t="str">
        <f>HYPERLINK("https://www.boe.es/gazeta/dias/1802/10/19/pdfs/GMD-1802-85.pdf#page=8","Abrir facsímil")</f>
        <v>Abrir facsímil</v>
      </c>
      <c r="K3033" s="15" t="s">
        <v>23</v>
      </c>
    </row>
    <row r="3034" spans="1:11" ht="42" customHeight="1">
      <c r="A3034" s="4" t="s">
        <v>7701</v>
      </c>
      <c r="B3034" s="5" t="s">
        <v>7701</v>
      </c>
      <c r="C3034" s="5" t="s">
        <v>35</v>
      </c>
      <c r="D3034" s="5" t="s">
        <v>36</v>
      </c>
      <c r="E3034" s="5" t="s">
        <v>751</v>
      </c>
      <c r="F3034" s="9">
        <v>98</v>
      </c>
      <c r="G3034" s="9">
        <v>1210</v>
      </c>
      <c r="H3034" s="5" t="s">
        <v>21</v>
      </c>
      <c r="I3034" s="5" t="s">
        <v>7711</v>
      </c>
      <c r="J3034" s="12" t="str">
        <f>HYPERLINK("https://www.boe.es/gazeta/dias/1802/12/03/pdfs/GMD-1802-98.pdf#page=6","Abrir facsímil")</f>
        <v>Abrir facsímil</v>
      </c>
      <c r="K3034" s="15" t="s">
        <v>23</v>
      </c>
    </row>
    <row r="3035" spans="1:11" ht="42" customHeight="1">
      <c r="A3035" s="4" t="s">
        <v>7701</v>
      </c>
      <c r="B3035" s="5" t="s">
        <v>7701</v>
      </c>
      <c r="C3035" s="5" t="s">
        <v>35</v>
      </c>
      <c r="D3035" s="5" t="s">
        <v>36</v>
      </c>
      <c r="E3035" s="5" t="s">
        <v>75</v>
      </c>
      <c r="F3035" s="9">
        <v>103</v>
      </c>
      <c r="G3035" s="9">
        <v>1259</v>
      </c>
      <c r="H3035" s="5" t="s">
        <v>21</v>
      </c>
      <c r="I3035" s="5" t="s">
        <v>7712</v>
      </c>
      <c r="J3035" s="12" t="str">
        <f>HYPERLINK("https://www.boe.es/gazeta/dias/1802/12/21/pdfs/GMD-1802-103.pdf#page=3","Abrir facsímil")</f>
        <v>Abrir facsímil</v>
      </c>
      <c r="K3035" s="15" t="s">
        <v>23</v>
      </c>
    </row>
    <row r="3036" spans="1:11" ht="42" customHeight="1">
      <c r="A3036" s="4" t="s">
        <v>7701</v>
      </c>
      <c r="B3036" s="5" t="s">
        <v>7701</v>
      </c>
      <c r="C3036" s="5" t="s">
        <v>29</v>
      </c>
      <c r="D3036" s="5" t="s">
        <v>30</v>
      </c>
      <c r="E3036" s="5" t="s">
        <v>37</v>
      </c>
      <c r="F3036" s="9">
        <v>106</v>
      </c>
      <c r="G3036" s="9">
        <v>1292</v>
      </c>
      <c r="H3036" s="5" t="s">
        <v>21</v>
      </c>
      <c r="I3036" s="5" t="s">
        <v>7713</v>
      </c>
      <c r="J3036" s="12" t="str">
        <f>HYPERLINK("https://www.boe.es/gazeta/dias/1802/12/31/pdfs/GMD-1802-106.pdf#page=4","Abrir facsímil")</f>
        <v>Abrir facsímil</v>
      </c>
      <c r="K3036" s="15" t="s">
        <v>23</v>
      </c>
    </row>
    <row r="3037" spans="1:11" ht="42" customHeight="1">
      <c r="A3037" s="4" t="s">
        <v>7714</v>
      </c>
      <c r="B3037" s="5" t="s">
        <v>7715</v>
      </c>
      <c r="C3037" s="5" t="s">
        <v>55</v>
      </c>
      <c r="D3037" s="5" t="s">
        <v>56</v>
      </c>
      <c r="E3037" s="5" t="s">
        <v>332</v>
      </c>
      <c r="F3037" s="9">
        <v>24</v>
      </c>
      <c r="G3037" s="9">
        <v>268</v>
      </c>
      <c r="H3037" s="5" t="s">
        <v>21</v>
      </c>
      <c r="I3037" s="5" t="s">
        <v>7716</v>
      </c>
      <c r="J3037" s="12" t="str">
        <f>HYPERLINK("https://www.boe.es/gazeta/dias/1802/03/23/pdfs/GMD-1802-24.pdf#page=4","Abrir facsímil")</f>
        <v>Abrir facsímil</v>
      </c>
      <c r="K3037" s="15" t="s">
        <v>23</v>
      </c>
    </row>
    <row r="3038" spans="1:11" ht="42" customHeight="1">
      <c r="A3038" s="4" t="s">
        <v>7714</v>
      </c>
      <c r="B3038" s="5" t="s">
        <v>7715</v>
      </c>
      <c r="C3038" s="5" t="s">
        <v>35</v>
      </c>
      <c r="D3038" s="5" t="s">
        <v>36</v>
      </c>
      <c r="E3038" s="5" t="s">
        <v>114</v>
      </c>
      <c r="F3038" s="9">
        <v>82</v>
      </c>
      <c r="G3038" s="9">
        <v>1007</v>
      </c>
      <c r="H3038" s="5" t="s">
        <v>21</v>
      </c>
      <c r="I3038" s="5" t="s">
        <v>7717</v>
      </c>
      <c r="J3038" s="12" t="str">
        <f>HYPERLINK("https://www.boe.es/gazeta/dias/1802/10/08/pdfs/GMD-1802-82.pdf#page=7","Abrir facsímil")</f>
        <v>Abrir facsímil</v>
      </c>
      <c r="K3038" s="15" t="s">
        <v>23</v>
      </c>
    </row>
    <row r="3039" spans="1:11" ht="42" customHeight="1">
      <c r="A3039" s="4" t="s">
        <v>7718</v>
      </c>
      <c r="B3039" s="5" t="s">
        <v>7719</v>
      </c>
      <c r="C3039" s="5" t="s">
        <v>18</v>
      </c>
      <c r="D3039" s="5" t="s">
        <v>19</v>
      </c>
      <c r="E3039" s="5" t="s">
        <v>1185</v>
      </c>
      <c r="F3039" s="9">
        <v>93</v>
      </c>
      <c r="G3039" s="9">
        <v>1149</v>
      </c>
      <c r="H3039" s="5" t="s">
        <v>21</v>
      </c>
      <c r="I3039" s="5" t="s">
        <v>7720</v>
      </c>
      <c r="J3039" s="12" t="str">
        <f>HYPERLINK("https://www.boe.es/gazeta/dias/1802/11/16/pdfs/GMD-1802-93.pdf#page=9","Abrir facsímil")</f>
        <v>Abrir facsímil</v>
      </c>
      <c r="K3039" s="15" t="s">
        <v>23</v>
      </c>
    </row>
    <row r="3040" spans="1:11" ht="42" customHeight="1">
      <c r="A3040" s="4" t="s">
        <v>7721</v>
      </c>
      <c r="B3040" s="5" t="s">
        <v>7722</v>
      </c>
      <c r="C3040" s="5" t="s">
        <v>29</v>
      </c>
      <c r="D3040" s="5" t="s">
        <v>30</v>
      </c>
      <c r="E3040" s="5" t="s">
        <v>20</v>
      </c>
      <c r="F3040" s="9">
        <v>84</v>
      </c>
      <c r="G3040" s="9">
        <v>1040</v>
      </c>
      <c r="H3040" s="5" t="s">
        <v>21</v>
      </c>
      <c r="I3040" s="5" t="s">
        <v>7723</v>
      </c>
      <c r="J3040" s="12" t="str">
        <f>HYPERLINK("https://www.boe.es/gazeta/dias/1802/10/15/pdfs/GMD-1802-84.pdf#page=8","Abrir facsímil")</f>
        <v>Abrir facsímil</v>
      </c>
      <c r="K3040" s="15" t="s">
        <v>23</v>
      </c>
    </row>
    <row r="3041" spans="1:11" ht="42" customHeight="1">
      <c r="A3041" s="4" t="s">
        <v>7724</v>
      </c>
      <c r="B3041" s="5" t="s">
        <v>7724</v>
      </c>
      <c r="C3041" s="5" t="s">
        <v>35</v>
      </c>
      <c r="D3041" s="5" t="s">
        <v>36</v>
      </c>
      <c r="E3041" s="5" t="s">
        <v>73</v>
      </c>
      <c r="F3041" s="9">
        <v>102</v>
      </c>
      <c r="G3041" s="9">
        <v>1249</v>
      </c>
      <c r="H3041" s="5" t="s">
        <v>21</v>
      </c>
      <c r="I3041" s="5" t="s">
        <v>7725</v>
      </c>
      <c r="J3041" s="12" t="str">
        <f>HYPERLINK("https://www.boe.es/gazeta/dias/1802/12/17/pdfs/GMD-1802-102.pdf#page=5","Abrir facsímil")</f>
        <v>Abrir facsímil</v>
      </c>
      <c r="K3041" s="15" t="s">
        <v>23</v>
      </c>
    </row>
    <row r="3042" spans="1:11" ht="42" customHeight="1">
      <c r="A3042" s="4" t="s">
        <v>7726</v>
      </c>
      <c r="B3042" s="5" t="s">
        <v>7727</v>
      </c>
      <c r="C3042" s="5" t="s">
        <v>90</v>
      </c>
      <c r="D3042" s="5" t="s">
        <v>91</v>
      </c>
      <c r="E3042" s="5" t="s">
        <v>60</v>
      </c>
      <c r="F3042" s="9">
        <v>5</v>
      </c>
      <c r="G3042" s="9">
        <v>50</v>
      </c>
      <c r="H3042" s="5" t="s">
        <v>21</v>
      </c>
      <c r="I3042" s="5" t="s">
        <v>7728</v>
      </c>
      <c r="J3042" s="12" t="str">
        <f>HYPERLINK("https://www.boe.es/gazeta/dias/1802/01/15/pdfs/GMD-1802-5.pdf#page=6","Abrir facsímil")</f>
        <v>Abrir facsímil</v>
      </c>
      <c r="K3042" s="15" t="s">
        <v>23</v>
      </c>
    </row>
    <row r="3043" spans="1:11" ht="42" customHeight="1">
      <c r="A3043" s="4" t="s">
        <v>7729</v>
      </c>
      <c r="B3043" s="5" t="s">
        <v>7729</v>
      </c>
      <c r="C3043" s="5" t="s">
        <v>18</v>
      </c>
      <c r="D3043" s="5" t="s">
        <v>19</v>
      </c>
      <c r="E3043" s="5" t="s">
        <v>826</v>
      </c>
      <c r="F3043" s="9">
        <v>67</v>
      </c>
      <c r="G3043" s="9">
        <v>819</v>
      </c>
      <c r="H3043" s="5" t="s">
        <v>21</v>
      </c>
      <c r="I3043" s="5" t="s">
        <v>7730</v>
      </c>
      <c r="J3043" s="12" t="str">
        <f>HYPERLINK("https://www.boe.es/gazeta/dias/1802/08/17/pdfs/GMD-1802-67.pdf#page=7","Abrir facsímil")</f>
        <v>Abrir facsímil</v>
      </c>
      <c r="K3043" s="15" t="s">
        <v>23</v>
      </c>
    </row>
    <row r="3044" spans="1:11" ht="42" customHeight="1">
      <c r="A3044" s="4" t="s">
        <v>7731</v>
      </c>
      <c r="B3044" s="5" t="s">
        <v>7731</v>
      </c>
      <c r="C3044" s="5" t="s">
        <v>29</v>
      </c>
      <c r="D3044" s="5" t="s">
        <v>30</v>
      </c>
      <c r="E3044" s="5" t="s">
        <v>655</v>
      </c>
      <c r="F3044" s="9">
        <v>46</v>
      </c>
      <c r="G3044" s="9">
        <v>558</v>
      </c>
      <c r="H3044" s="5" t="s">
        <v>21</v>
      </c>
      <c r="I3044" s="5" t="s">
        <v>7732</v>
      </c>
      <c r="J3044" s="12" t="str">
        <f>HYPERLINK("https://www.boe.es/gazeta/dias/1802/06/08/pdfs/GMD-1802-46.pdf#page=10","Abrir facsímil")</f>
        <v>Abrir facsímil</v>
      </c>
      <c r="K3044" s="15" t="s">
        <v>23</v>
      </c>
    </row>
    <row r="3045" spans="1:11" ht="42" customHeight="1">
      <c r="A3045" s="4" t="s">
        <v>7733</v>
      </c>
      <c r="B3045" s="5" t="s">
        <v>7733</v>
      </c>
      <c r="C3045" s="5" t="s">
        <v>18</v>
      </c>
      <c r="D3045" s="5" t="s">
        <v>19</v>
      </c>
      <c r="E3045" s="5" t="s">
        <v>20</v>
      </c>
      <c r="F3045" s="9">
        <v>84</v>
      </c>
      <c r="G3045" s="9">
        <v>1045</v>
      </c>
      <c r="H3045" s="5" t="s">
        <v>21</v>
      </c>
      <c r="I3045" s="5" t="s">
        <v>7734</v>
      </c>
      <c r="J3045" s="12" t="str">
        <f>HYPERLINK("https://www.boe.es/gazeta/dias/1802/10/15/pdfs/GMD-1802-84.pdf#page=13","Abrir facsímil")</f>
        <v>Abrir facsímil</v>
      </c>
      <c r="K3045" s="15" t="s">
        <v>23</v>
      </c>
    </row>
    <row r="3046" spans="1:11" ht="42" customHeight="1">
      <c r="A3046" s="4" t="s">
        <v>7735</v>
      </c>
      <c r="B3046" s="5" t="s">
        <v>7735</v>
      </c>
      <c r="C3046" s="5" t="s">
        <v>160</v>
      </c>
      <c r="D3046" s="5" t="s">
        <v>91</v>
      </c>
      <c r="E3046" s="5" t="s">
        <v>148</v>
      </c>
      <c r="F3046" s="9">
        <v>66</v>
      </c>
      <c r="G3046" s="9">
        <v>811</v>
      </c>
      <c r="H3046" s="5" t="s">
        <v>21</v>
      </c>
      <c r="I3046" s="5" t="s">
        <v>7736</v>
      </c>
      <c r="J3046" s="12" t="str">
        <f>HYPERLINK("https://www.boe.es/gazeta/dias/1802/08/13/pdfs/GMD-1802-66.pdf#page=15","Abrir facsímil")</f>
        <v>Abrir facsímil</v>
      </c>
      <c r="K3046" s="15" t="s">
        <v>23</v>
      </c>
    </row>
    <row r="3047" spans="1:11" ht="42" customHeight="1">
      <c r="A3047" s="4" t="s">
        <v>7737</v>
      </c>
      <c r="B3047" s="5" t="s">
        <v>7737</v>
      </c>
      <c r="C3047" s="5" t="s">
        <v>18</v>
      </c>
      <c r="D3047" s="5" t="s">
        <v>19</v>
      </c>
      <c r="E3047" s="5" t="s">
        <v>49</v>
      </c>
      <c r="F3047" s="9">
        <v>83</v>
      </c>
      <c r="G3047" s="9">
        <v>1023</v>
      </c>
      <c r="H3047" s="5" t="s">
        <v>21</v>
      </c>
      <c r="I3047" s="5" t="s">
        <v>7738</v>
      </c>
      <c r="J3047" s="12" t="str">
        <f>HYPERLINK("https://www.boe.es/gazeta/dias/1802/10/12/pdfs/GMD-1802-83.pdf#page=11","Abrir facsímil")</f>
        <v>Abrir facsímil</v>
      </c>
      <c r="K3047" s="15" t="s">
        <v>23</v>
      </c>
    </row>
    <row r="3048" spans="1:11" ht="42" customHeight="1">
      <c r="A3048" s="4" t="s">
        <v>7739</v>
      </c>
      <c r="B3048" s="5" t="s">
        <v>7740</v>
      </c>
      <c r="C3048" s="5" t="s">
        <v>18</v>
      </c>
      <c r="D3048" s="5" t="s">
        <v>19</v>
      </c>
      <c r="E3048" s="5" t="s">
        <v>49</v>
      </c>
      <c r="F3048" s="9">
        <v>83</v>
      </c>
      <c r="G3048" s="9">
        <v>1023</v>
      </c>
      <c r="H3048" s="5" t="s">
        <v>21</v>
      </c>
      <c r="I3048" s="5" t="s">
        <v>7741</v>
      </c>
      <c r="J3048" s="12" t="str">
        <f>HYPERLINK("https://www.boe.es/gazeta/dias/1802/10/12/pdfs/GMD-1802-83.pdf#page=11","Abrir facsímil")</f>
        <v>Abrir facsímil</v>
      </c>
      <c r="K3048" s="15" t="s">
        <v>23</v>
      </c>
    </row>
    <row r="3049" spans="1:11" ht="42" customHeight="1">
      <c r="A3049" s="4" t="s">
        <v>7742</v>
      </c>
      <c r="B3049" s="5" t="s">
        <v>7742</v>
      </c>
      <c r="C3049" s="5" t="s">
        <v>18</v>
      </c>
      <c r="D3049" s="5" t="s">
        <v>19</v>
      </c>
      <c r="E3049" s="5" t="s">
        <v>1749</v>
      </c>
      <c r="F3049" s="9">
        <v>60</v>
      </c>
      <c r="G3049" s="9">
        <v>727</v>
      </c>
      <c r="H3049" s="5" t="s">
        <v>21</v>
      </c>
      <c r="I3049" s="5" t="s">
        <v>7743</v>
      </c>
      <c r="J3049" s="12" t="str">
        <f>HYPERLINK("https://www.boe.es/gazeta/dias/1802/07/23/pdfs/GMD-1802-60.pdf#page=11","Abrir facsímil")</f>
        <v>Abrir facsímil</v>
      </c>
      <c r="K3049" s="15" t="s">
        <v>23</v>
      </c>
    </row>
    <row r="3050" spans="1:11" ht="42" customHeight="1">
      <c r="A3050" s="4" t="s">
        <v>7744</v>
      </c>
      <c r="B3050" s="5" t="s">
        <v>7744</v>
      </c>
      <c r="C3050" s="5" t="s">
        <v>18</v>
      </c>
      <c r="D3050" s="5" t="s">
        <v>19</v>
      </c>
      <c r="E3050" s="5" t="s">
        <v>206</v>
      </c>
      <c r="F3050" s="9">
        <v>22</v>
      </c>
      <c r="G3050" s="9">
        <v>242</v>
      </c>
      <c r="H3050" s="5" t="s">
        <v>21</v>
      </c>
      <c r="I3050" s="5" t="s">
        <v>7745</v>
      </c>
      <c r="J3050" s="12" t="str">
        <f>HYPERLINK("https://www.boe.es/gazeta/dias/1802/03/16/pdfs/GMD-1802-22.pdf#page=10","Abrir facsímil")</f>
        <v>Abrir facsímil</v>
      </c>
      <c r="K3050" s="15" t="s">
        <v>23</v>
      </c>
    </row>
    <row r="3051" spans="1:11" ht="42" customHeight="1">
      <c r="A3051" s="4" t="s">
        <v>7746</v>
      </c>
      <c r="B3051" s="5" t="s">
        <v>7746</v>
      </c>
      <c r="C3051" s="5" t="s">
        <v>18</v>
      </c>
      <c r="D3051" s="5" t="s">
        <v>19</v>
      </c>
      <c r="E3051" s="5" t="s">
        <v>655</v>
      </c>
      <c r="F3051" s="9">
        <v>46</v>
      </c>
      <c r="G3051" s="9">
        <v>560</v>
      </c>
      <c r="H3051" s="5" t="s">
        <v>21</v>
      </c>
      <c r="I3051" s="5" t="s">
        <v>7747</v>
      </c>
      <c r="J3051" s="12" t="str">
        <f>HYPERLINK("https://www.boe.es/gazeta/dias/1802/06/08/pdfs/GMD-1802-46.pdf#page=12","Abrir facsímil")</f>
        <v>Abrir facsímil</v>
      </c>
      <c r="K3051" s="15" t="s">
        <v>23</v>
      </c>
    </row>
    <row r="3052" spans="1:11" ht="42" customHeight="1">
      <c r="A3052" s="4" t="s">
        <v>7748</v>
      </c>
      <c r="B3052" s="5" t="s">
        <v>7748</v>
      </c>
      <c r="C3052" s="5" t="s">
        <v>55</v>
      </c>
      <c r="D3052" s="5" t="s">
        <v>56</v>
      </c>
      <c r="E3052" s="5" t="s">
        <v>292</v>
      </c>
      <c r="F3052" s="9">
        <v>62</v>
      </c>
      <c r="G3052" s="9">
        <v>755</v>
      </c>
      <c r="H3052" s="5" t="s">
        <v>21</v>
      </c>
      <c r="I3052" s="5" t="s">
        <v>7749</v>
      </c>
      <c r="J3052" s="12" t="str">
        <f>HYPERLINK("https://www.boe.es/gazeta/dias/1802/07/30/pdfs/GMD-1802-62.pdf#page=11","Abrir facsímil")</f>
        <v>Abrir facsímil</v>
      </c>
      <c r="K3052" s="15" t="s">
        <v>23</v>
      </c>
    </row>
    <row r="3053" spans="1:11" ht="42" customHeight="1">
      <c r="A3053" s="4" t="s">
        <v>7750</v>
      </c>
      <c r="B3053" s="5" t="s">
        <v>7750</v>
      </c>
      <c r="C3053" s="5" t="s">
        <v>42</v>
      </c>
      <c r="D3053" s="5" t="s">
        <v>43</v>
      </c>
      <c r="E3053" s="5" t="s">
        <v>44</v>
      </c>
      <c r="F3053" s="9">
        <v>99</v>
      </c>
      <c r="G3053" s="9" t="s">
        <v>222</v>
      </c>
      <c r="H3053" s="5" t="s">
        <v>21</v>
      </c>
      <c r="I3053" s="5" t="s">
        <v>7751</v>
      </c>
      <c r="J3053" s="12" t="str">
        <f>HYPERLINK("https://www.boe.es/gazeta/dias/1802/12/07/pdfs/GMD-D-1802-99.pdf#page=5","Abrir facsímil")</f>
        <v>Abrir facsímil</v>
      </c>
      <c r="K3053" s="15" t="s">
        <v>23</v>
      </c>
    </row>
    <row r="3054" spans="1:11" ht="42" customHeight="1">
      <c r="A3054" s="4" t="s">
        <v>7752</v>
      </c>
      <c r="B3054" s="5" t="s">
        <v>7752</v>
      </c>
      <c r="C3054" s="5" t="s">
        <v>42</v>
      </c>
      <c r="D3054" s="5" t="s">
        <v>43</v>
      </c>
      <c r="E3054" s="5" t="s">
        <v>44</v>
      </c>
      <c r="F3054" s="9">
        <v>99</v>
      </c>
      <c r="G3054" s="9" t="s">
        <v>322</v>
      </c>
      <c r="H3054" s="5" t="s">
        <v>21</v>
      </c>
      <c r="I3054" s="5" t="s">
        <v>7753</v>
      </c>
      <c r="J3054" s="12" t="str">
        <f>HYPERLINK("https://www.boe.es/gazeta/dias/1802/12/07/pdfs/GMD-D-1802-99.pdf#page=10","Abrir facsímil")</f>
        <v>Abrir facsímil</v>
      </c>
      <c r="K3054" s="15" t="s">
        <v>23</v>
      </c>
    </row>
    <row r="3055" spans="1:11" ht="42" customHeight="1">
      <c r="A3055" s="4" t="s">
        <v>7754</v>
      </c>
      <c r="B3055" s="5" t="s">
        <v>7754</v>
      </c>
      <c r="C3055" s="5" t="s">
        <v>55</v>
      </c>
      <c r="D3055" s="5" t="s">
        <v>56</v>
      </c>
      <c r="E3055" s="5" t="s">
        <v>1051</v>
      </c>
      <c r="F3055" s="9">
        <v>43</v>
      </c>
      <c r="G3055" s="9">
        <v>520</v>
      </c>
      <c r="H3055" s="5" t="s">
        <v>21</v>
      </c>
      <c r="I3055" s="5" t="s">
        <v>7755</v>
      </c>
      <c r="J3055" s="12" t="str">
        <f>HYPERLINK("https://www.boe.es/gazeta/dias/1802/05/28/pdfs/GMD-1802-43.pdf#page=12","Abrir facsímil")</f>
        <v>Abrir facsímil</v>
      </c>
      <c r="K3055" s="15" t="s">
        <v>23</v>
      </c>
    </row>
    <row r="3056" spans="1:11" ht="42" customHeight="1">
      <c r="A3056" s="4" t="s">
        <v>7756</v>
      </c>
      <c r="B3056" s="5" t="s">
        <v>7756</v>
      </c>
      <c r="C3056" s="5" t="s">
        <v>42</v>
      </c>
      <c r="D3056" s="5" t="s">
        <v>43</v>
      </c>
      <c r="E3056" s="5" t="s">
        <v>44</v>
      </c>
      <c r="F3056" s="9">
        <v>99</v>
      </c>
      <c r="G3056" s="9" t="s">
        <v>262</v>
      </c>
      <c r="H3056" s="5" t="s">
        <v>21</v>
      </c>
      <c r="I3056" s="5" t="s">
        <v>7757</v>
      </c>
      <c r="J3056" s="12" t="str">
        <f>HYPERLINK("https://www.boe.es/gazeta/dias/1802/12/07/pdfs/GMD-D-1802-99.pdf#page=8","Abrir facsímil")</f>
        <v>Abrir facsímil</v>
      </c>
      <c r="K3056" s="15" t="s">
        <v>23</v>
      </c>
    </row>
    <row r="3057" spans="1:11" ht="42" customHeight="1">
      <c r="A3057" s="4" t="s">
        <v>7758</v>
      </c>
      <c r="B3057" s="5" t="s">
        <v>7758</v>
      </c>
      <c r="C3057" s="5" t="s">
        <v>42</v>
      </c>
      <c r="D3057" s="5" t="s">
        <v>43</v>
      </c>
      <c r="E3057" s="5" t="s">
        <v>44</v>
      </c>
      <c r="F3057" s="9">
        <v>99</v>
      </c>
      <c r="G3057" s="9" t="s">
        <v>272</v>
      </c>
      <c r="H3057" s="5" t="s">
        <v>21</v>
      </c>
      <c r="I3057" s="5" t="s">
        <v>7759</v>
      </c>
      <c r="J3057" s="12" t="str">
        <f>HYPERLINK("https://www.boe.es/gazeta/dias/1802/12/07/pdfs/GMD-D-1802-99.pdf#page=3","Abrir facsímil")</f>
        <v>Abrir facsímil</v>
      </c>
      <c r="K3057" s="15" t="s">
        <v>23</v>
      </c>
    </row>
    <row r="3058" spans="1:11" ht="42" customHeight="1">
      <c r="A3058" s="4" t="s">
        <v>7760</v>
      </c>
      <c r="B3058" s="5" t="s">
        <v>7761</v>
      </c>
      <c r="C3058" s="5" t="s">
        <v>35</v>
      </c>
      <c r="D3058" s="5" t="s">
        <v>36</v>
      </c>
      <c r="E3058" s="5" t="s">
        <v>31</v>
      </c>
      <c r="F3058" s="9">
        <v>27</v>
      </c>
      <c r="G3058" s="9">
        <v>307</v>
      </c>
      <c r="H3058" s="5" t="s">
        <v>21</v>
      </c>
      <c r="I3058" s="5" t="s">
        <v>7762</v>
      </c>
      <c r="J3058" s="12" t="str">
        <f>HYPERLINK("https://www.boe.es/gazeta/dias/1802/04/02/pdfs/GMD-1802-27.pdf#page=3","Abrir facsímil")</f>
        <v>Abrir facsímil</v>
      </c>
      <c r="K3058" s="15" t="s">
        <v>23</v>
      </c>
    </row>
    <row r="3059" spans="1:11" ht="42" customHeight="1">
      <c r="A3059" s="4" t="s">
        <v>7763</v>
      </c>
      <c r="B3059" s="5" t="s">
        <v>7763</v>
      </c>
      <c r="C3059" s="5" t="s">
        <v>42</v>
      </c>
      <c r="D3059" s="5" t="s">
        <v>43</v>
      </c>
      <c r="E3059" s="5" t="s">
        <v>44</v>
      </c>
      <c r="F3059" s="9">
        <v>99</v>
      </c>
      <c r="G3059" s="9" t="s">
        <v>548</v>
      </c>
      <c r="H3059" s="5" t="s">
        <v>21</v>
      </c>
      <c r="I3059" s="5" t="s">
        <v>7764</v>
      </c>
      <c r="J3059" s="12" t="str">
        <f>HYPERLINK("https://www.boe.es/gazeta/dias/1802/12/07/pdfs/GMD-D-1802-99.pdf#page=12","Abrir facsímil")</f>
        <v>Abrir facsímil</v>
      </c>
      <c r="K3059" s="15" t="s">
        <v>23</v>
      </c>
    </row>
    <row r="3060" spans="1:11" ht="42" customHeight="1">
      <c r="A3060" s="4" t="s">
        <v>7765</v>
      </c>
      <c r="B3060" s="5" t="s">
        <v>7765</v>
      </c>
      <c r="C3060" s="5" t="s">
        <v>18</v>
      </c>
      <c r="D3060" s="5" t="s">
        <v>19</v>
      </c>
      <c r="E3060" s="5" t="s">
        <v>49</v>
      </c>
      <c r="F3060" s="9">
        <v>83</v>
      </c>
      <c r="G3060" s="9">
        <v>1022</v>
      </c>
      <c r="H3060" s="5" t="s">
        <v>21</v>
      </c>
      <c r="I3060" s="5" t="s">
        <v>7766</v>
      </c>
      <c r="J3060" s="12" t="str">
        <f>HYPERLINK("https://www.boe.es/gazeta/dias/1802/10/12/pdfs/GMD-1802-83.pdf#page=10","Abrir facsímil")</f>
        <v>Abrir facsímil</v>
      </c>
      <c r="K3060" s="15" t="s">
        <v>23</v>
      </c>
    </row>
    <row r="3061" spans="1:11" ht="42" customHeight="1">
      <c r="A3061" s="4" t="s">
        <v>7767</v>
      </c>
      <c r="B3061" s="5" t="s">
        <v>7767</v>
      </c>
      <c r="C3061" s="5" t="s">
        <v>160</v>
      </c>
      <c r="D3061" s="5" t="s">
        <v>91</v>
      </c>
      <c r="E3061" s="5" t="s">
        <v>20</v>
      </c>
      <c r="F3061" s="9">
        <v>84</v>
      </c>
      <c r="G3061" s="9">
        <v>1042</v>
      </c>
      <c r="H3061" s="5" t="s">
        <v>21</v>
      </c>
      <c r="I3061" s="5" t="s">
        <v>7768</v>
      </c>
      <c r="J3061" s="12" t="str">
        <f>HYPERLINK("https://www.boe.es/gazeta/dias/1802/10/15/pdfs/GMD-1802-84.pdf#page=10","Abrir facsímil")</f>
        <v>Abrir facsímil</v>
      </c>
      <c r="K3061" s="15" t="s">
        <v>23</v>
      </c>
    </row>
    <row r="3062" spans="1:11" ht="42" customHeight="1">
      <c r="A3062" s="4" t="s">
        <v>7769</v>
      </c>
      <c r="B3062" s="5" t="s">
        <v>7769</v>
      </c>
      <c r="C3062" s="5" t="s">
        <v>55</v>
      </c>
      <c r="D3062" s="5" t="s">
        <v>56</v>
      </c>
      <c r="E3062" s="5" t="s">
        <v>385</v>
      </c>
      <c r="F3062" s="9">
        <v>70</v>
      </c>
      <c r="G3062" s="9">
        <v>864</v>
      </c>
      <c r="H3062" s="5" t="s">
        <v>21</v>
      </c>
      <c r="I3062" s="5" t="s">
        <v>7770</v>
      </c>
      <c r="J3062" s="12" t="str">
        <f>HYPERLINK("https://www.boe.es/gazeta/dias/1802/08/27/pdfs/GMD-1802-70.pdf#page=12","Abrir facsímil")</f>
        <v>Abrir facsímil</v>
      </c>
      <c r="K3062" s="15" t="s">
        <v>23</v>
      </c>
    </row>
    <row r="3063" spans="1:11" ht="42" customHeight="1">
      <c r="A3063" s="4" t="s">
        <v>7771</v>
      </c>
      <c r="B3063" s="5" t="s">
        <v>7771</v>
      </c>
      <c r="C3063" s="5" t="s">
        <v>160</v>
      </c>
      <c r="D3063" s="5" t="s">
        <v>91</v>
      </c>
      <c r="E3063" s="5" t="s">
        <v>20</v>
      </c>
      <c r="F3063" s="9">
        <v>84</v>
      </c>
      <c r="G3063" s="9">
        <v>1042</v>
      </c>
      <c r="H3063" s="5" t="s">
        <v>21</v>
      </c>
      <c r="I3063" s="5" t="s">
        <v>7772</v>
      </c>
      <c r="J3063" s="12" t="str">
        <f>HYPERLINK("https://www.boe.es/gazeta/dias/1802/10/15/pdfs/GMD-1802-84.pdf#page=10","Abrir facsímil")</f>
        <v>Abrir facsímil</v>
      </c>
      <c r="K3063" s="15" t="s">
        <v>23</v>
      </c>
    </row>
    <row r="3064" spans="1:11" ht="42" customHeight="1">
      <c r="A3064" s="4" t="s">
        <v>7773</v>
      </c>
      <c r="B3064" s="5" t="s">
        <v>7773</v>
      </c>
      <c r="C3064" s="5" t="s">
        <v>18</v>
      </c>
      <c r="D3064" s="5" t="s">
        <v>19</v>
      </c>
      <c r="E3064" s="5" t="s">
        <v>49</v>
      </c>
      <c r="F3064" s="9">
        <v>83</v>
      </c>
      <c r="G3064" s="9">
        <v>1024</v>
      </c>
      <c r="H3064" s="5" t="s">
        <v>21</v>
      </c>
      <c r="I3064" s="5" t="s">
        <v>7774</v>
      </c>
      <c r="J3064" s="12" t="str">
        <f>HYPERLINK("https://www.boe.es/gazeta/dias/1802/10/12/pdfs/GMD-1802-83.pdf#page=12","Abrir facsímil")</f>
        <v>Abrir facsímil</v>
      </c>
      <c r="K3064" s="15" t="s">
        <v>23</v>
      </c>
    </row>
    <row r="3065" spans="1:11" ht="42" customHeight="1">
      <c r="A3065" s="4" t="s">
        <v>7775</v>
      </c>
      <c r="B3065" s="5" t="s">
        <v>7776</v>
      </c>
      <c r="C3065" s="5" t="s">
        <v>90</v>
      </c>
      <c r="D3065" s="5" t="s">
        <v>91</v>
      </c>
      <c r="E3065" s="5" t="s">
        <v>102</v>
      </c>
      <c r="F3065" s="9">
        <v>73</v>
      </c>
      <c r="G3065" s="9">
        <v>901</v>
      </c>
      <c r="H3065" s="5" t="s">
        <v>21</v>
      </c>
      <c r="I3065" s="5" t="s">
        <v>7777</v>
      </c>
      <c r="J3065" s="12" t="str">
        <f>HYPERLINK("https://www.boe.es/gazeta/dias/1802/09/07/pdfs/GMD-1802-73.pdf#page=9","Abrir facsímil")</f>
        <v>Abrir facsímil</v>
      </c>
      <c r="K3065" s="15" t="s">
        <v>23</v>
      </c>
    </row>
    <row r="3066" spans="1:11" ht="42" customHeight="1">
      <c r="A3066" s="4" t="s">
        <v>7778</v>
      </c>
      <c r="B3066" s="5" t="s">
        <v>7779</v>
      </c>
      <c r="C3066" s="5" t="s">
        <v>55</v>
      </c>
      <c r="D3066" s="5" t="s">
        <v>56</v>
      </c>
      <c r="E3066" s="5" t="s">
        <v>757</v>
      </c>
      <c r="F3066" s="9">
        <v>104</v>
      </c>
      <c r="G3066" s="9">
        <v>1272</v>
      </c>
      <c r="H3066" s="5" t="s">
        <v>21</v>
      </c>
      <c r="I3066" s="5" t="s">
        <v>7780</v>
      </c>
      <c r="J3066" s="12" t="str">
        <f>HYPERLINK("https://www.boe.es/gazeta/dias/1802/12/24/pdfs/GMD-1802-104.pdf#page=8","Abrir facsímil")</f>
        <v>Abrir facsímil</v>
      </c>
      <c r="K3066" s="15" t="s">
        <v>23</v>
      </c>
    </row>
    <row r="3067" spans="1:11" ht="42" customHeight="1">
      <c r="A3067" s="4" t="s">
        <v>7781</v>
      </c>
      <c r="B3067" s="5" t="s">
        <v>7782</v>
      </c>
      <c r="C3067" s="5" t="s">
        <v>35</v>
      </c>
      <c r="D3067" s="5" t="s">
        <v>36</v>
      </c>
      <c r="E3067" s="5" t="s">
        <v>907</v>
      </c>
      <c r="F3067" s="9">
        <v>77</v>
      </c>
      <c r="G3067" s="9">
        <v>943</v>
      </c>
      <c r="H3067" s="5" t="s">
        <v>21</v>
      </c>
      <c r="I3067" s="5" t="s">
        <v>7783</v>
      </c>
      <c r="J3067" s="12" t="str">
        <f>HYPERLINK("https://www.boe.es/gazeta/dias/1802/09/21/pdfs/GMD-1802-77.pdf#page=3","Abrir facsímil")</f>
        <v>Abrir facsímil</v>
      </c>
      <c r="K3067" s="15" t="s">
        <v>23</v>
      </c>
    </row>
    <row r="3068" spans="1:11" ht="42" customHeight="1">
      <c r="A3068" s="4" t="s">
        <v>7784</v>
      </c>
      <c r="B3068" s="5" t="s">
        <v>7785</v>
      </c>
      <c r="C3068" s="5" t="s">
        <v>90</v>
      </c>
      <c r="D3068" s="5" t="s">
        <v>91</v>
      </c>
      <c r="E3068" s="5" t="s">
        <v>152</v>
      </c>
      <c r="F3068" s="9">
        <v>25</v>
      </c>
      <c r="G3068" s="9">
        <v>286</v>
      </c>
      <c r="H3068" s="5" t="s">
        <v>21</v>
      </c>
      <c r="I3068" s="5" t="s">
        <v>7786</v>
      </c>
      <c r="J3068" s="12" t="str">
        <f>HYPERLINK("https://www.boe.es/gazeta/dias/1802/03/26/pdfs/GMD-1802-25.pdf#page=10","Abrir facsímil")</f>
        <v>Abrir facsímil</v>
      </c>
      <c r="K3068" s="15" t="s">
        <v>23</v>
      </c>
    </row>
    <row r="3069" spans="1:11" ht="42" customHeight="1">
      <c r="A3069" s="4" t="s">
        <v>7787</v>
      </c>
      <c r="B3069" s="5" t="s">
        <v>7788</v>
      </c>
      <c r="C3069" s="5" t="s">
        <v>55</v>
      </c>
      <c r="D3069" s="5" t="s">
        <v>56</v>
      </c>
      <c r="E3069" s="5" t="s">
        <v>196</v>
      </c>
      <c r="F3069" s="9">
        <v>2</v>
      </c>
      <c r="G3069" s="9">
        <v>17</v>
      </c>
      <c r="H3069" s="5" t="s">
        <v>21</v>
      </c>
      <c r="I3069" s="5" t="s">
        <v>7789</v>
      </c>
      <c r="J3069" s="12" t="str">
        <f>HYPERLINK("https://www.boe.es/gazeta/dias/1802/01/05/pdfs/GMD-1802-2.pdf#page=9","Abrir facsímil")</f>
        <v>Abrir facsímil</v>
      </c>
      <c r="K3069" s="15" t="s">
        <v>23</v>
      </c>
    </row>
    <row r="3070" spans="1:11" ht="42" customHeight="1">
      <c r="A3070" s="4" t="s">
        <v>7790</v>
      </c>
      <c r="B3070" s="5" t="s">
        <v>7791</v>
      </c>
      <c r="C3070" s="5" t="s">
        <v>55</v>
      </c>
      <c r="D3070" s="5" t="s">
        <v>56</v>
      </c>
      <c r="E3070" s="5" t="s">
        <v>196</v>
      </c>
      <c r="F3070" s="9">
        <v>2</v>
      </c>
      <c r="G3070" s="9">
        <v>16</v>
      </c>
      <c r="H3070" s="5" t="s">
        <v>21</v>
      </c>
      <c r="I3070" s="5" t="s">
        <v>7792</v>
      </c>
      <c r="J3070" s="12" t="str">
        <f>HYPERLINK("https://www.boe.es/gazeta/dias/1802/01/05/pdfs/GMD-1802-2.pdf#page=8","Abrir facsímil")</f>
        <v>Abrir facsímil</v>
      </c>
      <c r="K3070" s="15" t="s">
        <v>23</v>
      </c>
    </row>
    <row r="3071" spans="1:11" ht="42" customHeight="1">
      <c r="A3071" s="4" t="s">
        <v>7793</v>
      </c>
      <c r="B3071" s="5" t="s">
        <v>7793</v>
      </c>
      <c r="C3071" s="5" t="s">
        <v>160</v>
      </c>
      <c r="D3071" s="5" t="s">
        <v>91</v>
      </c>
      <c r="E3071" s="5" t="s">
        <v>823</v>
      </c>
      <c r="F3071" s="9">
        <v>94</v>
      </c>
      <c r="G3071" s="9">
        <v>1163</v>
      </c>
      <c r="H3071" s="5" t="s">
        <v>21</v>
      </c>
      <c r="I3071" s="5" t="s">
        <v>7794</v>
      </c>
      <c r="J3071" s="12" t="str">
        <f>HYPERLINK("https://www.boe.es/gazeta/dias/1802/11/19/pdfs/GMD-1802-94.pdf#page=11","Abrir facsímil")</f>
        <v>Abrir facsímil</v>
      </c>
      <c r="K3071" s="15" t="s">
        <v>23</v>
      </c>
    </row>
    <row r="3072" spans="1:11" ht="42" customHeight="1">
      <c r="A3072" s="4" t="s">
        <v>7795</v>
      </c>
      <c r="B3072" s="5" t="s">
        <v>7795</v>
      </c>
      <c r="C3072" s="5" t="s">
        <v>29</v>
      </c>
      <c r="D3072" s="5" t="s">
        <v>30</v>
      </c>
      <c r="E3072" s="5" t="s">
        <v>907</v>
      </c>
      <c r="F3072" s="9">
        <v>77</v>
      </c>
      <c r="G3072" s="9">
        <v>950</v>
      </c>
      <c r="H3072" s="5" t="s">
        <v>21</v>
      </c>
      <c r="I3072" s="5" t="s">
        <v>7796</v>
      </c>
      <c r="J3072" s="12" t="str">
        <f>HYPERLINK("https://www.boe.es/gazeta/dias/1802/09/21/pdfs/GMD-1802-77.pdf#page=10","Abrir facsímil")</f>
        <v>Abrir facsímil</v>
      </c>
      <c r="K3072" s="15" t="s">
        <v>23</v>
      </c>
    </row>
    <row r="3073" spans="1:11" ht="42" customHeight="1">
      <c r="A3073" s="4" t="s">
        <v>7797</v>
      </c>
      <c r="B3073" s="5" t="s">
        <v>7797</v>
      </c>
      <c r="C3073" s="5" t="s">
        <v>18</v>
      </c>
      <c r="D3073" s="5" t="s">
        <v>19</v>
      </c>
      <c r="E3073" s="5" t="s">
        <v>20</v>
      </c>
      <c r="F3073" s="9">
        <v>84</v>
      </c>
      <c r="G3073" s="9">
        <v>1041</v>
      </c>
      <c r="H3073" s="5" t="s">
        <v>21</v>
      </c>
      <c r="I3073" s="5" t="s">
        <v>7798</v>
      </c>
      <c r="J3073" s="12" t="str">
        <f>HYPERLINK("https://www.boe.es/gazeta/dias/1802/10/15/pdfs/GMD-1802-84.pdf#page=9","Abrir facsímil")</f>
        <v>Abrir facsímil</v>
      </c>
      <c r="K3073" s="15" t="s">
        <v>23</v>
      </c>
    </row>
    <row r="3074" spans="1:11" ht="42" customHeight="1">
      <c r="A3074" s="4" t="s">
        <v>7799</v>
      </c>
      <c r="B3074" s="5" t="s">
        <v>7799</v>
      </c>
      <c r="C3074" s="5" t="s">
        <v>55</v>
      </c>
      <c r="D3074" s="5" t="s">
        <v>56</v>
      </c>
      <c r="E3074" s="5" t="s">
        <v>453</v>
      </c>
      <c r="F3074" s="9">
        <v>52</v>
      </c>
      <c r="G3074" s="9">
        <v>632</v>
      </c>
      <c r="H3074" s="5" t="s">
        <v>21</v>
      </c>
      <c r="I3074" s="5" t="s">
        <v>7800</v>
      </c>
      <c r="J3074" s="12" t="str">
        <f>HYPERLINK("https://www.boe.es/gazeta/dias/1802/06/29/pdfs/GMD-1802-52.pdf#page=8","Abrir facsímil")</f>
        <v>Abrir facsímil</v>
      </c>
      <c r="K3074" s="15" t="s">
        <v>23</v>
      </c>
    </row>
    <row r="3075" spans="1:11" ht="42" customHeight="1">
      <c r="A3075" s="4" t="s">
        <v>7801</v>
      </c>
      <c r="B3075" s="5" t="s">
        <v>7801</v>
      </c>
      <c r="C3075" s="5" t="s">
        <v>29</v>
      </c>
      <c r="D3075" s="5" t="s">
        <v>30</v>
      </c>
      <c r="E3075" s="5" t="s">
        <v>92</v>
      </c>
      <c r="F3075" s="9">
        <v>29</v>
      </c>
      <c r="G3075" s="9">
        <v>338</v>
      </c>
      <c r="H3075" s="5" t="s">
        <v>21</v>
      </c>
      <c r="I3075" s="5" t="s">
        <v>7802</v>
      </c>
      <c r="J3075" s="12" t="str">
        <f>HYPERLINK("https://www.boe.es/gazeta/dias/1802/04/09/pdfs/GMD-1802-29.pdf#page=6","Abrir facsímil")</f>
        <v>Abrir facsímil</v>
      </c>
      <c r="K3075" s="15" t="s">
        <v>23</v>
      </c>
    </row>
    <row r="3076" spans="1:11" ht="42" customHeight="1">
      <c r="A3076" s="4" t="s">
        <v>7803</v>
      </c>
      <c r="B3076" s="5" t="s">
        <v>7803</v>
      </c>
      <c r="C3076" s="5" t="s">
        <v>18</v>
      </c>
      <c r="D3076" s="5" t="s">
        <v>19</v>
      </c>
      <c r="E3076" s="5" t="s">
        <v>1381</v>
      </c>
      <c r="F3076" s="9">
        <v>17</v>
      </c>
      <c r="G3076" s="9">
        <v>183</v>
      </c>
      <c r="H3076" s="5" t="s">
        <v>21</v>
      </c>
      <c r="I3076" s="5" t="s">
        <v>7804</v>
      </c>
      <c r="J3076" s="12" t="str">
        <f>HYPERLINK("https://www.boe.es/gazeta/dias/1802/02/26/pdfs/GMD-1802-17.pdf#page=7","Abrir facsímil")</f>
        <v>Abrir facsímil</v>
      </c>
      <c r="K3076" s="15" t="s">
        <v>23</v>
      </c>
    </row>
    <row r="3077" spans="1:11" ht="42" customHeight="1">
      <c r="A3077" s="4" t="s">
        <v>7805</v>
      </c>
      <c r="B3077" s="5" t="s">
        <v>7805</v>
      </c>
      <c r="C3077" s="5" t="s">
        <v>29</v>
      </c>
      <c r="D3077" s="5" t="s">
        <v>30</v>
      </c>
      <c r="E3077" s="5" t="s">
        <v>196</v>
      </c>
      <c r="F3077" s="9">
        <v>2</v>
      </c>
      <c r="G3077" s="9">
        <v>16</v>
      </c>
      <c r="H3077" s="5" t="s">
        <v>21</v>
      </c>
      <c r="I3077" s="5" t="s">
        <v>7806</v>
      </c>
      <c r="J3077" s="12" t="str">
        <f>HYPERLINK("https://www.boe.es/gazeta/dias/1802/01/05/pdfs/GMD-1802-2.pdf#page=8","Abrir facsímil")</f>
        <v>Abrir facsímil</v>
      </c>
      <c r="K3077" s="15" t="s">
        <v>23</v>
      </c>
    </row>
    <row r="3078" spans="1:11" ht="42" customHeight="1">
      <c r="A3078" s="4" t="s">
        <v>7807</v>
      </c>
      <c r="B3078" s="5" t="s">
        <v>7808</v>
      </c>
      <c r="C3078" s="5" t="s">
        <v>160</v>
      </c>
      <c r="D3078" s="5" t="s">
        <v>91</v>
      </c>
      <c r="E3078" s="5" t="s">
        <v>148</v>
      </c>
      <c r="F3078" s="9">
        <v>66</v>
      </c>
      <c r="G3078" s="9">
        <v>811</v>
      </c>
      <c r="H3078" s="5" t="s">
        <v>21</v>
      </c>
      <c r="I3078" s="5" t="s">
        <v>7809</v>
      </c>
      <c r="J3078" s="12" t="str">
        <f>HYPERLINK("https://www.boe.es/gazeta/dias/1802/08/13/pdfs/GMD-1802-66.pdf#page=15","Abrir facsímil")</f>
        <v>Abrir facsímil</v>
      </c>
      <c r="K3078" s="15" t="s">
        <v>23</v>
      </c>
    </row>
    <row r="3079" spans="1:11" ht="42" customHeight="1">
      <c r="A3079" s="4" t="s">
        <v>7810</v>
      </c>
      <c r="B3079" s="5" t="s">
        <v>7811</v>
      </c>
      <c r="C3079" s="5" t="s">
        <v>29</v>
      </c>
      <c r="D3079" s="5" t="s">
        <v>30</v>
      </c>
      <c r="E3079" s="5" t="s">
        <v>258</v>
      </c>
      <c r="F3079" s="9">
        <v>63</v>
      </c>
      <c r="G3079" s="9">
        <v>767</v>
      </c>
      <c r="H3079" s="5" t="s">
        <v>21</v>
      </c>
      <c r="I3079" s="5" t="s">
        <v>7812</v>
      </c>
      <c r="J3079" s="12" t="str">
        <f>HYPERLINK("https://www.boe.es/gazeta/dias/1802/08/03/pdfs/GMD-1802-63.pdf#page=7","Abrir facsímil")</f>
        <v>Abrir facsímil</v>
      </c>
      <c r="K3079" s="15" t="s">
        <v>23</v>
      </c>
    </row>
    <row r="3080" spans="1:11" ht="42" customHeight="1">
      <c r="A3080" s="4" t="s">
        <v>7813</v>
      </c>
      <c r="B3080" s="5" t="s">
        <v>7814</v>
      </c>
      <c r="C3080" s="5" t="s">
        <v>2417</v>
      </c>
      <c r="D3080" s="5" t="s">
        <v>2418</v>
      </c>
      <c r="E3080" s="5" t="s">
        <v>206</v>
      </c>
      <c r="F3080" s="9">
        <v>22</v>
      </c>
      <c r="G3080" s="9">
        <v>246</v>
      </c>
      <c r="H3080" s="5" t="s">
        <v>21</v>
      </c>
      <c r="I3080" s="5" t="s">
        <v>7815</v>
      </c>
      <c r="J3080" s="12" t="str">
        <f>HYPERLINK("https://www.boe.es/gazeta/dias/1802/03/16/pdfs/GMD-C-1802-22.pdf#page=2","Abrir facsímil")</f>
        <v>Abrir facsímil</v>
      </c>
      <c r="K3080" s="15" t="s">
        <v>23</v>
      </c>
    </row>
    <row r="3081" spans="1:11" ht="42" customHeight="1">
      <c r="A3081" s="4" t="s">
        <v>7813</v>
      </c>
      <c r="B3081" s="5" t="s">
        <v>7814</v>
      </c>
      <c r="C3081" s="5" t="s">
        <v>18</v>
      </c>
      <c r="D3081" s="5" t="s">
        <v>19</v>
      </c>
      <c r="E3081" s="5" t="s">
        <v>1749</v>
      </c>
      <c r="F3081" s="9">
        <v>60</v>
      </c>
      <c r="G3081" s="9">
        <v>730</v>
      </c>
      <c r="H3081" s="5" t="s">
        <v>21</v>
      </c>
      <c r="I3081" s="5" t="s">
        <v>7816</v>
      </c>
      <c r="J3081" s="12" t="str">
        <f>HYPERLINK("https://www.boe.es/gazeta/dias/1802/07/23/pdfs/GMD-1802-60.pdf#page=14","Abrir facsímil")</f>
        <v>Abrir facsímil</v>
      </c>
      <c r="K3081" s="15" t="s">
        <v>23</v>
      </c>
    </row>
    <row r="3082" spans="1:11" ht="42" customHeight="1">
      <c r="A3082" s="4" t="s">
        <v>7817</v>
      </c>
      <c r="B3082" s="5" t="s">
        <v>7818</v>
      </c>
      <c r="C3082" s="5" t="s">
        <v>18</v>
      </c>
      <c r="D3082" s="5" t="s">
        <v>19</v>
      </c>
      <c r="E3082" s="5" t="s">
        <v>332</v>
      </c>
      <c r="F3082" s="9">
        <v>24</v>
      </c>
      <c r="G3082" s="9">
        <v>273</v>
      </c>
      <c r="H3082" s="5" t="s">
        <v>21</v>
      </c>
      <c r="I3082" s="5" t="s">
        <v>7819</v>
      </c>
      <c r="J3082" s="12" t="str">
        <f>HYPERLINK("https://www.boe.es/gazeta/dias/1802/03/23/pdfs/GMD-1802-24.pdf#page=9","Abrir facsímil")</f>
        <v>Abrir facsímil</v>
      </c>
      <c r="K3082" s="15" t="s">
        <v>23</v>
      </c>
    </row>
    <row r="3083" spans="1:11" ht="42" customHeight="1">
      <c r="A3083" s="4" t="s">
        <v>7817</v>
      </c>
      <c r="B3083" s="5" t="s">
        <v>7818</v>
      </c>
      <c r="C3083" s="5" t="s">
        <v>18</v>
      </c>
      <c r="D3083" s="5" t="s">
        <v>19</v>
      </c>
      <c r="E3083" s="5" t="s">
        <v>517</v>
      </c>
      <c r="F3083" s="9">
        <v>61</v>
      </c>
      <c r="G3083" s="9">
        <v>742</v>
      </c>
      <c r="H3083" s="5" t="s">
        <v>21</v>
      </c>
      <c r="I3083" s="5" t="s">
        <v>7820</v>
      </c>
      <c r="J3083" s="12" t="str">
        <f>HYPERLINK("https://www.boe.es/gazeta/dias/1802/07/27/pdfs/GMD-1802-61.pdf#page=10","Abrir facsímil")</f>
        <v>Abrir facsímil</v>
      </c>
      <c r="K3083" s="15" t="s">
        <v>23</v>
      </c>
    </row>
    <row r="3084" spans="1:11" ht="42" customHeight="1">
      <c r="A3084" s="4" t="s">
        <v>7817</v>
      </c>
      <c r="B3084" s="5" t="s">
        <v>7818</v>
      </c>
      <c r="C3084" s="5" t="s">
        <v>18</v>
      </c>
      <c r="D3084" s="5" t="s">
        <v>19</v>
      </c>
      <c r="E3084" s="5" t="s">
        <v>292</v>
      </c>
      <c r="F3084" s="9">
        <v>62</v>
      </c>
      <c r="G3084" s="9">
        <v>754</v>
      </c>
      <c r="H3084" s="5" t="s">
        <v>21</v>
      </c>
      <c r="I3084" s="5" t="s">
        <v>7821</v>
      </c>
      <c r="J3084" s="12" t="str">
        <f>HYPERLINK("https://www.boe.es/gazeta/dias/1802/07/30/pdfs/GMD-1802-62.pdf#page=10","Abrir facsímil")</f>
        <v>Abrir facsímil</v>
      </c>
      <c r="K3084" s="15" t="s">
        <v>23</v>
      </c>
    </row>
    <row r="3085" spans="1:11" ht="42" customHeight="1">
      <c r="A3085" s="4" t="s">
        <v>7822</v>
      </c>
      <c r="B3085" s="5" t="s">
        <v>7823</v>
      </c>
      <c r="C3085" s="5" t="s">
        <v>18</v>
      </c>
      <c r="D3085" s="5" t="s">
        <v>19</v>
      </c>
      <c r="E3085" s="5" t="s">
        <v>1185</v>
      </c>
      <c r="F3085" s="9">
        <v>93</v>
      </c>
      <c r="G3085" s="9">
        <v>1150</v>
      </c>
      <c r="H3085" s="5" t="s">
        <v>21</v>
      </c>
      <c r="I3085" s="5" t="s">
        <v>7824</v>
      </c>
      <c r="J3085" s="12" t="str">
        <f>HYPERLINK("https://www.boe.es/gazeta/dias/1802/11/16/pdfs/GMD-1802-93.pdf#page=10","Abrir facsímil")</f>
        <v>Abrir facsímil</v>
      </c>
      <c r="K3085" s="15" t="s">
        <v>23</v>
      </c>
    </row>
    <row r="3086" spans="1:11" ht="42" customHeight="1">
      <c r="A3086" s="4" t="s">
        <v>7817</v>
      </c>
      <c r="B3086" s="5" t="s">
        <v>7818</v>
      </c>
      <c r="C3086" s="5" t="s">
        <v>35</v>
      </c>
      <c r="D3086" s="5" t="s">
        <v>36</v>
      </c>
      <c r="E3086" s="5" t="s">
        <v>185</v>
      </c>
      <c r="F3086" s="9">
        <v>95</v>
      </c>
      <c r="G3086" s="9">
        <v>1174</v>
      </c>
      <c r="H3086" s="5" t="s">
        <v>21</v>
      </c>
      <c r="I3086" s="5" t="s">
        <v>7825</v>
      </c>
      <c r="J3086" s="12" t="str">
        <f>HYPERLINK("https://www.boe.es/gazeta/dias/1802/11/23/pdfs/GMD-1802-95.pdf#page=10","Abrir facsímil")</f>
        <v>Abrir facsímil</v>
      </c>
      <c r="K3086" s="15" t="s">
        <v>23</v>
      </c>
    </row>
    <row r="3087" spans="1:11" ht="42" customHeight="1">
      <c r="A3087" s="4" t="s">
        <v>7826</v>
      </c>
      <c r="B3087" s="5" t="s">
        <v>7827</v>
      </c>
      <c r="C3087" s="5" t="s">
        <v>42</v>
      </c>
      <c r="D3087" s="5" t="s">
        <v>43</v>
      </c>
      <c r="E3087" s="5" t="s">
        <v>44</v>
      </c>
      <c r="F3087" s="9">
        <v>99</v>
      </c>
      <c r="G3087" s="9" t="s">
        <v>222</v>
      </c>
      <c r="H3087" s="5" t="s">
        <v>21</v>
      </c>
      <c r="I3087" s="5" t="s">
        <v>7828</v>
      </c>
      <c r="J3087" s="12" t="str">
        <f>HYPERLINK("https://www.boe.es/gazeta/dias/1802/12/07/pdfs/GMD-D-1802-99.pdf#page=5","Abrir facsímil")</f>
        <v>Abrir facsímil</v>
      </c>
      <c r="K3087" s="15" t="s">
        <v>23</v>
      </c>
    </row>
    <row r="3088" spans="1:11" ht="42" customHeight="1">
      <c r="A3088" s="4" t="s">
        <v>7829</v>
      </c>
      <c r="B3088" s="5" t="s">
        <v>7830</v>
      </c>
      <c r="C3088" s="5" t="s">
        <v>55</v>
      </c>
      <c r="D3088" s="5" t="s">
        <v>56</v>
      </c>
      <c r="E3088" s="5" t="s">
        <v>443</v>
      </c>
      <c r="F3088" s="9">
        <v>78</v>
      </c>
      <c r="G3088" s="9">
        <v>964</v>
      </c>
      <c r="H3088" s="5" t="s">
        <v>21</v>
      </c>
      <c r="I3088" s="5" t="s">
        <v>7831</v>
      </c>
      <c r="J3088" s="12" t="str">
        <f>HYPERLINK("https://www.boe.es/gazeta/dias/1802/09/24/pdfs/GMD-1802-78.pdf#page=12","Abrir facsímil")</f>
        <v>Abrir facsímil</v>
      </c>
      <c r="K3088" s="15" t="s">
        <v>23</v>
      </c>
    </row>
    <row r="3089" spans="1:11" ht="42" customHeight="1">
      <c r="A3089" s="4" t="s">
        <v>7832</v>
      </c>
      <c r="B3089" s="5" t="s">
        <v>7833</v>
      </c>
      <c r="C3089" s="5" t="s">
        <v>29</v>
      </c>
      <c r="D3089" s="5" t="s">
        <v>30</v>
      </c>
      <c r="E3089" s="5" t="s">
        <v>436</v>
      </c>
      <c r="F3089" s="9">
        <v>58</v>
      </c>
      <c r="G3089" s="9">
        <v>701</v>
      </c>
      <c r="H3089" s="5" t="s">
        <v>21</v>
      </c>
      <c r="I3089" s="5" t="s">
        <v>7834</v>
      </c>
      <c r="J3089" s="12" t="str">
        <f>HYPERLINK("https://www.boe.es/gazeta/dias/1802/07/20/pdfs/GMD-1802-58.pdf#page=9","Abrir facsímil")</f>
        <v>Abrir facsímil</v>
      </c>
      <c r="K3089" s="15" t="s">
        <v>23</v>
      </c>
    </row>
    <row r="3090" spans="1:11" ht="42" customHeight="1">
      <c r="A3090" s="4" t="s">
        <v>7835</v>
      </c>
      <c r="B3090" s="5" t="s">
        <v>7836</v>
      </c>
      <c r="C3090" s="5" t="s">
        <v>18</v>
      </c>
      <c r="D3090" s="5" t="s">
        <v>19</v>
      </c>
      <c r="E3090" s="5" t="s">
        <v>907</v>
      </c>
      <c r="F3090" s="9">
        <v>77</v>
      </c>
      <c r="G3090" s="9">
        <v>950</v>
      </c>
      <c r="H3090" s="5" t="s">
        <v>21</v>
      </c>
      <c r="I3090" s="5" t="s">
        <v>7837</v>
      </c>
      <c r="J3090" s="12" t="str">
        <f>HYPERLINK("https://www.boe.es/gazeta/dias/1802/09/21/pdfs/GMD-1802-77.pdf#page=10","Abrir facsímil")</f>
        <v>Abrir facsímil</v>
      </c>
      <c r="K3090" s="15" t="s">
        <v>23</v>
      </c>
    </row>
    <row r="3091" spans="1:11" ht="42" customHeight="1">
      <c r="A3091" s="4" t="s">
        <v>7838</v>
      </c>
      <c r="B3091" s="5" t="s">
        <v>7839</v>
      </c>
      <c r="C3091" s="5" t="s">
        <v>18</v>
      </c>
      <c r="D3091" s="5" t="s">
        <v>19</v>
      </c>
      <c r="E3091" s="5" t="s">
        <v>389</v>
      </c>
      <c r="F3091" s="9">
        <v>96</v>
      </c>
      <c r="G3091" s="9">
        <v>1189</v>
      </c>
      <c r="H3091" s="5" t="s">
        <v>21</v>
      </c>
      <c r="I3091" s="5" t="s">
        <v>7840</v>
      </c>
      <c r="J3091" s="12" t="str">
        <f>HYPERLINK("https://www.boe.es/gazeta/dias/1802/11/26/pdfs/GMD-1802-96.pdf#page=9","Abrir facsímil")</f>
        <v>Abrir facsímil</v>
      </c>
      <c r="K3091" s="15" t="s">
        <v>23</v>
      </c>
    </row>
    <row r="3092" spans="1:11" ht="42" customHeight="1">
      <c r="A3092" s="4" t="s">
        <v>7841</v>
      </c>
      <c r="B3092" s="5" t="s">
        <v>7841</v>
      </c>
      <c r="C3092" s="5" t="s">
        <v>35</v>
      </c>
      <c r="D3092" s="5" t="s">
        <v>36</v>
      </c>
      <c r="E3092" s="5" t="s">
        <v>1185</v>
      </c>
      <c r="F3092" s="9">
        <v>93</v>
      </c>
      <c r="G3092" s="9">
        <v>1145</v>
      </c>
      <c r="H3092" s="5" t="s">
        <v>21</v>
      </c>
      <c r="I3092" s="5" t="s">
        <v>7842</v>
      </c>
      <c r="J3092" s="12" t="str">
        <f>HYPERLINK("https://www.boe.es/gazeta/dias/1802/11/16/pdfs/GMD-1802-93.pdf#page=5","Abrir facsímil")</f>
        <v>Abrir facsímil</v>
      </c>
      <c r="K3092" s="15" t="s">
        <v>23</v>
      </c>
    </row>
    <row r="3093" spans="1:11" ht="42" customHeight="1">
      <c r="A3093" s="4" t="s">
        <v>7843</v>
      </c>
      <c r="B3093" s="5" t="s">
        <v>7843</v>
      </c>
      <c r="C3093" s="5" t="s">
        <v>42</v>
      </c>
      <c r="D3093" s="5" t="s">
        <v>43</v>
      </c>
      <c r="E3093" s="5" t="s">
        <v>44</v>
      </c>
      <c r="F3093" s="9">
        <v>99</v>
      </c>
      <c r="G3093" s="9" t="s">
        <v>295</v>
      </c>
      <c r="H3093" s="5" t="s">
        <v>21</v>
      </c>
      <c r="I3093" s="5" t="s">
        <v>7844</v>
      </c>
      <c r="J3093" s="12" t="str">
        <f>HYPERLINK("https://www.boe.es/gazeta/dias/1802/12/07/pdfs/GMD-D-1802-99.pdf#page=7","Abrir facsímil")</f>
        <v>Abrir facsímil</v>
      </c>
      <c r="K3093" s="15" t="s">
        <v>23</v>
      </c>
    </row>
    <row r="3094" spans="1:11" ht="42" customHeight="1">
      <c r="A3094" s="4" t="s">
        <v>7845</v>
      </c>
      <c r="B3094" s="5" t="s">
        <v>7845</v>
      </c>
      <c r="C3094" s="5" t="s">
        <v>160</v>
      </c>
      <c r="D3094" s="5" t="s">
        <v>91</v>
      </c>
      <c r="E3094" s="5" t="s">
        <v>219</v>
      </c>
      <c r="F3094" s="9">
        <v>81</v>
      </c>
      <c r="G3094" s="9">
        <v>998</v>
      </c>
      <c r="H3094" s="5" t="s">
        <v>21</v>
      </c>
      <c r="I3094" s="5" t="s">
        <v>7846</v>
      </c>
      <c r="J3094" s="12" t="str">
        <f>HYPERLINK("https://www.boe.es/gazeta/dias/1802/10/05/pdfs/GMD-1802-81.pdf#page=10","Abrir facsímil")</f>
        <v>Abrir facsímil</v>
      </c>
      <c r="K3094" s="15" t="s">
        <v>23</v>
      </c>
    </row>
    <row r="3095" spans="1:11" ht="42" customHeight="1">
      <c r="A3095" s="4" t="s">
        <v>7847</v>
      </c>
      <c r="B3095" s="5" t="s">
        <v>7847</v>
      </c>
      <c r="C3095" s="5" t="s">
        <v>42</v>
      </c>
      <c r="D3095" s="5" t="s">
        <v>43</v>
      </c>
      <c r="E3095" s="5" t="s">
        <v>44</v>
      </c>
      <c r="F3095" s="9">
        <v>99</v>
      </c>
      <c r="G3095" s="9" t="s">
        <v>322</v>
      </c>
      <c r="H3095" s="5" t="s">
        <v>21</v>
      </c>
      <c r="I3095" s="5" t="s">
        <v>7848</v>
      </c>
      <c r="J3095" s="12" t="str">
        <f>HYPERLINK("https://www.boe.es/gazeta/dias/1802/12/07/pdfs/GMD-D-1802-99.pdf#page=10","Abrir facsímil")</f>
        <v>Abrir facsímil</v>
      </c>
      <c r="K3095" s="15" t="s">
        <v>23</v>
      </c>
    </row>
    <row r="3096" spans="1:11" ht="42" customHeight="1">
      <c r="A3096" s="4" t="s">
        <v>7849</v>
      </c>
      <c r="B3096" s="5" t="s">
        <v>7849</v>
      </c>
      <c r="C3096" s="5" t="s">
        <v>42</v>
      </c>
      <c r="D3096" s="5" t="s">
        <v>43</v>
      </c>
      <c r="E3096" s="5" t="s">
        <v>44</v>
      </c>
      <c r="F3096" s="9">
        <v>99</v>
      </c>
      <c r="G3096" s="9" t="s">
        <v>554</v>
      </c>
      <c r="H3096" s="5" t="s">
        <v>21</v>
      </c>
      <c r="I3096" s="5" t="s">
        <v>7850</v>
      </c>
      <c r="J3096" s="12" t="str">
        <f>HYPERLINK("https://www.boe.es/gazeta/dias/1802/12/07/pdfs/GMD-D-1802-99.pdf#page=4","Abrir facsímil")</f>
        <v>Abrir facsímil</v>
      </c>
      <c r="K3096" s="15" t="s">
        <v>23</v>
      </c>
    </row>
    <row r="3097" spans="1:11" ht="42" customHeight="1">
      <c r="A3097" s="4" t="s">
        <v>7851</v>
      </c>
      <c r="B3097" s="5" t="s">
        <v>7851</v>
      </c>
      <c r="C3097" s="5" t="s">
        <v>90</v>
      </c>
      <c r="D3097" s="5" t="s">
        <v>91</v>
      </c>
      <c r="E3097" s="5" t="s">
        <v>1407</v>
      </c>
      <c r="F3097" s="9">
        <v>8</v>
      </c>
      <c r="G3097" s="9">
        <v>78</v>
      </c>
      <c r="H3097" s="5" t="s">
        <v>21</v>
      </c>
      <c r="I3097" s="5" t="s">
        <v>7852</v>
      </c>
      <c r="J3097" s="12" t="str">
        <f>HYPERLINK("https://www.boe.es/gazeta/dias/1802/01/26/pdfs/GMD-1802-8.pdf#page=6","Abrir facsímil")</f>
        <v>Abrir facsímil</v>
      </c>
      <c r="K3097" s="15" t="s">
        <v>23</v>
      </c>
    </row>
    <row r="3098" spans="1:11" ht="42" customHeight="1">
      <c r="A3098" s="4" t="s">
        <v>7853</v>
      </c>
      <c r="B3098" s="5" t="s">
        <v>7854</v>
      </c>
      <c r="C3098" s="5" t="s">
        <v>18</v>
      </c>
      <c r="D3098" s="5" t="s">
        <v>19</v>
      </c>
      <c r="E3098" s="5" t="s">
        <v>20</v>
      </c>
      <c r="F3098" s="9">
        <v>84</v>
      </c>
      <c r="G3098" s="9">
        <v>1043</v>
      </c>
      <c r="H3098" s="5" t="s">
        <v>21</v>
      </c>
      <c r="I3098" s="5" t="s">
        <v>7855</v>
      </c>
      <c r="J3098" s="12" t="str">
        <f>HYPERLINK("https://www.boe.es/gazeta/dias/1802/10/15/pdfs/GMD-1802-84.pdf#page=11","Abrir facsímil")</f>
        <v>Abrir facsímil</v>
      </c>
      <c r="K3098" s="15" t="s">
        <v>23</v>
      </c>
    </row>
    <row r="3099" spans="1:11" ht="42" customHeight="1">
      <c r="A3099" s="4" t="s">
        <v>7856</v>
      </c>
      <c r="B3099" s="5" t="s">
        <v>7857</v>
      </c>
      <c r="C3099" s="5" t="s">
        <v>18</v>
      </c>
      <c r="D3099" s="5" t="s">
        <v>19</v>
      </c>
      <c r="E3099" s="5" t="s">
        <v>49</v>
      </c>
      <c r="F3099" s="9">
        <v>83</v>
      </c>
      <c r="G3099" s="9">
        <v>1023</v>
      </c>
      <c r="H3099" s="5" t="s">
        <v>21</v>
      </c>
      <c r="I3099" s="5" t="s">
        <v>7858</v>
      </c>
      <c r="J3099" s="12" t="str">
        <f>HYPERLINK("https://www.boe.es/gazeta/dias/1802/10/12/pdfs/GMD-1802-83.pdf#page=11","Abrir facsímil")</f>
        <v>Abrir facsímil</v>
      </c>
      <c r="K3099" s="15" t="s">
        <v>23</v>
      </c>
    </row>
    <row r="3100" spans="1:11" ht="42" customHeight="1">
      <c r="A3100" s="4" t="s">
        <v>7859</v>
      </c>
      <c r="B3100" s="5" t="s">
        <v>7860</v>
      </c>
      <c r="C3100" s="5" t="s">
        <v>18</v>
      </c>
      <c r="D3100" s="5" t="s">
        <v>19</v>
      </c>
      <c r="E3100" s="5" t="s">
        <v>49</v>
      </c>
      <c r="F3100" s="9">
        <v>83</v>
      </c>
      <c r="G3100" s="9">
        <v>1026</v>
      </c>
      <c r="H3100" s="5" t="s">
        <v>21</v>
      </c>
      <c r="I3100" s="5" t="s">
        <v>7861</v>
      </c>
      <c r="J3100" s="12" t="str">
        <f>HYPERLINK("https://www.boe.es/gazeta/dias/1802/10/12/pdfs/GMD-1802-83.pdf#page=14","Abrir facsímil")</f>
        <v>Abrir facsímil</v>
      </c>
      <c r="K3100" s="15" t="s">
        <v>23</v>
      </c>
    </row>
    <row r="3101" spans="1:11" ht="42" customHeight="1">
      <c r="A3101" s="4" t="s">
        <v>7862</v>
      </c>
      <c r="B3101" s="5" t="s">
        <v>7863</v>
      </c>
      <c r="C3101" s="5" t="s">
        <v>90</v>
      </c>
      <c r="D3101" s="5" t="s">
        <v>91</v>
      </c>
      <c r="E3101" s="5" t="s">
        <v>1051</v>
      </c>
      <c r="F3101" s="9">
        <v>43</v>
      </c>
      <c r="G3101" s="9">
        <v>517</v>
      </c>
      <c r="H3101" s="5" t="s">
        <v>21</v>
      </c>
      <c r="I3101" s="5" t="s">
        <v>7864</v>
      </c>
      <c r="J3101" s="12" t="str">
        <f>HYPERLINK("https://www.boe.es/gazeta/dias/1802/05/28/pdfs/GMD-1802-43.pdf#page=9","Abrir facsímil")</f>
        <v>Abrir facsímil</v>
      </c>
      <c r="K3101" s="15" t="s">
        <v>23</v>
      </c>
    </row>
    <row r="3102" spans="1:11" ht="42" customHeight="1">
      <c r="A3102" s="4" t="s">
        <v>7865</v>
      </c>
      <c r="B3102" s="5" t="s">
        <v>7866</v>
      </c>
      <c r="C3102" s="5" t="s">
        <v>35</v>
      </c>
      <c r="D3102" s="5" t="s">
        <v>36</v>
      </c>
      <c r="E3102" s="5" t="s">
        <v>109</v>
      </c>
      <c r="F3102" s="9">
        <v>10</v>
      </c>
      <c r="G3102" s="9">
        <v>96</v>
      </c>
      <c r="H3102" s="5" t="s">
        <v>21</v>
      </c>
      <c r="I3102" s="5" t="s">
        <v>7867</v>
      </c>
      <c r="J3102" s="12" t="str">
        <f>HYPERLINK("https://www.boe.es/gazeta/dias/1802/02/02/pdfs/GMD-1802-10.pdf#page=4","Abrir facsímil")</f>
        <v>Abrir facsímil</v>
      </c>
      <c r="K3102" s="15" t="s">
        <v>23</v>
      </c>
    </row>
    <row r="3103" spans="1:11" ht="42" customHeight="1">
      <c r="A3103" s="4" t="s">
        <v>7868</v>
      </c>
      <c r="B3103" s="5" t="s">
        <v>7869</v>
      </c>
      <c r="C3103" s="5" t="s">
        <v>42</v>
      </c>
      <c r="D3103" s="5" t="s">
        <v>43</v>
      </c>
      <c r="E3103" s="5" t="s">
        <v>44</v>
      </c>
      <c r="F3103" s="9">
        <v>99</v>
      </c>
      <c r="G3103" s="9" t="s">
        <v>550</v>
      </c>
      <c r="H3103" s="5" t="s">
        <v>21</v>
      </c>
      <c r="I3103" s="5" t="s">
        <v>7870</v>
      </c>
      <c r="J3103" s="12" t="str">
        <f>HYPERLINK("https://www.boe.es/gazeta/dias/1802/12/07/pdfs/GMD-D-1802-99.pdf#page=16","Abrir facsímil")</f>
        <v>Abrir facsímil</v>
      </c>
      <c r="K3103" s="15" t="s">
        <v>23</v>
      </c>
    </row>
    <row r="3104" spans="1:11" ht="42" customHeight="1">
      <c r="A3104" s="4" t="s">
        <v>7871</v>
      </c>
      <c r="B3104" s="5" t="s">
        <v>7872</v>
      </c>
      <c r="C3104" s="5" t="s">
        <v>18</v>
      </c>
      <c r="D3104" s="5" t="s">
        <v>19</v>
      </c>
      <c r="E3104" s="5" t="s">
        <v>152</v>
      </c>
      <c r="F3104" s="9">
        <v>25</v>
      </c>
      <c r="G3104" s="9">
        <v>284</v>
      </c>
      <c r="H3104" s="5" t="s">
        <v>21</v>
      </c>
      <c r="I3104" s="5" t="s">
        <v>7873</v>
      </c>
      <c r="J3104" s="12" t="str">
        <f>HYPERLINK("https://www.boe.es/gazeta/dias/1802/03/26/pdfs/GMD-1802-25.pdf#page=8","Abrir facsímil")</f>
        <v>Abrir facsímil</v>
      </c>
      <c r="K3104" s="15" t="s">
        <v>23</v>
      </c>
    </row>
    <row r="3105" spans="1:11" ht="42" customHeight="1">
      <c r="A3105" s="4" t="s">
        <v>7871</v>
      </c>
      <c r="B3105" s="5" t="s">
        <v>7872</v>
      </c>
      <c r="C3105" s="5" t="s">
        <v>35</v>
      </c>
      <c r="D3105" s="5" t="s">
        <v>36</v>
      </c>
      <c r="E3105" s="5" t="s">
        <v>148</v>
      </c>
      <c r="F3105" s="9">
        <v>66</v>
      </c>
      <c r="G3105" s="9">
        <v>808</v>
      </c>
      <c r="H3105" s="5" t="s">
        <v>21</v>
      </c>
      <c r="I3105" s="5" t="s">
        <v>7874</v>
      </c>
      <c r="J3105" s="12" t="str">
        <f>HYPERLINK("https://www.boe.es/gazeta/dias/1802/08/13/pdfs/GMD-1802-66.pdf#page=12","Abrir facsímil")</f>
        <v>Abrir facsímil</v>
      </c>
      <c r="K3105" s="15" t="s">
        <v>23</v>
      </c>
    </row>
    <row r="3106" spans="1:11" ht="42" customHeight="1">
      <c r="A3106" s="4" t="s">
        <v>7875</v>
      </c>
      <c r="B3106" s="5" t="s">
        <v>7876</v>
      </c>
      <c r="C3106" s="5" t="s">
        <v>18</v>
      </c>
      <c r="D3106" s="5" t="s">
        <v>19</v>
      </c>
      <c r="E3106" s="5" t="s">
        <v>20</v>
      </c>
      <c r="F3106" s="9">
        <v>84</v>
      </c>
      <c r="G3106" s="9">
        <v>1043</v>
      </c>
      <c r="H3106" s="5" t="s">
        <v>21</v>
      </c>
      <c r="I3106" s="5" t="s">
        <v>7877</v>
      </c>
      <c r="J3106" s="12" t="str">
        <f>HYPERLINK("https://www.boe.es/gazeta/dias/1802/10/15/pdfs/GMD-1802-84.pdf#page=11","Abrir facsímil")</f>
        <v>Abrir facsímil</v>
      </c>
      <c r="K3106" s="15" t="s">
        <v>23</v>
      </c>
    </row>
    <row r="3107" spans="1:11" ht="42" customHeight="1">
      <c r="A3107" s="4" t="s">
        <v>7878</v>
      </c>
      <c r="B3107" s="5" t="s">
        <v>7879</v>
      </c>
      <c r="C3107" s="5" t="s">
        <v>29</v>
      </c>
      <c r="D3107" s="5" t="s">
        <v>30</v>
      </c>
      <c r="E3107" s="5" t="s">
        <v>20</v>
      </c>
      <c r="F3107" s="9">
        <v>84</v>
      </c>
      <c r="G3107" s="9">
        <v>1047</v>
      </c>
      <c r="H3107" s="5" t="s">
        <v>21</v>
      </c>
      <c r="I3107" s="5" t="s">
        <v>7880</v>
      </c>
      <c r="J3107" s="12" t="str">
        <f>HYPERLINK("https://www.boe.es/gazeta/dias/1802/10/15/pdfs/GMD-1802-84.pdf#page=15","Abrir facsímil")</f>
        <v>Abrir facsímil</v>
      </c>
      <c r="K3107" s="15" t="s">
        <v>23</v>
      </c>
    </row>
    <row r="3108" spans="1:11" ht="42" customHeight="1">
      <c r="A3108" s="4" t="s">
        <v>7881</v>
      </c>
      <c r="B3108" s="5" t="s">
        <v>7881</v>
      </c>
      <c r="C3108" s="5" t="s">
        <v>35</v>
      </c>
      <c r="D3108" s="5" t="s">
        <v>36</v>
      </c>
      <c r="E3108" s="5" t="s">
        <v>258</v>
      </c>
      <c r="F3108" s="9">
        <v>63</v>
      </c>
      <c r="G3108" s="9">
        <v>765</v>
      </c>
      <c r="H3108" s="5" t="s">
        <v>21</v>
      </c>
      <c r="I3108" s="5" t="s">
        <v>7882</v>
      </c>
      <c r="J3108" s="12" t="str">
        <f>HYPERLINK("https://www.boe.es/gazeta/dias/1802/08/03/pdfs/GMD-1802-63.pdf#page=5","Abrir facsímil")</f>
        <v>Abrir facsímil</v>
      </c>
      <c r="K3108" s="15" t="s">
        <v>23</v>
      </c>
    </row>
    <row r="3109" spans="1:11" ht="42" customHeight="1">
      <c r="A3109" s="4" t="s">
        <v>7883</v>
      </c>
      <c r="B3109" s="5" t="s">
        <v>7883</v>
      </c>
      <c r="C3109" s="5" t="s">
        <v>29</v>
      </c>
      <c r="D3109" s="5" t="s">
        <v>30</v>
      </c>
      <c r="E3109" s="5" t="s">
        <v>1097</v>
      </c>
      <c r="F3109" s="9">
        <v>20</v>
      </c>
      <c r="G3109" s="9">
        <v>217</v>
      </c>
      <c r="H3109" s="5" t="s">
        <v>21</v>
      </c>
      <c r="I3109" s="5" t="s">
        <v>7884</v>
      </c>
      <c r="J3109" s="12" t="str">
        <f>HYPERLINK("https://www.boe.es/gazeta/dias/1802/03/09/pdfs/GMD-1802-20.pdf#page=5","Abrir facsímil")</f>
        <v>Abrir facsímil</v>
      </c>
      <c r="K3109" s="15" t="s">
        <v>23</v>
      </c>
    </row>
    <row r="3110" spans="1:11" ht="42" customHeight="1">
      <c r="A3110" s="4" t="s">
        <v>7885</v>
      </c>
      <c r="B3110" s="5" t="s">
        <v>7885</v>
      </c>
      <c r="C3110" s="5" t="s">
        <v>160</v>
      </c>
      <c r="D3110" s="5" t="s">
        <v>91</v>
      </c>
      <c r="E3110" s="5" t="s">
        <v>20</v>
      </c>
      <c r="F3110" s="9">
        <v>84</v>
      </c>
      <c r="G3110" s="9">
        <v>1048</v>
      </c>
      <c r="H3110" s="5" t="s">
        <v>21</v>
      </c>
      <c r="I3110" s="5" t="s">
        <v>7886</v>
      </c>
      <c r="J3110" s="12" t="str">
        <f>HYPERLINK("https://www.boe.es/gazeta/dias/1802/10/15/pdfs/GMD-1802-84.pdf#page=16","Abrir facsímil")</f>
        <v>Abrir facsímil</v>
      </c>
      <c r="K3110" s="15" t="s">
        <v>23</v>
      </c>
    </row>
    <row r="3111" spans="1:11" ht="42" customHeight="1">
      <c r="A3111" s="4" t="s">
        <v>7887</v>
      </c>
      <c r="B3111" s="5" t="s">
        <v>7888</v>
      </c>
      <c r="C3111" s="5" t="s">
        <v>18</v>
      </c>
      <c r="D3111" s="5" t="s">
        <v>19</v>
      </c>
      <c r="E3111" s="5" t="s">
        <v>20</v>
      </c>
      <c r="F3111" s="9">
        <v>84</v>
      </c>
      <c r="G3111" s="9">
        <v>1047</v>
      </c>
      <c r="H3111" s="5" t="s">
        <v>21</v>
      </c>
      <c r="I3111" s="5" t="s">
        <v>7889</v>
      </c>
      <c r="J3111" s="12" t="str">
        <f>HYPERLINK("https://www.boe.es/gazeta/dias/1802/10/15/pdfs/GMD-1802-84.pdf#page=15","Abrir facsímil")</f>
        <v>Abrir facsímil</v>
      </c>
      <c r="K3111" s="15" t="s">
        <v>23</v>
      </c>
    </row>
    <row r="3112" spans="1:11" ht="42" customHeight="1">
      <c r="A3112" s="4" t="s">
        <v>7890</v>
      </c>
      <c r="B3112" s="5" t="s">
        <v>7891</v>
      </c>
      <c r="C3112" s="5" t="s">
        <v>18</v>
      </c>
      <c r="D3112" s="5" t="s">
        <v>19</v>
      </c>
      <c r="E3112" s="5" t="s">
        <v>678</v>
      </c>
      <c r="F3112" s="9">
        <v>15</v>
      </c>
      <c r="G3112" s="9">
        <v>150</v>
      </c>
      <c r="H3112" s="5" t="s">
        <v>21</v>
      </c>
      <c r="I3112" s="5" t="s">
        <v>7892</v>
      </c>
      <c r="J3112" s="12" t="str">
        <f>HYPERLINK("https://www.boe.es/gazeta/dias/1802/02/19/pdfs/GMD-1802-15.pdf#page=2","Abrir facsímil")</f>
        <v>Abrir facsímil</v>
      </c>
      <c r="K3112" s="15" t="s">
        <v>23</v>
      </c>
    </row>
    <row r="3113" spans="1:11" ht="42" customHeight="1">
      <c r="A3113" s="4" t="s">
        <v>7890</v>
      </c>
      <c r="B3113" s="5" t="s">
        <v>7891</v>
      </c>
      <c r="C3113" s="5" t="s">
        <v>35</v>
      </c>
      <c r="D3113" s="5" t="s">
        <v>36</v>
      </c>
      <c r="E3113" s="5" t="s">
        <v>754</v>
      </c>
      <c r="F3113" s="9">
        <v>101</v>
      </c>
      <c r="G3113" s="9">
        <v>1241</v>
      </c>
      <c r="H3113" s="5" t="s">
        <v>21</v>
      </c>
      <c r="I3113" s="5" t="s">
        <v>7893</v>
      </c>
      <c r="J3113" s="12" t="str">
        <f>HYPERLINK("https://www.boe.es/gazeta/dias/1802/12/14/pdfs/GMD-1802-101.pdf#page=5","Abrir facsímil")</f>
        <v>Abrir facsímil</v>
      </c>
      <c r="K3113" s="15" t="s">
        <v>23</v>
      </c>
    </row>
    <row r="3114" spans="1:11" ht="42" customHeight="1">
      <c r="A3114" s="4" t="s">
        <v>7894</v>
      </c>
      <c r="B3114" s="5" t="s">
        <v>7894</v>
      </c>
      <c r="C3114" s="5" t="s">
        <v>29</v>
      </c>
      <c r="D3114" s="5" t="s">
        <v>30</v>
      </c>
      <c r="E3114" s="5" t="s">
        <v>82</v>
      </c>
      <c r="F3114" s="9">
        <v>74</v>
      </c>
      <c r="G3114" s="9">
        <v>913</v>
      </c>
      <c r="H3114" s="5" t="s">
        <v>21</v>
      </c>
      <c r="I3114" s="5" t="s">
        <v>7895</v>
      </c>
      <c r="J3114" s="12" t="str">
        <f>HYPERLINK("https://www.boe.es/gazeta/dias/1802/09/10/pdfs/GMD-1802-74.pdf#page=9","Abrir facsímil")</f>
        <v>Abrir facsímil</v>
      </c>
      <c r="K3114" s="15" t="s">
        <v>23</v>
      </c>
    </row>
    <row r="3115" spans="1:11" ht="42" customHeight="1">
      <c r="A3115" s="4" t="s">
        <v>7896</v>
      </c>
      <c r="B3115" s="5" t="s">
        <v>7897</v>
      </c>
      <c r="C3115" s="5" t="s">
        <v>90</v>
      </c>
      <c r="D3115" s="5" t="s">
        <v>91</v>
      </c>
      <c r="E3115" s="5" t="s">
        <v>1381</v>
      </c>
      <c r="F3115" s="9">
        <v>17</v>
      </c>
      <c r="G3115" s="9">
        <v>185</v>
      </c>
      <c r="H3115" s="5" t="s">
        <v>21</v>
      </c>
      <c r="I3115" s="5" t="s">
        <v>7898</v>
      </c>
      <c r="J3115" s="12" t="str">
        <f>HYPERLINK("https://www.boe.es/gazeta/dias/1802/02/26/pdfs/GMD-1802-17.pdf#page=9","Abrir facsímil")</f>
        <v>Abrir facsímil</v>
      </c>
      <c r="K3115" s="15" t="s">
        <v>23</v>
      </c>
    </row>
    <row r="3116" spans="1:11" ht="42" customHeight="1">
      <c r="A3116" s="4" t="s">
        <v>7899</v>
      </c>
      <c r="B3116" s="5" t="s">
        <v>7900</v>
      </c>
      <c r="C3116" s="5" t="s">
        <v>18</v>
      </c>
      <c r="D3116" s="5" t="s">
        <v>19</v>
      </c>
      <c r="E3116" s="5" t="s">
        <v>152</v>
      </c>
      <c r="F3116" s="9">
        <v>25</v>
      </c>
      <c r="G3116" s="9">
        <v>285</v>
      </c>
      <c r="H3116" s="5" t="s">
        <v>21</v>
      </c>
      <c r="I3116" s="5" t="s">
        <v>7901</v>
      </c>
      <c r="J3116" s="12" t="str">
        <f>HYPERLINK("https://www.boe.es/gazeta/dias/1802/03/26/pdfs/GMD-1802-25.pdf#page=9","Abrir facsímil")</f>
        <v>Abrir facsímil</v>
      </c>
      <c r="K3116" s="15" t="s">
        <v>23</v>
      </c>
    </row>
    <row r="3117" spans="1:11" ht="42" customHeight="1">
      <c r="A3117" s="4" t="s">
        <v>7902</v>
      </c>
      <c r="B3117" s="5" t="s">
        <v>7903</v>
      </c>
      <c r="C3117" s="5" t="s">
        <v>160</v>
      </c>
      <c r="D3117" s="5" t="s">
        <v>91</v>
      </c>
      <c r="E3117" s="5" t="s">
        <v>611</v>
      </c>
      <c r="F3117" s="9">
        <v>68</v>
      </c>
      <c r="G3117" s="9">
        <v>834</v>
      </c>
      <c r="H3117" s="5" t="s">
        <v>21</v>
      </c>
      <c r="I3117" s="5" t="s">
        <v>7904</v>
      </c>
      <c r="J3117" s="12" t="str">
        <f>HYPERLINK("https://www.boe.es/gazeta/dias/1802/08/20/pdfs/GMD-1802-68.pdf#page=10","Abrir facsímil")</f>
        <v>Abrir facsímil</v>
      </c>
      <c r="K3117" s="15" t="s">
        <v>23</v>
      </c>
    </row>
    <row r="3118" spans="1:11" ht="42" customHeight="1">
      <c r="A3118" s="4" t="s">
        <v>7905</v>
      </c>
      <c r="B3118" s="5" t="s">
        <v>7906</v>
      </c>
      <c r="C3118" s="5" t="s">
        <v>42</v>
      </c>
      <c r="D3118" s="5" t="s">
        <v>43</v>
      </c>
      <c r="E3118" s="5" t="s">
        <v>44</v>
      </c>
      <c r="F3118" s="9">
        <v>99</v>
      </c>
      <c r="G3118" s="9" t="s">
        <v>548</v>
      </c>
      <c r="H3118" s="5" t="s">
        <v>21</v>
      </c>
      <c r="I3118" s="5" t="s">
        <v>7907</v>
      </c>
      <c r="J3118" s="12" t="str">
        <f>HYPERLINK("https://www.boe.es/gazeta/dias/1802/12/07/pdfs/GMD-D-1802-99.pdf#page=12","Abrir facsímil")</f>
        <v>Abrir facsímil</v>
      </c>
      <c r="K3118" s="15" t="s">
        <v>23</v>
      </c>
    </row>
    <row r="3119" spans="1:11" ht="42" customHeight="1">
      <c r="A3119" s="4" t="s">
        <v>7908</v>
      </c>
      <c r="B3119" s="5" t="s">
        <v>7909</v>
      </c>
      <c r="C3119" s="5" t="s">
        <v>42</v>
      </c>
      <c r="D3119" s="5" t="s">
        <v>43</v>
      </c>
      <c r="E3119" s="5" t="s">
        <v>44</v>
      </c>
      <c r="F3119" s="9">
        <v>99</v>
      </c>
      <c r="G3119" s="9" t="s">
        <v>550</v>
      </c>
      <c r="H3119" s="5" t="s">
        <v>21</v>
      </c>
      <c r="I3119" s="5" t="s">
        <v>7910</v>
      </c>
      <c r="J3119" s="12" t="str">
        <f>HYPERLINK("https://www.boe.es/gazeta/dias/1802/12/07/pdfs/GMD-D-1802-99.pdf#page=16","Abrir facsímil")</f>
        <v>Abrir facsímil</v>
      </c>
      <c r="K3119" s="15" t="s">
        <v>23</v>
      </c>
    </row>
    <row r="3120" spans="1:11" ht="42" customHeight="1">
      <c r="A3120" s="4" t="s">
        <v>7911</v>
      </c>
      <c r="B3120" s="5" t="s">
        <v>7912</v>
      </c>
      <c r="C3120" s="5" t="s">
        <v>35</v>
      </c>
      <c r="D3120" s="5" t="s">
        <v>36</v>
      </c>
      <c r="E3120" s="5" t="s">
        <v>491</v>
      </c>
      <c r="F3120" s="9">
        <v>57</v>
      </c>
      <c r="G3120" s="9">
        <v>681</v>
      </c>
      <c r="H3120" s="5" t="s">
        <v>21</v>
      </c>
      <c r="I3120" s="5" t="s">
        <v>7913</v>
      </c>
      <c r="J3120" s="12" t="str">
        <f>HYPERLINK("https://www.boe.es/gazeta/dias/1802/07/16/pdfs/GMD-1802-57.pdf#page=1","Abrir facsímil")</f>
        <v>Abrir facsímil</v>
      </c>
      <c r="K3120" s="15" t="s">
        <v>23</v>
      </c>
    </row>
    <row r="3121" spans="1:11" ht="42" customHeight="1">
      <c r="A3121" s="4" t="s">
        <v>7914</v>
      </c>
      <c r="B3121" s="5" t="s">
        <v>7915</v>
      </c>
      <c r="C3121" s="5" t="s">
        <v>29</v>
      </c>
      <c r="D3121" s="5" t="s">
        <v>30</v>
      </c>
      <c r="E3121" s="5" t="s">
        <v>206</v>
      </c>
      <c r="F3121" s="9">
        <v>22</v>
      </c>
      <c r="G3121" s="9">
        <v>241</v>
      </c>
      <c r="H3121" s="5" t="s">
        <v>21</v>
      </c>
      <c r="I3121" s="5" t="s">
        <v>7916</v>
      </c>
      <c r="J3121" s="12" t="str">
        <f>HYPERLINK("https://www.boe.es/gazeta/dias/1802/03/16/pdfs/GMD-1802-22.pdf#page=9","Abrir facsímil")</f>
        <v>Abrir facsímil</v>
      </c>
      <c r="K3121" s="15" t="s">
        <v>23</v>
      </c>
    </row>
    <row r="3122" spans="1:11" ht="42" customHeight="1">
      <c r="A3122" s="4" t="s">
        <v>7917</v>
      </c>
      <c r="B3122" s="5" t="s">
        <v>7918</v>
      </c>
      <c r="C3122" s="5" t="s">
        <v>55</v>
      </c>
      <c r="D3122" s="5" t="s">
        <v>56</v>
      </c>
      <c r="E3122" s="5" t="s">
        <v>167</v>
      </c>
      <c r="F3122" s="9">
        <v>23</v>
      </c>
      <c r="G3122" s="9">
        <v>264</v>
      </c>
      <c r="H3122" s="5" t="s">
        <v>21</v>
      </c>
      <c r="I3122" s="5" t="s">
        <v>7919</v>
      </c>
      <c r="J3122" s="12" t="str">
        <f>HYPERLINK("https://www.boe.es/gazeta/dias/1802/03/19/pdfs/GMD-1802-23.pdf#page=12","Abrir facsímil")</f>
        <v>Abrir facsímil</v>
      </c>
      <c r="K3122" s="15" t="s">
        <v>23</v>
      </c>
    </row>
    <row r="3123" spans="1:11" ht="42" customHeight="1">
      <c r="A3123" s="4" t="s">
        <v>7920</v>
      </c>
      <c r="B3123" s="5" t="s">
        <v>7921</v>
      </c>
      <c r="C3123" s="5" t="s">
        <v>29</v>
      </c>
      <c r="D3123" s="5" t="s">
        <v>30</v>
      </c>
      <c r="E3123" s="5" t="s">
        <v>192</v>
      </c>
      <c r="F3123" s="9">
        <v>53</v>
      </c>
      <c r="G3123" s="9">
        <v>643</v>
      </c>
      <c r="H3123" s="5" t="s">
        <v>21</v>
      </c>
      <c r="I3123" s="5" t="s">
        <v>7922</v>
      </c>
      <c r="J3123" s="12" t="str">
        <f>HYPERLINK("https://www.boe.es/gazeta/dias/1802/07/02/pdfs/GMD-1802-53.pdf#page=11","Abrir facsímil")</f>
        <v>Abrir facsímil</v>
      </c>
      <c r="K3123" s="15" t="s">
        <v>23</v>
      </c>
    </row>
    <row r="3124" spans="1:11" ht="42" customHeight="1">
      <c r="A3124" s="4" t="s">
        <v>7923</v>
      </c>
      <c r="B3124" s="5" t="s">
        <v>7924</v>
      </c>
      <c r="C3124" s="5" t="s">
        <v>29</v>
      </c>
      <c r="D3124" s="5" t="s">
        <v>30</v>
      </c>
      <c r="E3124" s="5" t="s">
        <v>170</v>
      </c>
      <c r="F3124" s="9">
        <v>28</v>
      </c>
      <c r="G3124" s="9">
        <v>330</v>
      </c>
      <c r="H3124" s="5" t="s">
        <v>21</v>
      </c>
      <c r="I3124" s="5" t="s">
        <v>7925</v>
      </c>
      <c r="J3124" s="12" t="str">
        <f>HYPERLINK("https://www.boe.es/gazeta/dias/1802/04/06/pdfs/GMD-1802-28.pdf#page=10","Abrir facsímil")</f>
        <v>Abrir facsímil</v>
      </c>
      <c r="K3124" s="15" t="s">
        <v>23</v>
      </c>
    </row>
    <row r="3125" spans="1:11" ht="42" customHeight="1">
      <c r="A3125" s="4" t="s">
        <v>7926</v>
      </c>
      <c r="B3125" s="5" t="s">
        <v>7927</v>
      </c>
      <c r="C3125" s="5" t="s">
        <v>29</v>
      </c>
      <c r="D3125" s="5" t="s">
        <v>30</v>
      </c>
      <c r="E3125" s="5" t="s">
        <v>1097</v>
      </c>
      <c r="F3125" s="9">
        <v>20</v>
      </c>
      <c r="G3125" s="9">
        <v>216</v>
      </c>
      <c r="H3125" s="5" t="s">
        <v>21</v>
      </c>
      <c r="I3125" s="5" t="s">
        <v>7928</v>
      </c>
      <c r="J3125" s="12" t="str">
        <f>HYPERLINK("https://www.boe.es/gazeta/dias/1802/03/09/pdfs/GMD-1802-20.pdf#page=4","Abrir facsímil")</f>
        <v>Abrir facsímil</v>
      </c>
      <c r="K3125" s="15" t="s">
        <v>23</v>
      </c>
    </row>
    <row r="3126" spans="1:11" ht="42" customHeight="1">
      <c r="A3126" s="4" t="s">
        <v>7929</v>
      </c>
      <c r="B3126" s="5" t="s">
        <v>7930</v>
      </c>
      <c r="C3126" s="5" t="s">
        <v>18</v>
      </c>
      <c r="D3126" s="5" t="s">
        <v>19</v>
      </c>
      <c r="E3126" s="5" t="s">
        <v>881</v>
      </c>
      <c r="F3126" s="9">
        <v>65</v>
      </c>
      <c r="G3126" s="9">
        <v>792</v>
      </c>
      <c r="H3126" s="5" t="s">
        <v>21</v>
      </c>
      <c r="I3126" s="5" t="s">
        <v>7931</v>
      </c>
      <c r="J3126" s="12" t="str">
        <f>HYPERLINK("https://www.boe.es/gazeta/dias/1802/08/10/pdfs/GMD-1802-65.pdf#page=8","Abrir facsímil")</f>
        <v>Abrir facsímil</v>
      </c>
      <c r="K3126" s="15" t="s">
        <v>23</v>
      </c>
    </row>
    <row r="3127" spans="1:11" ht="42" customHeight="1">
      <c r="A3127" s="4" t="s">
        <v>7932</v>
      </c>
      <c r="B3127" s="5" t="s">
        <v>7933</v>
      </c>
      <c r="C3127" s="5" t="s">
        <v>29</v>
      </c>
      <c r="D3127" s="5" t="s">
        <v>30</v>
      </c>
      <c r="E3127" s="5" t="s">
        <v>146</v>
      </c>
      <c r="F3127" s="9">
        <v>42</v>
      </c>
      <c r="G3127" s="9">
        <v>504</v>
      </c>
      <c r="H3127" s="5" t="s">
        <v>21</v>
      </c>
      <c r="I3127" s="5" t="s">
        <v>7934</v>
      </c>
      <c r="J3127" s="12" t="str">
        <f>HYPERLINK("https://www.boe.es/gazeta/dias/1802/05/25/pdfs/GMD-1802-42.pdf#page=8","Abrir facsímil")</f>
        <v>Abrir facsímil</v>
      </c>
      <c r="K3127" s="15" t="s">
        <v>23</v>
      </c>
    </row>
    <row r="3128" spans="1:11" ht="42" customHeight="1">
      <c r="A3128" s="4" t="s">
        <v>7935</v>
      </c>
      <c r="B3128" s="5" t="s">
        <v>7936</v>
      </c>
      <c r="C3128" s="5" t="s">
        <v>90</v>
      </c>
      <c r="D3128" s="5" t="s">
        <v>91</v>
      </c>
      <c r="E3128" s="5" t="s">
        <v>381</v>
      </c>
      <c r="F3128" s="9">
        <v>13</v>
      </c>
      <c r="G3128" s="9">
        <v>131</v>
      </c>
      <c r="H3128" s="5" t="s">
        <v>21</v>
      </c>
      <c r="I3128" s="5" t="s">
        <v>7937</v>
      </c>
      <c r="J3128" s="12" t="str">
        <f>HYPERLINK("https://www.boe.es/gazeta/dias/1802/02/12/pdfs/GMD-1802-13.pdf#page=7","Abrir facsímil")</f>
        <v>Abrir facsímil</v>
      </c>
      <c r="K3128" s="15" t="s">
        <v>23</v>
      </c>
    </row>
    <row r="3129" spans="1:11" ht="42" customHeight="1">
      <c r="A3129" s="4" t="s">
        <v>7938</v>
      </c>
      <c r="B3129" s="5" t="s">
        <v>7939</v>
      </c>
      <c r="C3129" s="5" t="s">
        <v>35</v>
      </c>
      <c r="D3129" s="5" t="s">
        <v>36</v>
      </c>
      <c r="E3129" s="5" t="s">
        <v>109</v>
      </c>
      <c r="F3129" s="9">
        <v>10</v>
      </c>
      <c r="G3129" s="9">
        <v>96</v>
      </c>
      <c r="H3129" s="5" t="s">
        <v>21</v>
      </c>
      <c r="I3129" s="5" t="s">
        <v>7940</v>
      </c>
      <c r="J3129" s="12" t="str">
        <f>HYPERLINK("https://www.boe.es/gazeta/dias/1802/02/02/pdfs/GMD-1802-10.pdf#page=4","Abrir facsímil")</f>
        <v>Abrir facsímil</v>
      </c>
      <c r="K3129" s="15" t="s">
        <v>23</v>
      </c>
    </row>
    <row r="3130" spans="1:11" ht="42" customHeight="1">
      <c r="A3130" s="4" t="s">
        <v>7941</v>
      </c>
      <c r="B3130" s="5" t="s">
        <v>7941</v>
      </c>
      <c r="C3130" s="5" t="s">
        <v>29</v>
      </c>
      <c r="D3130" s="5" t="s">
        <v>30</v>
      </c>
      <c r="E3130" s="5" t="s">
        <v>642</v>
      </c>
      <c r="F3130" s="9">
        <v>51</v>
      </c>
      <c r="G3130" s="9">
        <v>622</v>
      </c>
      <c r="H3130" s="5" t="s">
        <v>21</v>
      </c>
      <c r="I3130" s="5" t="s">
        <v>7942</v>
      </c>
      <c r="J3130" s="12" t="str">
        <f>HYPERLINK("https://www.boe.es/gazeta/dias/1802/06/25/pdfs/GMD-1802-51.pdf#page=10","Abrir facsímil")</f>
        <v>Abrir facsímil</v>
      </c>
      <c r="K3130" s="15" t="s">
        <v>23</v>
      </c>
    </row>
    <row r="3131" spans="1:11" ht="42" customHeight="1">
      <c r="A3131" s="4" t="s">
        <v>7943</v>
      </c>
      <c r="B3131" s="5" t="s">
        <v>7944</v>
      </c>
      <c r="C3131" s="5" t="s">
        <v>29</v>
      </c>
      <c r="D3131" s="5" t="s">
        <v>30</v>
      </c>
      <c r="E3131" s="5" t="s">
        <v>37</v>
      </c>
      <c r="F3131" s="9">
        <v>106</v>
      </c>
      <c r="G3131" s="9">
        <v>1295</v>
      </c>
      <c r="H3131" s="5" t="s">
        <v>21</v>
      </c>
      <c r="I3131" s="5" t="s">
        <v>7945</v>
      </c>
      <c r="J3131" s="12" t="str">
        <f>HYPERLINK("https://www.boe.es/gazeta/dias/1802/12/31/pdfs/GMD-1802-106.pdf#page=7","Abrir facsímil")</f>
        <v>Abrir facsímil</v>
      </c>
      <c r="K3131" s="15" t="s">
        <v>23</v>
      </c>
    </row>
    <row r="3132" spans="1:11" ht="42" customHeight="1">
      <c r="A3132" s="4" t="s">
        <v>7946</v>
      </c>
      <c r="B3132" s="5" t="s">
        <v>7947</v>
      </c>
      <c r="C3132" s="5" t="s">
        <v>18</v>
      </c>
      <c r="D3132" s="5" t="s">
        <v>19</v>
      </c>
      <c r="E3132" s="5" t="s">
        <v>1113</v>
      </c>
      <c r="F3132" s="9">
        <v>6</v>
      </c>
      <c r="G3132" s="9">
        <v>55</v>
      </c>
      <c r="H3132" s="5" t="s">
        <v>21</v>
      </c>
      <c r="I3132" s="5" t="s">
        <v>7948</v>
      </c>
      <c r="J3132" s="12" t="str">
        <f>HYPERLINK("https://www.boe.es/gazeta/dias/1802/01/19/pdfs/GMD-1802-6.pdf#page=3","Abrir facsímil")</f>
        <v>Abrir facsímil</v>
      </c>
      <c r="K3132" s="15" t="s">
        <v>23</v>
      </c>
    </row>
    <row r="3133" spans="1:11" ht="42" customHeight="1">
      <c r="A3133" s="4" t="s">
        <v>7946</v>
      </c>
      <c r="B3133" s="5" t="s">
        <v>7947</v>
      </c>
      <c r="C3133" s="5" t="s">
        <v>35</v>
      </c>
      <c r="D3133" s="5" t="s">
        <v>36</v>
      </c>
      <c r="E3133" s="5" t="s">
        <v>900</v>
      </c>
      <c r="F3133" s="9">
        <v>16</v>
      </c>
      <c r="G3133" s="9">
        <v>165</v>
      </c>
      <c r="H3133" s="5" t="s">
        <v>21</v>
      </c>
      <c r="I3133" s="5" t="s">
        <v>7949</v>
      </c>
      <c r="J3133" s="12" t="str">
        <f>HYPERLINK("https://www.boe.es/gazeta/dias/1802/02/23/pdfs/GMD-1802-16.pdf#page=5","Abrir facsímil")</f>
        <v>Abrir facsímil</v>
      </c>
      <c r="K3133" s="15" t="s">
        <v>23</v>
      </c>
    </row>
    <row r="3134" spans="1:11" ht="42" customHeight="1">
      <c r="A3134" s="4" t="s">
        <v>7946</v>
      </c>
      <c r="B3134" s="5" t="s">
        <v>7947</v>
      </c>
      <c r="C3134" s="5" t="s">
        <v>160</v>
      </c>
      <c r="D3134" s="5" t="s">
        <v>91</v>
      </c>
      <c r="E3134" s="5" t="s">
        <v>299</v>
      </c>
      <c r="F3134" s="9">
        <v>19</v>
      </c>
      <c r="G3134" s="9">
        <v>204</v>
      </c>
      <c r="H3134" s="5" t="s">
        <v>21</v>
      </c>
      <c r="I3134" s="5" t="s">
        <v>7950</v>
      </c>
      <c r="J3134" s="12" t="str">
        <f>HYPERLINK("https://www.boe.es/gazeta/dias/1802/03/05/pdfs/GMD-1802-19.pdf#page=4","Abrir facsímil")</f>
        <v>Abrir facsímil</v>
      </c>
      <c r="K3134" s="15" t="s">
        <v>23</v>
      </c>
    </row>
    <row r="3135" spans="1:11" ht="42" customHeight="1">
      <c r="A3135" s="4" t="s">
        <v>7946</v>
      </c>
      <c r="B3135" s="5" t="s">
        <v>7947</v>
      </c>
      <c r="C3135" s="5" t="s">
        <v>35</v>
      </c>
      <c r="D3135" s="5" t="s">
        <v>36</v>
      </c>
      <c r="E3135" s="5" t="s">
        <v>1618</v>
      </c>
      <c r="F3135" s="9">
        <v>31</v>
      </c>
      <c r="G3135" s="9">
        <v>363</v>
      </c>
      <c r="H3135" s="5" t="s">
        <v>21</v>
      </c>
      <c r="I3135" s="5" t="s">
        <v>7951</v>
      </c>
      <c r="J3135" s="12" t="str">
        <f>HYPERLINK("https://www.boe.es/gazeta/dias/1802/04/16/pdfs/GMD-1802-31.pdf#page=7","Abrir facsímil")</f>
        <v>Abrir facsímil</v>
      </c>
      <c r="K3135" s="15" t="s">
        <v>23</v>
      </c>
    </row>
    <row r="3136" spans="1:11" ht="42" customHeight="1">
      <c r="A3136" s="4" t="s">
        <v>7946</v>
      </c>
      <c r="B3136" s="5" t="s">
        <v>7947</v>
      </c>
      <c r="C3136" s="5" t="s">
        <v>35</v>
      </c>
      <c r="D3136" s="5" t="s">
        <v>36</v>
      </c>
      <c r="E3136" s="5" t="s">
        <v>175</v>
      </c>
      <c r="F3136" s="9">
        <v>37</v>
      </c>
      <c r="G3136" s="9">
        <v>440</v>
      </c>
      <c r="H3136" s="5" t="s">
        <v>21</v>
      </c>
      <c r="I3136" s="5" t="s">
        <v>7952</v>
      </c>
      <c r="J3136" s="12" t="str">
        <f>HYPERLINK("https://www.boe.es/gazeta/dias/1802/05/07/pdfs/GMD-1802-37.pdf#page=8","Abrir facsímil")</f>
        <v>Abrir facsímil</v>
      </c>
      <c r="K3136" s="15" t="s">
        <v>23</v>
      </c>
    </row>
    <row r="3137" spans="1:11" ht="42" customHeight="1">
      <c r="A3137" s="4" t="s">
        <v>7946</v>
      </c>
      <c r="B3137" s="5" t="s">
        <v>7947</v>
      </c>
      <c r="C3137" s="5" t="s">
        <v>18</v>
      </c>
      <c r="D3137" s="5" t="s">
        <v>19</v>
      </c>
      <c r="E3137" s="5" t="s">
        <v>814</v>
      </c>
      <c r="F3137" s="9">
        <v>41</v>
      </c>
      <c r="G3137" s="9">
        <v>491</v>
      </c>
      <c r="H3137" s="5" t="s">
        <v>21</v>
      </c>
      <c r="I3137" s="5" t="s">
        <v>7953</v>
      </c>
      <c r="J3137" s="12" t="str">
        <f>HYPERLINK("https://www.boe.es/gazeta/dias/1802/05/21/pdfs/GMD-1802-41.pdf#page=7","Abrir facsímil")</f>
        <v>Abrir facsímil</v>
      </c>
      <c r="K3137" s="15" t="s">
        <v>23</v>
      </c>
    </row>
    <row r="3138" spans="1:11" ht="42" customHeight="1">
      <c r="A3138" s="4" t="s">
        <v>7954</v>
      </c>
      <c r="B3138" s="5" t="s">
        <v>7955</v>
      </c>
      <c r="C3138" s="5" t="s">
        <v>35</v>
      </c>
      <c r="D3138" s="5" t="s">
        <v>36</v>
      </c>
      <c r="E3138" s="5" t="s">
        <v>133</v>
      </c>
      <c r="F3138" s="9">
        <v>33</v>
      </c>
      <c r="G3138" s="9">
        <v>385</v>
      </c>
      <c r="H3138" s="5" t="s">
        <v>21</v>
      </c>
      <c r="I3138" s="5" t="s">
        <v>7956</v>
      </c>
      <c r="J3138" s="12" t="str">
        <f>HYPERLINK("https://www.boe.es/gazeta/dias/1802/04/23/pdfs/GMD-1802-33.pdf#page=5","Abrir facsímil")</f>
        <v>Abrir facsímil</v>
      </c>
      <c r="K3138" s="15" t="s">
        <v>23</v>
      </c>
    </row>
    <row r="3139" spans="1:11" ht="42" customHeight="1">
      <c r="A3139" s="4" t="s">
        <v>7957</v>
      </c>
      <c r="B3139" s="5" t="s">
        <v>7958</v>
      </c>
      <c r="C3139" s="5" t="s">
        <v>42</v>
      </c>
      <c r="D3139" s="5" t="s">
        <v>43</v>
      </c>
      <c r="E3139" s="5" t="s">
        <v>44</v>
      </c>
      <c r="F3139" s="9">
        <v>99</v>
      </c>
      <c r="G3139" s="9" t="s">
        <v>295</v>
      </c>
      <c r="H3139" s="5" t="s">
        <v>21</v>
      </c>
      <c r="I3139" s="5" t="s">
        <v>7959</v>
      </c>
      <c r="J3139" s="12" t="str">
        <f>HYPERLINK("https://www.boe.es/gazeta/dias/1802/12/07/pdfs/GMD-D-1802-99.pdf#page=7","Abrir facsímil")</f>
        <v>Abrir facsímil</v>
      </c>
      <c r="K3139" s="15" t="s">
        <v>23</v>
      </c>
    </row>
    <row r="3140" spans="1:11" ht="42" customHeight="1">
      <c r="A3140" s="4" t="s">
        <v>7960</v>
      </c>
      <c r="B3140" s="5" t="s">
        <v>7961</v>
      </c>
      <c r="C3140" s="5" t="s">
        <v>29</v>
      </c>
      <c r="D3140" s="5" t="s">
        <v>30</v>
      </c>
      <c r="E3140" s="5" t="s">
        <v>655</v>
      </c>
      <c r="F3140" s="9">
        <v>46</v>
      </c>
      <c r="G3140" s="9">
        <v>564</v>
      </c>
      <c r="H3140" s="5" t="s">
        <v>21</v>
      </c>
      <c r="I3140" s="5" t="s">
        <v>7962</v>
      </c>
      <c r="J3140" s="12" t="str">
        <f>HYPERLINK("https://www.boe.es/gazeta/dias/1802/06/08/pdfs/GMD-1802-46.pdf#page=16","Abrir facsímil")</f>
        <v>Abrir facsímil</v>
      </c>
      <c r="K3140" s="15" t="s">
        <v>23</v>
      </c>
    </row>
    <row r="3141" spans="1:11" ht="42" customHeight="1">
      <c r="A3141" s="4" t="s">
        <v>7963</v>
      </c>
      <c r="B3141" s="5" t="s">
        <v>7964</v>
      </c>
      <c r="C3141" s="5" t="s">
        <v>29</v>
      </c>
      <c r="D3141" s="5" t="s">
        <v>30</v>
      </c>
      <c r="E3141" s="5" t="s">
        <v>167</v>
      </c>
      <c r="F3141" s="9">
        <v>23</v>
      </c>
      <c r="G3141" s="9">
        <v>264</v>
      </c>
      <c r="H3141" s="5" t="s">
        <v>21</v>
      </c>
      <c r="I3141" s="5" t="s">
        <v>7965</v>
      </c>
      <c r="J3141" s="12" t="str">
        <f>HYPERLINK("https://www.boe.es/gazeta/dias/1802/03/19/pdfs/GMD-1802-23.pdf#page=12","Abrir facsímil")</f>
        <v>Abrir facsímil</v>
      </c>
      <c r="K3141" s="15" t="s">
        <v>23</v>
      </c>
    </row>
    <row r="3142" spans="1:11" ht="42" customHeight="1">
      <c r="A3142" s="4" t="s">
        <v>7966</v>
      </c>
      <c r="B3142" s="5" t="s">
        <v>7967</v>
      </c>
      <c r="C3142" s="5" t="s">
        <v>35</v>
      </c>
      <c r="D3142" s="5" t="s">
        <v>36</v>
      </c>
      <c r="E3142" s="5" t="s">
        <v>385</v>
      </c>
      <c r="F3142" s="9">
        <v>70</v>
      </c>
      <c r="G3142" s="9">
        <v>862</v>
      </c>
      <c r="H3142" s="5" t="s">
        <v>21</v>
      </c>
      <c r="I3142" s="5" t="s">
        <v>7968</v>
      </c>
      <c r="J3142" s="12" t="str">
        <f>HYPERLINK("https://www.boe.es/gazeta/dias/1802/08/27/pdfs/GMD-1802-70.pdf#page=10","Abrir facsímil")</f>
        <v>Abrir facsímil</v>
      </c>
      <c r="K3142" s="15" t="s">
        <v>23</v>
      </c>
    </row>
    <row r="3143" spans="1:11" ht="42" customHeight="1">
      <c r="A3143" s="4" t="s">
        <v>7969</v>
      </c>
      <c r="B3143" s="5" t="s">
        <v>7970</v>
      </c>
      <c r="C3143" s="5" t="s">
        <v>42</v>
      </c>
      <c r="D3143" s="5" t="s">
        <v>43</v>
      </c>
      <c r="E3143" s="5" t="s">
        <v>44</v>
      </c>
      <c r="F3143" s="9">
        <v>99</v>
      </c>
      <c r="G3143" s="9" t="s">
        <v>548</v>
      </c>
      <c r="H3143" s="5" t="s">
        <v>21</v>
      </c>
      <c r="I3143" s="5" t="s">
        <v>7971</v>
      </c>
      <c r="J3143" s="12" t="str">
        <f>HYPERLINK("https://www.boe.es/gazeta/dias/1802/12/07/pdfs/GMD-D-1802-99.pdf#page=12","Abrir facsímil")</f>
        <v>Abrir facsímil</v>
      </c>
      <c r="K3143" s="15" t="s">
        <v>23</v>
      </c>
    </row>
    <row r="3144" spans="1:11" ht="42" customHeight="1">
      <c r="A3144" s="4" t="s">
        <v>7972</v>
      </c>
      <c r="B3144" s="5" t="s">
        <v>7973</v>
      </c>
      <c r="C3144" s="5" t="s">
        <v>29</v>
      </c>
      <c r="D3144" s="5" t="s">
        <v>30</v>
      </c>
      <c r="E3144" s="5" t="s">
        <v>31</v>
      </c>
      <c r="F3144" s="9">
        <v>27</v>
      </c>
      <c r="G3144" s="9">
        <v>318</v>
      </c>
      <c r="H3144" s="5" t="s">
        <v>21</v>
      </c>
      <c r="I3144" s="5" t="s">
        <v>7974</v>
      </c>
      <c r="J3144" s="12" t="str">
        <f>HYPERLINK("https://www.boe.es/gazeta/dias/1802/04/02/pdfs/GMD-1802-27.pdf#page=14","Abrir facsímil")</f>
        <v>Abrir facsímil</v>
      </c>
      <c r="K3144" s="15" t="s">
        <v>23</v>
      </c>
    </row>
    <row r="3145" spans="1:11" ht="42" customHeight="1">
      <c r="A3145" s="4" t="s">
        <v>7975</v>
      </c>
      <c r="B3145" s="5" t="s">
        <v>7976</v>
      </c>
      <c r="C3145" s="5" t="s">
        <v>55</v>
      </c>
      <c r="D3145" s="5" t="s">
        <v>56</v>
      </c>
      <c r="E3145" s="5" t="s">
        <v>1829</v>
      </c>
      <c r="F3145" s="9">
        <v>32</v>
      </c>
      <c r="G3145" s="9">
        <v>380</v>
      </c>
      <c r="H3145" s="5" t="s">
        <v>21</v>
      </c>
      <c r="I3145" s="5" t="s">
        <v>7977</v>
      </c>
      <c r="J3145" s="12" t="str">
        <f>HYPERLINK("https://www.boe.es/gazeta/dias/1802/04/20/pdfs/GMD-1802-32.pdf#page=12","Abrir facsímil")</f>
        <v>Abrir facsímil</v>
      </c>
      <c r="K3145" s="15" t="s">
        <v>23</v>
      </c>
    </row>
    <row r="3146" spans="1:11" ht="42" customHeight="1">
      <c r="A3146" s="4" t="s">
        <v>7978</v>
      </c>
      <c r="B3146" s="5" t="s">
        <v>7979</v>
      </c>
      <c r="C3146" s="5" t="s">
        <v>29</v>
      </c>
      <c r="D3146" s="5" t="s">
        <v>30</v>
      </c>
      <c r="E3146" s="5" t="s">
        <v>152</v>
      </c>
      <c r="F3146" s="9">
        <v>25</v>
      </c>
      <c r="G3146" s="9">
        <v>285</v>
      </c>
      <c r="H3146" s="5" t="s">
        <v>21</v>
      </c>
      <c r="I3146" s="5" t="s">
        <v>7980</v>
      </c>
      <c r="J3146" s="12" t="str">
        <f>HYPERLINK("https://www.boe.es/gazeta/dias/1802/03/26/pdfs/GMD-1802-25.pdf#page=9","Abrir facsímil")</f>
        <v>Abrir facsímil</v>
      </c>
      <c r="K3146" s="15" t="s">
        <v>23</v>
      </c>
    </row>
    <row r="3147" spans="1:11" ht="42" customHeight="1">
      <c r="A3147" s="4" t="s">
        <v>7981</v>
      </c>
      <c r="B3147" s="5" t="s">
        <v>7982</v>
      </c>
      <c r="C3147" s="5" t="s">
        <v>35</v>
      </c>
      <c r="D3147" s="5" t="s">
        <v>36</v>
      </c>
      <c r="E3147" s="5" t="s">
        <v>92</v>
      </c>
      <c r="F3147" s="9">
        <v>29</v>
      </c>
      <c r="G3147" s="9">
        <v>341</v>
      </c>
      <c r="H3147" s="5" t="s">
        <v>21</v>
      </c>
      <c r="I3147" s="5" t="s">
        <v>7983</v>
      </c>
      <c r="J3147" s="12" t="str">
        <f>HYPERLINK("https://www.boe.es/gazeta/dias/1802/04/09/pdfs/GMD-1802-29.pdf#page=9","Abrir facsímil")</f>
        <v>Abrir facsímil</v>
      </c>
      <c r="K3147" s="15" t="s">
        <v>23</v>
      </c>
    </row>
    <row r="3148" spans="1:11" ht="42" customHeight="1">
      <c r="A3148" s="4" t="s">
        <v>7984</v>
      </c>
      <c r="B3148" s="5" t="s">
        <v>7985</v>
      </c>
      <c r="C3148" s="5" t="s">
        <v>90</v>
      </c>
      <c r="D3148" s="5" t="s">
        <v>91</v>
      </c>
      <c r="E3148" s="5" t="s">
        <v>655</v>
      </c>
      <c r="F3148" s="9">
        <v>46</v>
      </c>
      <c r="G3148" s="9">
        <v>558</v>
      </c>
      <c r="H3148" s="5" t="s">
        <v>21</v>
      </c>
      <c r="I3148" s="5" t="s">
        <v>7986</v>
      </c>
      <c r="J3148" s="12" t="str">
        <f>HYPERLINK("https://www.boe.es/gazeta/dias/1802/06/08/pdfs/GMD-1802-46.pdf#page=10","Abrir facsímil")</f>
        <v>Abrir facsímil</v>
      </c>
      <c r="K3148" s="15" t="s">
        <v>23</v>
      </c>
    </row>
    <row r="3149" spans="1:11" ht="42" customHeight="1">
      <c r="A3149" s="4" t="s">
        <v>7987</v>
      </c>
      <c r="B3149" s="5" t="s">
        <v>7988</v>
      </c>
      <c r="C3149" s="5" t="s">
        <v>29</v>
      </c>
      <c r="D3149" s="5" t="s">
        <v>30</v>
      </c>
      <c r="E3149" s="5" t="s">
        <v>299</v>
      </c>
      <c r="F3149" s="9">
        <v>19</v>
      </c>
      <c r="G3149" s="9">
        <v>210</v>
      </c>
      <c r="H3149" s="5" t="s">
        <v>21</v>
      </c>
      <c r="I3149" s="5" t="s">
        <v>7989</v>
      </c>
      <c r="J3149" s="12" t="str">
        <f>HYPERLINK("https://www.boe.es/gazeta/dias/1802/03/05/pdfs/GMD-1802-19.pdf#page=10","Abrir facsímil")</f>
        <v>Abrir facsímil</v>
      </c>
      <c r="K3149" s="15" t="s">
        <v>23</v>
      </c>
    </row>
    <row r="3150" spans="1:11" ht="42" customHeight="1">
      <c r="A3150" s="4" t="s">
        <v>7990</v>
      </c>
      <c r="B3150" s="5" t="s">
        <v>7991</v>
      </c>
      <c r="C3150" s="5" t="s">
        <v>18</v>
      </c>
      <c r="D3150" s="5" t="s">
        <v>19</v>
      </c>
      <c r="E3150" s="5" t="s">
        <v>710</v>
      </c>
      <c r="F3150" s="9">
        <v>85</v>
      </c>
      <c r="G3150" s="9">
        <v>1058</v>
      </c>
      <c r="H3150" s="5" t="s">
        <v>21</v>
      </c>
      <c r="I3150" s="5" t="s">
        <v>7992</v>
      </c>
      <c r="J3150" s="12" t="str">
        <f>HYPERLINK("https://www.boe.es/gazeta/dias/1802/10/19/pdfs/GMD-1802-85.pdf#page=10","Abrir facsímil")</f>
        <v>Abrir facsímil</v>
      </c>
      <c r="K3150" s="15" t="s">
        <v>23</v>
      </c>
    </row>
    <row r="3151" spans="1:11" ht="42" customHeight="1">
      <c r="A3151" s="4" t="s">
        <v>7993</v>
      </c>
      <c r="B3151" s="5" t="s">
        <v>7994</v>
      </c>
      <c r="C3151" s="5" t="s">
        <v>18</v>
      </c>
      <c r="D3151" s="5" t="s">
        <v>19</v>
      </c>
      <c r="E3151" s="5" t="s">
        <v>20</v>
      </c>
      <c r="F3151" s="9">
        <v>84</v>
      </c>
      <c r="G3151" s="9">
        <v>1043</v>
      </c>
      <c r="H3151" s="5" t="s">
        <v>21</v>
      </c>
      <c r="I3151" s="5" t="s">
        <v>7995</v>
      </c>
      <c r="J3151" s="12" t="str">
        <f>HYPERLINK("https://www.boe.es/gazeta/dias/1802/10/15/pdfs/GMD-1802-84.pdf#page=11","Abrir facsímil")</f>
        <v>Abrir facsímil</v>
      </c>
      <c r="K3151" s="15" t="s">
        <v>23</v>
      </c>
    </row>
    <row r="3152" spans="1:11" ht="42" customHeight="1">
      <c r="A3152" s="4" t="s">
        <v>7996</v>
      </c>
      <c r="B3152" s="5" t="s">
        <v>7997</v>
      </c>
      <c r="C3152" s="5" t="s">
        <v>18</v>
      </c>
      <c r="D3152" s="5" t="s">
        <v>19</v>
      </c>
      <c r="E3152" s="5" t="s">
        <v>49</v>
      </c>
      <c r="F3152" s="9">
        <v>83</v>
      </c>
      <c r="G3152" s="9">
        <v>1022</v>
      </c>
      <c r="H3152" s="5" t="s">
        <v>21</v>
      </c>
      <c r="I3152" s="5" t="s">
        <v>7998</v>
      </c>
      <c r="J3152" s="12" t="str">
        <f>HYPERLINK("https://www.boe.es/gazeta/dias/1802/10/12/pdfs/GMD-1802-83.pdf#page=10","Abrir facsímil")</f>
        <v>Abrir facsímil</v>
      </c>
      <c r="K3152" s="15" t="s">
        <v>23</v>
      </c>
    </row>
    <row r="3153" spans="1:11" ht="42" customHeight="1">
      <c r="A3153" s="4" t="s">
        <v>7999</v>
      </c>
      <c r="B3153" s="5" t="s">
        <v>8000</v>
      </c>
      <c r="C3153" s="5" t="s">
        <v>18</v>
      </c>
      <c r="D3153" s="5" t="s">
        <v>19</v>
      </c>
      <c r="E3153" s="5" t="s">
        <v>49</v>
      </c>
      <c r="F3153" s="9">
        <v>83</v>
      </c>
      <c r="G3153" s="9">
        <v>1025</v>
      </c>
      <c r="H3153" s="5" t="s">
        <v>21</v>
      </c>
      <c r="I3153" s="5" t="s">
        <v>8001</v>
      </c>
      <c r="J3153" s="12" t="str">
        <f>HYPERLINK("https://www.boe.es/gazeta/dias/1802/10/12/pdfs/GMD-1802-83.pdf#page=13","Abrir facsímil")</f>
        <v>Abrir facsímil</v>
      </c>
      <c r="K3153" s="15" t="s">
        <v>23</v>
      </c>
    </row>
    <row r="3154" spans="1:11" ht="42" customHeight="1">
      <c r="A3154" s="4" t="s">
        <v>8002</v>
      </c>
      <c r="B3154" s="5" t="s">
        <v>8003</v>
      </c>
      <c r="C3154" s="5" t="s">
        <v>29</v>
      </c>
      <c r="D3154" s="5" t="s">
        <v>30</v>
      </c>
      <c r="E3154" s="5" t="s">
        <v>49</v>
      </c>
      <c r="F3154" s="9">
        <v>83</v>
      </c>
      <c r="G3154" s="9">
        <v>1023</v>
      </c>
      <c r="H3154" s="5" t="s">
        <v>21</v>
      </c>
      <c r="I3154" s="5" t="s">
        <v>8004</v>
      </c>
      <c r="J3154" s="12" t="str">
        <f>HYPERLINK("https://www.boe.es/gazeta/dias/1802/10/12/pdfs/GMD-1802-83.pdf#page=11","Abrir facsímil")</f>
        <v>Abrir facsímil</v>
      </c>
      <c r="K3154" s="15" t="s">
        <v>23</v>
      </c>
    </row>
    <row r="3155" spans="1:11" ht="42" customHeight="1">
      <c r="A3155" s="4" t="s">
        <v>8005</v>
      </c>
      <c r="B3155" s="5" t="s">
        <v>8006</v>
      </c>
      <c r="C3155" s="5" t="s">
        <v>18</v>
      </c>
      <c r="D3155" s="5" t="s">
        <v>19</v>
      </c>
      <c r="E3155" s="5" t="s">
        <v>429</v>
      </c>
      <c r="F3155" s="9">
        <v>91</v>
      </c>
      <c r="G3155" s="9">
        <v>1132</v>
      </c>
      <c r="H3155" s="5" t="s">
        <v>21</v>
      </c>
      <c r="I3155" s="5" t="s">
        <v>8007</v>
      </c>
      <c r="J3155" s="12" t="str">
        <f>HYPERLINK("https://www.boe.es/gazeta/dias/1802/11/09/pdfs/GMD-1802-91.pdf#page=12","Abrir facsímil")</f>
        <v>Abrir facsímil</v>
      </c>
      <c r="K3155" s="15" t="s">
        <v>23</v>
      </c>
    </row>
    <row r="3156" spans="1:11" ht="42" customHeight="1">
      <c r="A3156" s="4" t="s">
        <v>8008</v>
      </c>
      <c r="B3156" s="5" t="s">
        <v>8009</v>
      </c>
      <c r="C3156" s="5" t="s">
        <v>90</v>
      </c>
      <c r="D3156" s="5" t="s">
        <v>91</v>
      </c>
      <c r="E3156" s="5" t="s">
        <v>823</v>
      </c>
      <c r="F3156" s="9">
        <v>94</v>
      </c>
      <c r="G3156" s="9">
        <v>1164</v>
      </c>
      <c r="H3156" s="5" t="s">
        <v>21</v>
      </c>
      <c r="I3156" s="5" t="s">
        <v>8010</v>
      </c>
      <c r="J3156" s="12" t="str">
        <f>HYPERLINK("https://www.boe.es/gazeta/dias/1802/11/19/pdfs/GMD-1802-94.pdf#page=12","Abrir facsímil")</f>
        <v>Abrir facsímil</v>
      </c>
      <c r="K3156" s="15" t="s">
        <v>23</v>
      </c>
    </row>
    <row r="3157" spans="1:11" ht="42" customHeight="1">
      <c r="A3157" s="4" t="s">
        <v>8011</v>
      </c>
      <c r="B3157" s="5" t="s">
        <v>8012</v>
      </c>
      <c r="C3157" s="5" t="s">
        <v>160</v>
      </c>
      <c r="D3157" s="5" t="s">
        <v>91</v>
      </c>
      <c r="E3157" s="5" t="s">
        <v>754</v>
      </c>
      <c r="F3157" s="9">
        <v>101</v>
      </c>
      <c r="G3157" s="9">
        <v>1243</v>
      </c>
      <c r="H3157" s="5" t="s">
        <v>21</v>
      </c>
      <c r="I3157" s="5" t="s">
        <v>8013</v>
      </c>
      <c r="J3157" s="12" t="str">
        <f>HYPERLINK("https://www.boe.es/gazeta/dias/1802/12/14/pdfs/GMD-1802-101.pdf#page=7","Abrir facsímil")</f>
        <v>Abrir facsímil</v>
      </c>
      <c r="K3157" s="15" t="s">
        <v>23</v>
      </c>
    </row>
    <row r="3158" spans="1:11" ht="42" customHeight="1">
      <c r="A3158" s="4" t="s">
        <v>8014</v>
      </c>
      <c r="B3158" s="5" t="s">
        <v>8015</v>
      </c>
      <c r="C3158" s="5" t="s">
        <v>18</v>
      </c>
      <c r="D3158" s="5" t="s">
        <v>19</v>
      </c>
      <c r="E3158" s="5" t="s">
        <v>20</v>
      </c>
      <c r="F3158" s="9">
        <v>84</v>
      </c>
      <c r="G3158" s="9">
        <v>1044</v>
      </c>
      <c r="H3158" s="5" t="s">
        <v>21</v>
      </c>
      <c r="I3158" s="5" t="s">
        <v>8016</v>
      </c>
      <c r="J3158" s="12" t="str">
        <f>HYPERLINK("https://www.boe.es/gazeta/dias/1802/10/15/pdfs/GMD-1802-84.pdf#page=12","Abrir facsímil")</f>
        <v>Abrir facsímil</v>
      </c>
      <c r="K3158" s="15" t="s">
        <v>23</v>
      </c>
    </row>
    <row r="3159" spans="1:11" ht="42" customHeight="1">
      <c r="A3159" s="4" t="s">
        <v>8017</v>
      </c>
      <c r="B3159" s="5" t="s">
        <v>8018</v>
      </c>
      <c r="C3159" s="5" t="s">
        <v>35</v>
      </c>
      <c r="D3159" s="5" t="s">
        <v>36</v>
      </c>
      <c r="E3159" s="5" t="s">
        <v>142</v>
      </c>
      <c r="F3159" s="9">
        <v>64</v>
      </c>
      <c r="G3159" s="9">
        <v>782</v>
      </c>
      <c r="H3159" s="5" t="s">
        <v>21</v>
      </c>
      <c r="I3159" s="5" t="s">
        <v>8019</v>
      </c>
      <c r="J3159" s="12" t="str">
        <f>HYPERLINK("https://www.boe.es/gazeta/dias/1802/08/06/pdfs/GMD-1802-64.pdf#page=10","Abrir facsímil")</f>
        <v>Abrir facsímil</v>
      </c>
      <c r="K3159" s="15" t="s">
        <v>23</v>
      </c>
    </row>
    <row r="3160" spans="1:11" ht="42" customHeight="1">
      <c r="A3160" s="4" t="s">
        <v>8017</v>
      </c>
      <c r="B3160" s="5" t="s">
        <v>8018</v>
      </c>
      <c r="C3160" s="5" t="s">
        <v>29</v>
      </c>
      <c r="D3160" s="5" t="s">
        <v>30</v>
      </c>
      <c r="E3160" s="5" t="s">
        <v>611</v>
      </c>
      <c r="F3160" s="9">
        <v>68</v>
      </c>
      <c r="G3160" s="9">
        <v>834</v>
      </c>
      <c r="H3160" s="5" t="s">
        <v>21</v>
      </c>
      <c r="I3160" s="5" t="s">
        <v>8020</v>
      </c>
      <c r="J3160" s="12" t="str">
        <f>HYPERLINK("https://www.boe.es/gazeta/dias/1802/08/20/pdfs/GMD-1802-68.pdf#page=10","Abrir facsímil")</f>
        <v>Abrir facsímil</v>
      </c>
      <c r="K3160" s="15" t="s">
        <v>23</v>
      </c>
    </row>
    <row r="3161" spans="1:11" ht="42" customHeight="1">
      <c r="A3161" s="4" t="s">
        <v>8021</v>
      </c>
      <c r="B3161" s="5" t="s">
        <v>8022</v>
      </c>
      <c r="C3161" s="5" t="s">
        <v>18</v>
      </c>
      <c r="D3161" s="5" t="s">
        <v>19</v>
      </c>
      <c r="E3161" s="5" t="s">
        <v>590</v>
      </c>
      <c r="F3161" s="9">
        <v>38</v>
      </c>
      <c r="G3161" s="9">
        <v>455</v>
      </c>
      <c r="H3161" s="5" t="s">
        <v>21</v>
      </c>
      <c r="I3161" s="5" t="s">
        <v>8023</v>
      </c>
      <c r="J3161" s="12" t="str">
        <f>HYPERLINK("https://www.boe.es/gazeta/dias/1802/05/11/pdfs/GMD-1802-38.pdf#page=11","Abrir facsímil")</f>
        <v>Abrir facsímil</v>
      </c>
      <c r="K3161" s="15" t="s">
        <v>23</v>
      </c>
    </row>
    <row r="3162" spans="1:11" ht="42" customHeight="1">
      <c r="A3162" s="4" t="s">
        <v>8024</v>
      </c>
      <c r="B3162" s="5" t="s">
        <v>8025</v>
      </c>
      <c r="C3162" s="5" t="s">
        <v>160</v>
      </c>
      <c r="D3162" s="5" t="s">
        <v>91</v>
      </c>
      <c r="E3162" s="5" t="s">
        <v>71</v>
      </c>
      <c r="F3162" s="9">
        <v>21</v>
      </c>
      <c r="G3162" s="9">
        <v>234</v>
      </c>
      <c r="H3162" s="5" t="s">
        <v>21</v>
      </c>
      <c r="I3162" s="5" t="s">
        <v>8026</v>
      </c>
      <c r="J3162" s="12" t="str">
        <f>HYPERLINK("https://www.boe.es/gazeta/dias/1802/03/12/pdfs/GMD-1802-21.pdf#page=10","Abrir facsímil")</f>
        <v>Abrir facsímil</v>
      </c>
      <c r="K3162" s="15" t="s">
        <v>23</v>
      </c>
    </row>
    <row r="3163" spans="1:11" ht="42" customHeight="1">
      <c r="A3163" s="4" t="s">
        <v>8027</v>
      </c>
      <c r="B3163" s="5" t="s">
        <v>8028</v>
      </c>
      <c r="C3163" s="5" t="s">
        <v>90</v>
      </c>
      <c r="D3163" s="5" t="s">
        <v>91</v>
      </c>
      <c r="E3163" s="5" t="s">
        <v>25</v>
      </c>
      <c r="F3163" s="9">
        <v>44</v>
      </c>
      <c r="G3163" s="9">
        <v>535</v>
      </c>
      <c r="H3163" s="5" t="s">
        <v>21</v>
      </c>
      <c r="I3163" s="5" t="s">
        <v>8029</v>
      </c>
      <c r="J3163" s="12" t="str">
        <f>HYPERLINK("https://www.boe.es/gazeta/dias/1802/06/01/pdfs/GMD-1802-44.pdf#page=11","Abrir facsímil")</f>
        <v>Abrir facsímil</v>
      </c>
      <c r="K3163" s="15" t="s">
        <v>23</v>
      </c>
    </row>
    <row r="3164" spans="1:11" ht="42" customHeight="1">
      <c r="A3164" s="4" t="s">
        <v>8030</v>
      </c>
      <c r="B3164" s="5" t="s">
        <v>8031</v>
      </c>
      <c r="C3164" s="5" t="s">
        <v>29</v>
      </c>
      <c r="D3164" s="5" t="s">
        <v>30</v>
      </c>
      <c r="E3164" s="5" t="s">
        <v>574</v>
      </c>
      <c r="F3164" s="9" t="s">
        <v>575</v>
      </c>
      <c r="G3164" s="9">
        <v>711</v>
      </c>
      <c r="H3164" s="5" t="s">
        <v>21</v>
      </c>
      <c r="I3164" s="5" t="s">
        <v>8032</v>
      </c>
      <c r="J3164" s="12" t="str">
        <f>HYPERLINK("https://www.boe.es/gazeta/dias/1802/07/21/pdfs/GMD-1802-59E.pdf#page=7","Abrir facsímil")</f>
        <v>Abrir facsímil</v>
      </c>
      <c r="K3164" s="15" t="s">
        <v>23</v>
      </c>
    </row>
    <row r="3165" spans="1:11" ht="42" customHeight="1">
      <c r="A3165" s="4" t="s">
        <v>8033</v>
      </c>
      <c r="B3165" s="5" t="s">
        <v>8034</v>
      </c>
      <c r="C3165" s="5" t="s">
        <v>90</v>
      </c>
      <c r="D3165" s="5" t="s">
        <v>91</v>
      </c>
      <c r="E3165" s="5" t="s">
        <v>1289</v>
      </c>
      <c r="F3165" s="9">
        <v>72</v>
      </c>
      <c r="G3165" s="9">
        <v>890</v>
      </c>
      <c r="H3165" s="5" t="s">
        <v>21</v>
      </c>
      <c r="I3165" s="5" t="s">
        <v>8035</v>
      </c>
      <c r="J3165" s="12" t="str">
        <f>HYPERLINK("https://www.boe.es/gazeta/dias/1802/09/03/pdfs/GMD-1802-72.pdf#page=10","Abrir facsímil")</f>
        <v>Abrir facsímil</v>
      </c>
      <c r="K3165" s="15" t="s">
        <v>23</v>
      </c>
    </row>
    <row r="3166" spans="1:11" ht="42" customHeight="1">
      <c r="A3166" s="4" t="s">
        <v>8036</v>
      </c>
      <c r="B3166" s="5" t="s">
        <v>8037</v>
      </c>
      <c r="C3166" s="5" t="s">
        <v>90</v>
      </c>
      <c r="D3166" s="5" t="s">
        <v>91</v>
      </c>
      <c r="E3166" s="5" t="s">
        <v>1097</v>
      </c>
      <c r="F3166" s="9">
        <v>20</v>
      </c>
      <c r="G3166" s="9">
        <v>221</v>
      </c>
      <c r="H3166" s="5" t="s">
        <v>21</v>
      </c>
      <c r="I3166" s="5" t="s">
        <v>8038</v>
      </c>
      <c r="J3166" s="12" t="str">
        <f>HYPERLINK("https://www.boe.es/gazeta/dias/1802/03/09/pdfs/GMD-1802-20.pdf#page=9","Abrir facsímil")</f>
        <v>Abrir facsímil</v>
      </c>
      <c r="K3166" s="15" t="s">
        <v>23</v>
      </c>
    </row>
    <row r="3167" spans="1:11" ht="42" customHeight="1">
      <c r="A3167" s="4" t="s">
        <v>8039</v>
      </c>
      <c r="B3167" s="5" t="s">
        <v>8040</v>
      </c>
      <c r="C3167" s="5" t="s">
        <v>18</v>
      </c>
      <c r="D3167" s="5" t="s">
        <v>19</v>
      </c>
      <c r="E3167" s="5" t="s">
        <v>49</v>
      </c>
      <c r="F3167" s="9">
        <v>83</v>
      </c>
      <c r="G3167" s="9">
        <v>1025</v>
      </c>
      <c r="H3167" s="5" t="s">
        <v>21</v>
      </c>
      <c r="I3167" s="5" t="s">
        <v>8041</v>
      </c>
      <c r="J3167" s="12" t="str">
        <f>HYPERLINK("https://www.boe.es/gazeta/dias/1802/10/12/pdfs/GMD-1802-83.pdf#page=13","Abrir facsímil")</f>
        <v>Abrir facsímil</v>
      </c>
      <c r="K3167" s="15" t="s">
        <v>23</v>
      </c>
    </row>
    <row r="3168" spans="1:11" ht="42" customHeight="1">
      <c r="A3168" s="4" t="s">
        <v>8042</v>
      </c>
      <c r="B3168" s="5" t="s">
        <v>8043</v>
      </c>
      <c r="C3168" s="5" t="s">
        <v>18</v>
      </c>
      <c r="D3168" s="5" t="s">
        <v>19</v>
      </c>
      <c r="E3168" s="5" t="s">
        <v>20</v>
      </c>
      <c r="F3168" s="9">
        <v>84</v>
      </c>
      <c r="G3168" s="9">
        <v>1041</v>
      </c>
      <c r="H3168" s="5" t="s">
        <v>21</v>
      </c>
      <c r="I3168" s="5" t="s">
        <v>8044</v>
      </c>
      <c r="J3168" s="12" t="str">
        <f>HYPERLINK("https://www.boe.es/gazeta/dias/1802/10/15/pdfs/GMD-1802-84.pdf#page=9","Abrir facsímil")</f>
        <v>Abrir facsímil</v>
      </c>
      <c r="K3168" s="15" t="s">
        <v>23</v>
      </c>
    </row>
    <row r="3169" spans="1:11" ht="42" customHeight="1">
      <c r="A3169" s="4" t="s">
        <v>8045</v>
      </c>
      <c r="B3169" s="5" t="s">
        <v>8046</v>
      </c>
      <c r="C3169" s="5" t="s">
        <v>18</v>
      </c>
      <c r="D3169" s="5" t="s">
        <v>19</v>
      </c>
      <c r="E3169" s="5" t="s">
        <v>49</v>
      </c>
      <c r="F3169" s="9">
        <v>83</v>
      </c>
      <c r="G3169" s="9">
        <v>1019</v>
      </c>
      <c r="H3169" s="5" t="s">
        <v>21</v>
      </c>
      <c r="I3169" s="5" t="s">
        <v>8047</v>
      </c>
      <c r="J3169" s="12" t="str">
        <f>HYPERLINK("https://www.boe.es/gazeta/dias/1802/10/12/pdfs/GMD-1802-83.pdf#page=7","Abrir facsímil")</f>
        <v>Abrir facsímil</v>
      </c>
      <c r="K3169" s="15" t="s">
        <v>23</v>
      </c>
    </row>
    <row r="3170" spans="1:11" ht="42" customHeight="1">
      <c r="A3170" s="4" t="s">
        <v>8048</v>
      </c>
      <c r="B3170" s="5" t="s">
        <v>8049</v>
      </c>
      <c r="C3170" s="5" t="s">
        <v>18</v>
      </c>
      <c r="D3170" s="5" t="s">
        <v>19</v>
      </c>
      <c r="E3170" s="5" t="s">
        <v>20</v>
      </c>
      <c r="F3170" s="9">
        <v>84</v>
      </c>
      <c r="G3170" s="9">
        <v>1042</v>
      </c>
      <c r="H3170" s="5" t="s">
        <v>21</v>
      </c>
      <c r="I3170" s="5" t="s">
        <v>8050</v>
      </c>
      <c r="J3170" s="12" t="str">
        <f>HYPERLINK("https://www.boe.es/gazeta/dias/1802/10/15/pdfs/GMD-1802-84.pdf#page=10","Abrir facsímil")</f>
        <v>Abrir facsímil</v>
      </c>
      <c r="K3170" s="15" t="s">
        <v>23</v>
      </c>
    </row>
    <row r="3171" spans="1:11" ht="42" customHeight="1">
      <c r="A3171" s="4" t="s">
        <v>8051</v>
      </c>
      <c r="B3171" s="5" t="s">
        <v>8052</v>
      </c>
      <c r="C3171" s="5" t="s">
        <v>29</v>
      </c>
      <c r="D3171" s="5" t="s">
        <v>30</v>
      </c>
      <c r="E3171" s="5" t="s">
        <v>1051</v>
      </c>
      <c r="F3171" s="9">
        <v>43</v>
      </c>
      <c r="G3171" s="9">
        <v>518</v>
      </c>
      <c r="H3171" s="5" t="s">
        <v>21</v>
      </c>
      <c r="I3171" s="5" t="s">
        <v>8053</v>
      </c>
      <c r="J3171" s="12" t="str">
        <f>HYPERLINK("https://www.boe.es/gazeta/dias/1802/05/28/pdfs/GMD-1802-43.pdf#page=10","Abrir facsímil")</f>
        <v>Abrir facsímil</v>
      </c>
      <c r="K3171" s="15" t="s">
        <v>23</v>
      </c>
    </row>
    <row r="3172" spans="1:11" ht="42" customHeight="1">
      <c r="A3172" s="4" t="s">
        <v>8054</v>
      </c>
      <c r="B3172" s="5" t="s">
        <v>8055</v>
      </c>
      <c r="C3172" s="5" t="s">
        <v>18</v>
      </c>
      <c r="D3172" s="5" t="s">
        <v>19</v>
      </c>
      <c r="E3172" s="5" t="s">
        <v>749</v>
      </c>
      <c r="F3172" s="9">
        <v>97</v>
      </c>
      <c r="G3172" s="9">
        <v>1201</v>
      </c>
      <c r="H3172" s="5" t="s">
        <v>21</v>
      </c>
      <c r="I3172" s="5" t="s">
        <v>8056</v>
      </c>
      <c r="J3172" s="12" t="str">
        <f>HYPERLINK("https://www.boe.es/gazeta/dias/1802/11/30/pdfs/GMD-1802-97.pdf#page=9","Abrir facsímil")</f>
        <v>Abrir facsímil</v>
      </c>
      <c r="K3172" s="15" t="s">
        <v>23</v>
      </c>
    </row>
    <row r="3173" spans="1:11" ht="42" customHeight="1">
      <c r="A3173" s="4" t="s">
        <v>8057</v>
      </c>
      <c r="B3173" s="5" t="s">
        <v>8058</v>
      </c>
      <c r="C3173" s="5" t="s">
        <v>29</v>
      </c>
      <c r="D3173" s="5" t="s">
        <v>30</v>
      </c>
      <c r="E3173" s="5" t="s">
        <v>635</v>
      </c>
      <c r="F3173" s="9">
        <v>47</v>
      </c>
      <c r="G3173" s="9">
        <v>575</v>
      </c>
      <c r="H3173" s="5" t="s">
        <v>21</v>
      </c>
      <c r="I3173" s="5" t="s">
        <v>8059</v>
      </c>
      <c r="J3173" s="12" t="str">
        <f>HYPERLINK("https://www.boe.es/gazeta/dias/1802/06/11/pdfs/GMD-1802-47.pdf#page=11","Abrir facsímil")</f>
        <v>Abrir facsímil</v>
      </c>
      <c r="K3173" s="15" t="s">
        <v>23</v>
      </c>
    </row>
    <row r="3174" spans="1:11" ht="42" customHeight="1">
      <c r="A3174" s="4" t="s">
        <v>8060</v>
      </c>
      <c r="B3174" s="5" t="s">
        <v>8061</v>
      </c>
      <c r="C3174" s="5" t="s">
        <v>18</v>
      </c>
      <c r="D3174" s="5" t="s">
        <v>19</v>
      </c>
      <c r="E3174" s="5" t="s">
        <v>49</v>
      </c>
      <c r="F3174" s="9">
        <v>83</v>
      </c>
      <c r="G3174" s="9">
        <v>1024</v>
      </c>
      <c r="H3174" s="5" t="s">
        <v>21</v>
      </c>
      <c r="I3174" s="5" t="s">
        <v>8062</v>
      </c>
      <c r="J3174" s="12" t="str">
        <f>HYPERLINK("https://www.boe.es/gazeta/dias/1802/10/12/pdfs/GMD-1802-83.pdf#page=12","Abrir facsímil")</f>
        <v>Abrir facsímil</v>
      </c>
      <c r="K3174" s="15" t="s">
        <v>23</v>
      </c>
    </row>
    <row r="3175" spans="1:11" ht="42" customHeight="1">
      <c r="A3175" s="4" t="s">
        <v>8063</v>
      </c>
      <c r="B3175" s="5" t="s">
        <v>8064</v>
      </c>
      <c r="C3175" s="5" t="s">
        <v>2417</v>
      </c>
      <c r="D3175" s="5" t="s">
        <v>2418</v>
      </c>
      <c r="E3175" s="5" t="s">
        <v>206</v>
      </c>
      <c r="F3175" s="9">
        <v>22</v>
      </c>
      <c r="G3175" s="9">
        <v>246</v>
      </c>
      <c r="H3175" s="5" t="s">
        <v>21</v>
      </c>
      <c r="I3175" s="5" t="s">
        <v>8065</v>
      </c>
      <c r="J3175" s="12" t="str">
        <f>HYPERLINK("https://www.boe.es/gazeta/dias/1802/03/16/pdfs/GMD-C-1802-22.pdf#page=2","Abrir facsímil")</f>
        <v>Abrir facsímil</v>
      </c>
      <c r="K3175" s="15" t="s">
        <v>23</v>
      </c>
    </row>
    <row r="3176" spans="1:11" ht="42" customHeight="1">
      <c r="A3176" s="4" t="s">
        <v>8063</v>
      </c>
      <c r="B3176" s="5" t="s">
        <v>8064</v>
      </c>
      <c r="C3176" s="5" t="s">
        <v>18</v>
      </c>
      <c r="D3176" s="5" t="s">
        <v>19</v>
      </c>
      <c r="E3176" s="5" t="s">
        <v>167</v>
      </c>
      <c r="F3176" s="9">
        <v>23</v>
      </c>
      <c r="G3176" s="9">
        <v>260</v>
      </c>
      <c r="H3176" s="5" t="s">
        <v>21</v>
      </c>
      <c r="I3176" s="5" t="s">
        <v>8066</v>
      </c>
      <c r="J3176" s="12" t="str">
        <f>HYPERLINK("https://www.boe.es/gazeta/dias/1802/03/19/pdfs/GMD-1802-23.pdf#page=8","Abrir facsímil")</f>
        <v>Abrir facsímil</v>
      </c>
      <c r="K3176" s="15" t="s">
        <v>23</v>
      </c>
    </row>
    <row r="3177" spans="1:11" ht="42" customHeight="1">
      <c r="A3177" s="4" t="s">
        <v>8063</v>
      </c>
      <c r="B3177" s="5" t="s">
        <v>8064</v>
      </c>
      <c r="C3177" s="5" t="s">
        <v>18</v>
      </c>
      <c r="D3177" s="5" t="s">
        <v>19</v>
      </c>
      <c r="E3177" s="5" t="s">
        <v>332</v>
      </c>
      <c r="F3177" s="9">
        <v>24</v>
      </c>
      <c r="G3177" s="9">
        <v>273</v>
      </c>
      <c r="H3177" s="5" t="s">
        <v>21</v>
      </c>
      <c r="I3177" s="5" t="s">
        <v>8067</v>
      </c>
      <c r="J3177" s="12" t="str">
        <f>HYPERLINK("https://www.boe.es/gazeta/dias/1802/03/23/pdfs/GMD-1802-24.pdf#page=9","Abrir facsímil")</f>
        <v>Abrir facsímil</v>
      </c>
      <c r="K3177" s="15" t="s">
        <v>23</v>
      </c>
    </row>
    <row r="3178" spans="1:11" ht="42" customHeight="1">
      <c r="A3178" s="4" t="s">
        <v>8063</v>
      </c>
      <c r="B3178" s="5" t="s">
        <v>8064</v>
      </c>
      <c r="C3178" s="5" t="s">
        <v>18</v>
      </c>
      <c r="D3178" s="5" t="s">
        <v>19</v>
      </c>
      <c r="E3178" s="5" t="s">
        <v>1749</v>
      </c>
      <c r="F3178" s="9">
        <v>60</v>
      </c>
      <c r="G3178" s="9">
        <v>730</v>
      </c>
      <c r="H3178" s="5" t="s">
        <v>21</v>
      </c>
      <c r="I3178" s="5" t="s">
        <v>8068</v>
      </c>
      <c r="J3178" s="12" t="str">
        <f>HYPERLINK("https://www.boe.es/gazeta/dias/1802/07/23/pdfs/GMD-1802-60.pdf#page=14","Abrir facsímil")</f>
        <v>Abrir facsímil</v>
      </c>
      <c r="K3178" s="15" t="s">
        <v>23</v>
      </c>
    </row>
    <row r="3179" spans="1:11" ht="42" customHeight="1">
      <c r="A3179" s="4" t="s">
        <v>8063</v>
      </c>
      <c r="B3179" s="5" t="s">
        <v>8064</v>
      </c>
      <c r="C3179" s="5" t="s">
        <v>18</v>
      </c>
      <c r="D3179" s="5" t="s">
        <v>19</v>
      </c>
      <c r="E3179" s="5" t="s">
        <v>517</v>
      </c>
      <c r="F3179" s="9">
        <v>61</v>
      </c>
      <c r="G3179" s="9">
        <v>742</v>
      </c>
      <c r="H3179" s="5" t="s">
        <v>21</v>
      </c>
      <c r="I3179" s="5" t="s">
        <v>8069</v>
      </c>
      <c r="J3179" s="12" t="str">
        <f>HYPERLINK("https://www.boe.es/gazeta/dias/1802/07/27/pdfs/GMD-1802-61.pdf#page=10","Abrir facsímil")</f>
        <v>Abrir facsímil</v>
      </c>
      <c r="K3179" s="15" t="s">
        <v>23</v>
      </c>
    </row>
    <row r="3180" spans="1:11" ht="42" customHeight="1">
      <c r="A3180" s="4" t="s">
        <v>8063</v>
      </c>
      <c r="B3180" s="5" t="s">
        <v>8064</v>
      </c>
      <c r="C3180" s="5" t="s">
        <v>18</v>
      </c>
      <c r="D3180" s="5" t="s">
        <v>19</v>
      </c>
      <c r="E3180" s="5" t="s">
        <v>292</v>
      </c>
      <c r="F3180" s="9">
        <v>62</v>
      </c>
      <c r="G3180" s="9">
        <v>754</v>
      </c>
      <c r="H3180" s="5" t="s">
        <v>21</v>
      </c>
      <c r="I3180" s="5" t="s">
        <v>8070</v>
      </c>
      <c r="J3180" s="12" t="str">
        <f>HYPERLINK("https://www.boe.es/gazeta/dias/1802/07/30/pdfs/GMD-1802-62.pdf#page=10","Abrir facsímil")</f>
        <v>Abrir facsímil</v>
      </c>
      <c r="K3180" s="15" t="s">
        <v>23</v>
      </c>
    </row>
    <row r="3181" spans="1:11" ht="42" customHeight="1">
      <c r="A3181" s="4" t="s">
        <v>8063</v>
      </c>
      <c r="B3181" s="5" t="s">
        <v>8064</v>
      </c>
      <c r="C3181" s="5" t="s">
        <v>18</v>
      </c>
      <c r="D3181" s="5" t="s">
        <v>19</v>
      </c>
      <c r="E3181" s="5" t="s">
        <v>1185</v>
      </c>
      <c r="F3181" s="9">
        <v>93</v>
      </c>
      <c r="G3181" s="9">
        <v>1151</v>
      </c>
      <c r="H3181" s="5" t="s">
        <v>21</v>
      </c>
      <c r="I3181" s="5" t="s">
        <v>8071</v>
      </c>
      <c r="J3181" s="12" t="str">
        <f>HYPERLINK("https://www.boe.es/gazeta/dias/1802/11/16/pdfs/GMD-1802-93.pdf#page=11","Abrir facsímil")</f>
        <v>Abrir facsímil</v>
      </c>
      <c r="K3181" s="15" t="s">
        <v>23</v>
      </c>
    </row>
    <row r="3182" spans="1:11" ht="42" customHeight="1">
      <c r="A3182" s="4" t="s">
        <v>8063</v>
      </c>
      <c r="B3182" s="5" t="s">
        <v>8064</v>
      </c>
      <c r="C3182" s="5" t="s">
        <v>35</v>
      </c>
      <c r="D3182" s="5" t="s">
        <v>36</v>
      </c>
      <c r="E3182" s="5" t="s">
        <v>823</v>
      </c>
      <c r="F3182" s="9">
        <v>94</v>
      </c>
      <c r="G3182" s="9">
        <v>1163</v>
      </c>
      <c r="H3182" s="5" t="s">
        <v>21</v>
      </c>
      <c r="I3182" s="5" t="s">
        <v>8072</v>
      </c>
      <c r="J3182" s="12" t="str">
        <f>HYPERLINK("https://www.boe.es/gazeta/dias/1802/11/19/pdfs/GMD-1802-94.pdf#page=11","Abrir facsímil")</f>
        <v>Abrir facsímil</v>
      </c>
      <c r="K3182" s="15" t="s">
        <v>23</v>
      </c>
    </row>
    <row r="3183" spans="1:11" ht="42" customHeight="1">
      <c r="A3183" s="4" t="s">
        <v>8063</v>
      </c>
      <c r="B3183" s="5" t="s">
        <v>8064</v>
      </c>
      <c r="C3183" s="5" t="s">
        <v>35</v>
      </c>
      <c r="D3183" s="5" t="s">
        <v>36</v>
      </c>
      <c r="E3183" s="5" t="s">
        <v>185</v>
      </c>
      <c r="F3183" s="9">
        <v>95</v>
      </c>
      <c r="G3183" s="9">
        <v>1174</v>
      </c>
      <c r="H3183" s="5" t="s">
        <v>21</v>
      </c>
      <c r="I3183" s="5" t="s">
        <v>8073</v>
      </c>
      <c r="J3183" s="12" t="str">
        <f>HYPERLINK("https://www.boe.es/gazeta/dias/1802/11/23/pdfs/GMD-1802-95.pdf#page=10","Abrir facsímil")</f>
        <v>Abrir facsímil</v>
      </c>
      <c r="K3183" s="15" t="s">
        <v>23</v>
      </c>
    </row>
    <row r="3184" spans="1:11" ht="42" customHeight="1">
      <c r="A3184" s="4" t="s">
        <v>8074</v>
      </c>
      <c r="B3184" s="5" t="s">
        <v>8075</v>
      </c>
      <c r="C3184" s="5" t="s">
        <v>18</v>
      </c>
      <c r="D3184" s="5" t="s">
        <v>19</v>
      </c>
      <c r="E3184" s="5" t="s">
        <v>49</v>
      </c>
      <c r="F3184" s="9">
        <v>83</v>
      </c>
      <c r="G3184" s="9">
        <v>1025</v>
      </c>
      <c r="H3184" s="5" t="s">
        <v>21</v>
      </c>
      <c r="I3184" s="5" t="s">
        <v>8076</v>
      </c>
      <c r="J3184" s="12" t="str">
        <f>HYPERLINK("https://www.boe.es/gazeta/dias/1802/10/12/pdfs/GMD-1802-83.pdf#page=13","Abrir facsímil")</f>
        <v>Abrir facsímil</v>
      </c>
      <c r="K3184" s="15" t="s">
        <v>23</v>
      </c>
    </row>
    <row r="3185" spans="1:11" ht="42" customHeight="1">
      <c r="A3185" s="4" t="s">
        <v>8077</v>
      </c>
      <c r="B3185" s="5" t="s">
        <v>8078</v>
      </c>
      <c r="C3185" s="5" t="s">
        <v>160</v>
      </c>
      <c r="D3185" s="5" t="s">
        <v>91</v>
      </c>
      <c r="E3185" s="5" t="s">
        <v>20</v>
      </c>
      <c r="F3185" s="9">
        <v>84</v>
      </c>
      <c r="G3185" s="9">
        <v>1044</v>
      </c>
      <c r="H3185" s="5" t="s">
        <v>21</v>
      </c>
      <c r="I3185" s="5" t="s">
        <v>8079</v>
      </c>
      <c r="J3185" s="12" t="str">
        <f>HYPERLINK("https://www.boe.es/gazeta/dias/1802/10/15/pdfs/GMD-1802-84.pdf#page=12","Abrir facsímil")</f>
        <v>Abrir facsímil</v>
      </c>
      <c r="K3185" s="15" t="s">
        <v>23</v>
      </c>
    </row>
    <row r="3186" spans="1:11" ht="42" customHeight="1">
      <c r="A3186" s="4" t="s">
        <v>8080</v>
      </c>
      <c r="B3186" s="5" t="s">
        <v>8081</v>
      </c>
      <c r="C3186" s="5" t="s">
        <v>18</v>
      </c>
      <c r="D3186" s="5" t="s">
        <v>19</v>
      </c>
      <c r="E3186" s="5" t="s">
        <v>20</v>
      </c>
      <c r="F3186" s="9">
        <v>84</v>
      </c>
      <c r="G3186" s="9">
        <v>1046</v>
      </c>
      <c r="H3186" s="5" t="s">
        <v>21</v>
      </c>
      <c r="I3186" s="5" t="s">
        <v>8082</v>
      </c>
      <c r="J3186" s="12" t="str">
        <f>HYPERLINK("https://www.boe.es/gazeta/dias/1802/10/15/pdfs/GMD-1802-84.pdf#page=14","Abrir facsímil")</f>
        <v>Abrir facsímil</v>
      </c>
      <c r="K3186" s="15" t="s">
        <v>23</v>
      </c>
    </row>
    <row r="3187" spans="1:11" ht="42" customHeight="1">
      <c r="A3187" s="4" t="s">
        <v>8083</v>
      </c>
      <c r="B3187" s="5" t="s">
        <v>8084</v>
      </c>
      <c r="C3187" s="5" t="s">
        <v>160</v>
      </c>
      <c r="D3187" s="5" t="s">
        <v>91</v>
      </c>
      <c r="E3187" s="5" t="s">
        <v>175</v>
      </c>
      <c r="F3187" s="9">
        <v>37</v>
      </c>
      <c r="G3187" s="9">
        <v>442</v>
      </c>
      <c r="H3187" s="5" t="s">
        <v>21</v>
      </c>
      <c r="I3187" s="5" t="s">
        <v>8085</v>
      </c>
      <c r="J3187" s="12" t="str">
        <f>HYPERLINK("https://www.boe.es/gazeta/dias/1802/05/07/pdfs/GMD-1802-37.pdf#page=10","Abrir facsímil")</f>
        <v>Abrir facsímil</v>
      </c>
      <c r="K3187" s="15" t="s">
        <v>23</v>
      </c>
    </row>
    <row r="3188" spans="1:11" ht="42" customHeight="1">
      <c r="A3188" s="4" t="s">
        <v>8086</v>
      </c>
      <c r="B3188" s="5" t="s">
        <v>8087</v>
      </c>
      <c r="C3188" s="5" t="s">
        <v>90</v>
      </c>
      <c r="D3188" s="5" t="s">
        <v>91</v>
      </c>
      <c r="E3188" s="5" t="s">
        <v>121</v>
      </c>
      <c r="F3188" s="9">
        <v>87</v>
      </c>
      <c r="G3188" s="9">
        <v>1081</v>
      </c>
      <c r="H3188" s="5" t="s">
        <v>21</v>
      </c>
      <c r="I3188" s="5" t="s">
        <v>8088</v>
      </c>
      <c r="J3188" s="12" t="str">
        <f>HYPERLINK("https://www.boe.es/gazeta/dias/1802/10/26/pdfs/GMD-1802-87.pdf#page=9","Abrir facsímil")</f>
        <v>Abrir facsímil</v>
      </c>
      <c r="K3188" s="15" t="s">
        <v>23</v>
      </c>
    </row>
    <row r="3189" spans="1:11" ht="42" customHeight="1">
      <c r="A3189" s="4" t="s">
        <v>8089</v>
      </c>
      <c r="B3189" s="5" t="s">
        <v>8090</v>
      </c>
      <c r="C3189" s="5" t="s">
        <v>18</v>
      </c>
      <c r="D3189" s="5" t="s">
        <v>19</v>
      </c>
      <c r="E3189" s="5" t="s">
        <v>20</v>
      </c>
      <c r="F3189" s="9">
        <v>84</v>
      </c>
      <c r="G3189" s="9">
        <v>1047</v>
      </c>
      <c r="H3189" s="5" t="s">
        <v>21</v>
      </c>
      <c r="I3189" s="5" t="s">
        <v>8091</v>
      </c>
      <c r="J3189" s="12" t="str">
        <f>HYPERLINK("https://www.boe.es/gazeta/dias/1802/10/15/pdfs/GMD-1802-84.pdf#page=15","Abrir facsímil")</f>
        <v>Abrir facsímil</v>
      </c>
      <c r="K3189" s="15" t="s">
        <v>23</v>
      </c>
    </row>
    <row r="3190" spans="1:11" ht="42" customHeight="1">
      <c r="A3190" s="4" t="s">
        <v>8092</v>
      </c>
      <c r="B3190" s="5" t="s">
        <v>8093</v>
      </c>
      <c r="C3190" s="5" t="s">
        <v>29</v>
      </c>
      <c r="D3190" s="5" t="s">
        <v>30</v>
      </c>
      <c r="E3190" s="5" t="s">
        <v>436</v>
      </c>
      <c r="F3190" s="9">
        <v>58</v>
      </c>
      <c r="G3190" s="9">
        <v>701</v>
      </c>
      <c r="H3190" s="5" t="s">
        <v>21</v>
      </c>
      <c r="I3190" s="5" t="s">
        <v>8094</v>
      </c>
      <c r="J3190" s="12" t="str">
        <f>HYPERLINK("https://www.boe.es/gazeta/dias/1802/07/20/pdfs/GMD-1802-58.pdf#page=9","Abrir facsímil")</f>
        <v>Abrir facsímil</v>
      </c>
      <c r="K3190" s="15" t="s">
        <v>23</v>
      </c>
    </row>
    <row r="3191" spans="1:11" ht="42" customHeight="1">
      <c r="A3191" s="4" t="s">
        <v>8095</v>
      </c>
      <c r="B3191" s="5" t="s">
        <v>8096</v>
      </c>
      <c r="C3191" s="5" t="s">
        <v>18</v>
      </c>
      <c r="D3191" s="5" t="s">
        <v>19</v>
      </c>
      <c r="E3191" s="5" t="s">
        <v>1185</v>
      </c>
      <c r="F3191" s="9">
        <v>93</v>
      </c>
      <c r="G3191" s="9">
        <v>1148</v>
      </c>
      <c r="H3191" s="5" t="s">
        <v>21</v>
      </c>
      <c r="I3191" s="5" t="s">
        <v>8097</v>
      </c>
      <c r="J3191" s="12" t="str">
        <f>HYPERLINK("https://www.boe.es/gazeta/dias/1802/11/16/pdfs/GMD-1802-93.pdf#page=8","Abrir facsímil")</f>
        <v>Abrir facsímil</v>
      </c>
      <c r="K3191" s="15" t="s">
        <v>23</v>
      </c>
    </row>
    <row r="3192" spans="1:11" ht="42" customHeight="1">
      <c r="A3192" s="4" t="s">
        <v>8098</v>
      </c>
      <c r="B3192" s="5" t="s">
        <v>8099</v>
      </c>
      <c r="C3192" s="5" t="s">
        <v>29</v>
      </c>
      <c r="D3192" s="5" t="s">
        <v>30</v>
      </c>
      <c r="E3192" s="5" t="s">
        <v>20</v>
      </c>
      <c r="F3192" s="9">
        <v>84</v>
      </c>
      <c r="G3192" s="9">
        <v>1040</v>
      </c>
      <c r="H3192" s="5" t="s">
        <v>21</v>
      </c>
      <c r="I3192" s="5" t="s">
        <v>8100</v>
      </c>
      <c r="J3192" s="12" t="str">
        <f>HYPERLINK("https://www.boe.es/gazeta/dias/1802/10/15/pdfs/GMD-1802-84.pdf#page=8","Abrir facsímil")</f>
        <v>Abrir facsímil</v>
      </c>
      <c r="K3192" s="15" t="s">
        <v>23</v>
      </c>
    </row>
    <row r="3193" spans="1:11" ht="42" customHeight="1">
      <c r="A3193" s="4" t="s">
        <v>8101</v>
      </c>
      <c r="B3193" s="5" t="s">
        <v>8102</v>
      </c>
      <c r="C3193" s="5" t="s">
        <v>42</v>
      </c>
      <c r="D3193" s="5" t="s">
        <v>43</v>
      </c>
      <c r="E3193" s="5" t="s">
        <v>44</v>
      </c>
      <c r="F3193" s="9">
        <v>99</v>
      </c>
      <c r="G3193" s="9" t="s">
        <v>222</v>
      </c>
      <c r="H3193" s="5" t="s">
        <v>21</v>
      </c>
      <c r="I3193" s="5" t="s">
        <v>8103</v>
      </c>
      <c r="J3193" s="12" t="str">
        <f>HYPERLINK("https://www.boe.es/gazeta/dias/1802/12/07/pdfs/GMD-D-1802-99.pdf#page=5","Abrir facsímil")</f>
        <v>Abrir facsímil</v>
      </c>
      <c r="K3193" s="15" t="s">
        <v>23</v>
      </c>
    </row>
    <row r="3194" spans="1:11" ht="42" customHeight="1">
      <c r="A3194" s="4" t="s">
        <v>8104</v>
      </c>
      <c r="B3194" s="5" t="s">
        <v>8105</v>
      </c>
      <c r="C3194" s="5" t="s">
        <v>42</v>
      </c>
      <c r="D3194" s="5" t="s">
        <v>43</v>
      </c>
      <c r="E3194" s="5" t="s">
        <v>44</v>
      </c>
      <c r="F3194" s="9">
        <v>99</v>
      </c>
      <c r="G3194" s="9" t="s">
        <v>222</v>
      </c>
      <c r="H3194" s="5" t="s">
        <v>21</v>
      </c>
      <c r="I3194" s="5" t="s">
        <v>8106</v>
      </c>
      <c r="J3194" s="12" t="str">
        <f>HYPERLINK("https://www.boe.es/gazeta/dias/1802/12/07/pdfs/GMD-D-1802-99.pdf#page=5","Abrir facsímil")</f>
        <v>Abrir facsímil</v>
      </c>
      <c r="K3194" s="15" t="s">
        <v>23</v>
      </c>
    </row>
    <row r="3195" spans="1:11" ht="42" customHeight="1">
      <c r="A3195" s="4" t="s">
        <v>8104</v>
      </c>
      <c r="B3195" s="5" t="s">
        <v>8105</v>
      </c>
      <c r="C3195" s="5" t="s">
        <v>42</v>
      </c>
      <c r="D3195" s="5" t="s">
        <v>43</v>
      </c>
      <c r="E3195" s="5" t="s">
        <v>44</v>
      </c>
      <c r="F3195" s="9">
        <v>99</v>
      </c>
      <c r="G3195" s="9" t="s">
        <v>537</v>
      </c>
      <c r="H3195" s="5" t="s">
        <v>21</v>
      </c>
      <c r="I3195" s="5" t="s">
        <v>8107</v>
      </c>
      <c r="J3195" s="12" t="str">
        <f>HYPERLINK("https://www.boe.es/gazeta/dias/1802/12/07/pdfs/GMD-D-1802-99.pdf#page=9","Abrir facsímil")</f>
        <v>Abrir facsímil</v>
      </c>
      <c r="K3195" s="15" t="s">
        <v>23</v>
      </c>
    </row>
    <row r="3196" spans="1:11" ht="42" customHeight="1">
      <c r="A3196" s="4" t="s">
        <v>8108</v>
      </c>
      <c r="B3196" s="5" t="s">
        <v>8109</v>
      </c>
      <c r="C3196" s="5" t="s">
        <v>42</v>
      </c>
      <c r="D3196" s="5" t="s">
        <v>43</v>
      </c>
      <c r="E3196" s="5" t="s">
        <v>44</v>
      </c>
      <c r="F3196" s="9">
        <v>99</v>
      </c>
      <c r="G3196" s="9" t="s">
        <v>548</v>
      </c>
      <c r="H3196" s="5" t="s">
        <v>21</v>
      </c>
      <c r="I3196" s="5" t="s">
        <v>8110</v>
      </c>
      <c r="J3196" s="12" t="str">
        <f>HYPERLINK("https://www.boe.es/gazeta/dias/1802/12/07/pdfs/GMD-D-1802-99.pdf#page=12","Abrir facsímil")</f>
        <v>Abrir facsímil</v>
      </c>
      <c r="K3196" s="15" t="s">
        <v>23</v>
      </c>
    </row>
    <row r="3197" spans="1:11" ht="42" customHeight="1">
      <c r="A3197" s="4" t="s">
        <v>8111</v>
      </c>
      <c r="B3197" s="5" t="s">
        <v>8112</v>
      </c>
      <c r="C3197" s="5" t="s">
        <v>42</v>
      </c>
      <c r="D3197" s="5" t="s">
        <v>43</v>
      </c>
      <c r="E3197" s="5" t="s">
        <v>44</v>
      </c>
      <c r="F3197" s="9">
        <v>99</v>
      </c>
      <c r="G3197" s="9" t="s">
        <v>548</v>
      </c>
      <c r="H3197" s="5" t="s">
        <v>21</v>
      </c>
      <c r="I3197" s="5" t="s">
        <v>8113</v>
      </c>
      <c r="J3197" s="12" t="str">
        <f>HYPERLINK("https://www.boe.es/gazeta/dias/1802/12/07/pdfs/GMD-D-1802-99.pdf#page=12","Abrir facsímil")</f>
        <v>Abrir facsímil</v>
      </c>
      <c r="K3197" s="15" t="s">
        <v>23</v>
      </c>
    </row>
    <row r="3198" spans="1:11" ht="42" customHeight="1">
      <c r="A3198" s="4" t="s">
        <v>8114</v>
      </c>
      <c r="B3198" s="5" t="s">
        <v>8115</v>
      </c>
      <c r="C3198" s="5" t="s">
        <v>18</v>
      </c>
      <c r="D3198" s="5" t="s">
        <v>19</v>
      </c>
      <c r="E3198" s="5" t="s">
        <v>20</v>
      </c>
      <c r="F3198" s="9">
        <v>84</v>
      </c>
      <c r="G3198" s="9">
        <v>1039</v>
      </c>
      <c r="H3198" s="5" t="s">
        <v>21</v>
      </c>
      <c r="I3198" s="5" t="s">
        <v>8116</v>
      </c>
      <c r="J3198" s="12" t="str">
        <f>HYPERLINK("https://www.boe.es/gazeta/dias/1802/10/15/pdfs/GMD-1802-84.pdf#page=7","Abrir facsímil")</f>
        <v>Abrir facsímil</v>
      </c>
      <c r="K3198" s="15" t="s">
        <v>23</v>
      </c>
    </row>
    <row r="3199" spans="1:11" ht="42" customHeight="1">
      <c r="A3199" s="4" t="s">
        <v>8114</v>
      </c>
      <c r="B3199" s="5" t="s">
        <v>8115</v>
      </c>
      <c r="C3199" s="5" t="s">
        <v>42</v>
      </c>
      <c r="D3199" s="5" t="s">
        <v>43</v>
      </c>
      <c r="E3199" s="5" t="s">
        <v>44</v>
      </c>
      <c r="F3199" s="9">
        <v>99</v>
      </c>
      <c r="G3199" s="9" t="s">
        <v>222</v>
      </c>
      <c r="H3199" s="5" t="s">
        <v>21</v>
      </c>
      <c r="I3199" s="5" t="s">
        <v>8117</v>
      </c>
      <c r="J3199" s="12" t="str">
        <f>HYPERLINK("https://www.boe.es/gazeta/dias/1802/12/07/pdfs/GMD-D-1802-99.pdf#page=5","Abrir facsímil")</f>
        <v>Abrir facsímil</v>
      </c>
      <c r="K3199" s="15" t="s">
        <v>23</v>
      </c>
    </row>
    <row r="3200" spans="1:11" ht="42" customHeight="1">
      <c r="A3200" s="4" t="s">
        <v>8118</v>
      </c>
      <c r="B3200" s="5" t="s">
        <v>8119</v>
      </c>
      <c r="C3200" s="5" t="s">
        <v>42</v>
      </c>
      <c r="D3200" s="5" t="s">
        <v>43</v>
      </c>
      <c r="E3200" s="5" t="s">
        <v>44</v>
      </c>
      <c r="F3200" s="9">
        <v>99</v>
      </c>
      <c r="G3200" s="9" t="s">
        <v>45</v>
      </c>
      <c r="H3200" s="5" t="s">
        <v>21</v>
      </c>
      <c r="I3200" s="5" t="s">
        <v>8120</v>
      </c>
      <c r="J3200" s="12" t="str">
        <f>HYPERLINK("https://www.boe.es/gazeta/dias/1802/12/07/pdfs/GMD-D-1802-99.pdf#page=14","Abrir facsímil")</f>
        <v>Abrir facsímil</v>
      </c>
      <c r="K3200" s="15" t="s">
        <v>23</v>
      </c>
    </row>
    <row r="3201" spans="1:11" ht="42" customHeight="1">
      <c r="A3201" s="4" t="s">
        <v>8121</v>
      </c>
      <c r="B3201" s="5" t="s">
        <v>8122</v>
      </c>
      <c r="C3201" s="5" t="s">
        <v>42</v>
      </c>
      <c r="D3201" s="5" t="s">
        <v>43</v>
      </c>
      <c r="E3201" s="5" t="s">
        <v>44</v>
      </c>
      <c r="F3201" s="9">
        <v>99</v>
      </c>
      <c r="G3201" s="9" t="s">
        <v>554</v>
      </c>
      <c r="H3201" s="5" t="s">
        <v>21</v>
      </c>
      <c r="I3201" s="5" t="s">
        <v>8123</v>
      </c>
      <c r="J3201" s="12" t="str">
        <f>HYPERLINK("https://www.boe.es/gazeta/dias/1802/12/07/pdfs/GMD-D-1802-99.pdf#page=4","Abrir facsímil")</f>
        <v>Abrir facsímil</v>
      </c>
      <c r="K3201" s="15" t="s">
        <v>23</v>
      </c>
    </row>
    <row r="3202" spans="1:11" ht="42" customHeight="1">
      <c r="A3202" s="4" t="s">
        <v>8124</v>
      </c>
      <c r="B3202" s="5" t="s">
        <v>8125</v>
      </c>
      <c r="C3202" s="5" t="s">
        <v>42</v>
      </c>
      <c r="D3202" s="5" t="s">
        <v>43</v>
      </c>
      <c r="E3202" s="5" t="s">
        <v>44</v>
      </c>
      <c r="F3202" s="9">
        <v>99</v>
      </c>
      <c r="G3202" s="9" t="s">
        <v>558</v>
      </c>
      <c r="H3202" s="5" t="s">
        <v>21</v>
      </c>
      <c r="I3202" s="5" t="s">
        <v>8126</v>
      </c>
      <c r="J3202" s="12" t="str">
        <f>HYPERLINK("https://www.boe.es/gazeta/dias/1802/12/07/pdfs/GMD-D-1802-99.pdf#page=1","Abrir facsímil")</f>
        <v>Abrir facsímil</v>
      </c>
      <c r="K3202" s="15" t="s">
        <v>23</v>
      </c>
    </row>
    <row r="3203" spans="1:11" ht="42" customHeight="1">
      <c r="A3203" s="4" t="s">
        <v>8127</v>
      </c>
      <c r="B3203" s="5" t="s">
        <v>8128</v>
      </c>
      <c r="C3203" s="5" t="s">
        <v>42</v>
      </c>
      <c r="D3203" s="5" t="s">
        <v>43</v>
      </c>
      <c r="E3203" s="5" t="s">
        <v>44</v>
      </c>
      <c r="F3203" s="9">
        <v>99</v>
      </c>
      <c r="G3203" s="9" t="s">
        <v>537</v>
      </c>
      <c r="H3203" s="5" t="s">
        <v>21</v>
      </c>
      <c r="I3203" s="5" t="s">
        <v>8129</v>
      </c>
      <c r="J3203" s="12" t="str">
        <f>HYPERLINK("https://www.boe.es/gazeta/dias/1802/12/07/pdfs/GMD-D-1802-99.pdf#page=9","Abrir facsímil")</f>
        <v>Abrir facsímil</v>
      </c>
      <c r="K3203" s="15" t="s">
        <v>23</v>
      </c>
    </row>
    <row r="3204" spans="1:11" ht="42" customHeight="1">
      <c r="A3204" s="4" t="s">
        <v>8130</v>
      </c>
      <c r="B3204" s="5" t="s">
        <v>8131</v>
      </c>
      <c r="C3204" s="5" t="s">
        <v>572</v>
      </c>
      <c r="D3204" s="5" t="s">
        <v>573</v>
      </c>
      <c r="E3204" s="5" t="s">
        <v>574</v>
      </c>
      <c r="F3204" s="9" t="s">
        <v>575</v>
      </c>
      <c r="G3204" s="9">
        <v>714</v>
      </c>
      <c r="H3204" s="5" t="s">
        <v>21</v>
      </c>
      <c r="I3204" s="5" t="s">
        <v>8132</v>
      </c>
      <c r="J3204" s="12" t="str">
        <f>HYPERLINK("https://www.boe.es/gazeta/dias/1802/07/21/pdfs/GMD-1802-59E.pdf#page=10","Abrir facsímil")</f>
        <v>Abrir facsímil</v>
      </c>
      <c r="K3204" s="15" t="s">
        <v>23</v>
      </c>
    </row>
    <row r="3205" spans="1:11" ht="42" customHeight="1">
      <c r="A3205" s="4" t="s">
        <v>8130</v>
      </c>
      <c r="B3205" s="5" t="s">
        <v>8131</v>
      </c>
      <c r="C3205" s="5" t="s">
        <v>42</v>
      </c>
      <c r="D3205" s="5" t="s">
        <v>43</v>
      </c>
      <c r="E3205" s="5" t="s">
        <v>44</v>
      </c>
      <c r="F3205" s="9">
        <v>99</v>
      </c>
      <c r="G3205" s="9" t="s">
        <v>45</v>
      </c>
      <c r="H3205" s="5" t="s">
        <v>21</v>
      </c>
      <c r="I3205" s="5" t="s">
        <v>8133</v>
      </c>
      <c r="J3205" s="12" t="str">
        <f>HYPERLINK("https://www.boe.es/gazeta/dias/1802/12/07/pdfs/GMD-D-1802-99.pdf#page=14","Abrir facsímil")</f>
        <v>Abrir facsímil</v>
      </c>
      <c r="K3205" s="15" t="s">
        <v>23</v>
      </c>
    </row>
    <row r="3206" spans="1:11" ht="42" customHeight="1">
      <c r="A3206" s="4" t="s">
        <v>8130</v>
      </c>
      <c r="B3206" s="5" t="s">
        <v>8131</v>
      </c>
      <c r="C3206" s="5" t="s">
        <v>42</v>
      </c>
      <c r="D3206" s="5" t="s">
        <v>43</v>
      </c>
      <c r="E3206" s="5" t="s">
        <v>44</v>
      </c>
      <c r="F3206" s="9">
        <v>99</v>
      </c>
      <c r="G3206" s="9" t="s">
        <v>78</v>
      </c>
      <c r="H3206" s="5" t="s">
        <v>21</v>
      </c>
      <c r="I3206" s="5" t="s">
        <v>8134</v>
      </c>
      <c r="J3206" s="12" t="str">
        <f>HYPERLINK("https://www.boe.es/gazeta/dias/1802/12/07/pdfs/GMD-D-1802-99.pdf#page=15","Abrir facsímil")</f>
        <v>Abrir facsímil</v>
      </c>
      <c r="K3206" s="15" t="s">
        <v>23</v>
      </c>
    </row>
    <row r="3207" spans="1:11" ht="42" customHeight="1">
      <c r="A3207" s="4" t="s">
        <v>8135</v>
      </c>
      <c r="B3207" s="5" t="s">
        <v>8136</v>
      </c>
      <c r="C3207" s="5" t="s">
        <v>42</v>
      </c>
      <c r="D3207" s="5" t="s">
        <v>43</v>
      </c>
      <c r="E3207" s="5" t="s">
        <v>44</v>
      </c>
      <c r="F3207" s="9">
        <v>99</v>
      </c>
      <c r="G3207" s="9" t="s">
        <v>272</v>
      </c>
      <c r="H3207" s="5" t="s">
        <v>21</v>
      </c>
      <c r="I3207" s="5" t="s">
        <v>8137</v>
      </c>
      <c r="J3207" s="12" t="str">
        <f>HYPERLINK("https://www.boe.es/gazeta/dias/1802/12/07/pdfs/GMD-D-1802-99.pdf#page=3","Abrir facsímil")</f>
        <v>Abrir facsímil</v>
      </c>
      <c r="K3207" s="15" t="s">
        <v>23</v>
      </c>
    </row>
    <row r="3208" spans="1:11" ht="42" customHeight="1">
      <c r="A3208" s="4" t="s">
        <v>8138</v>
      </c>
      <c r="B3208" s="5" t="s">
        <v>8139</v>
      </c>
      <c r="C3208" s="5" t="s">
        <v>160</v>
      </c>
      <c r="D3208" s="5" t="s">
        <v>91</v>
      </c>
      <c r="E3208" s="5" t="s">
        <v>429</v>
      </c>
      <c r="F3208" s="9">
        <v>91</v>
      </c>
      <c r="G3208" s="9">
        <v>1130</v>
      </c>
      <c r="H3208" s="5" t="s">
        <v>21</v>
      </c>
      <c r="I3208" s="5" t="s">
        <v>8140</v>
      </c>
      <c r="J3208" s="12" t="str">
        <f>HYPERLINK("https://www.boe.es/gazeta/dias/1802/11/09/pdfs/GMD-1802-91.pdf#page=10","Abrir facsímil")</f>
        <v>Abrir facsímil</v>
      </c>
      <c r="K3208" s="15" t="s">
        <v>23</v>
      </c>
    </row>
    <row r="3209" spans="1:11" ht="42" customHeight="1">
      <c r="A3209" s="4" t="s">
        <v>8141</v>
      </c>
      <c r="B3209" s="5" t="s">
        <v>8142</v>
      </c>
      <c r="C3209" s="5" t="s">
        <v>18</v>
      </c>
      <c r="D3209" s="5" t="s">
        <v>19</v>
      </c>
      <c r="E3209" s="5" t="s">
        <v>25</v>
      </c>
      <c r="F3209" s="9">
        <v>44</v>
      </c>
      <c r="G3209" s="9">
        <v>533</v>
      </c>
      <c r="H3209" s="5" t="s">
        <v>21</v>
      </c>
      <c r="I3209" s="5" t="s">
        <v>8143</v>
      </c>
      <c r="J3209" s="12" t="str">
        <f>HYPERLINK("https://www.boe.es/gazeta/dias/1802/06/01/pdfs/GMD-1802-44.pdf#page=9","Abrir facsímil")</f>
        <v>Abrir facsímil</v>
      </c>
      <c r="K3209" s="15" t="s">
        <v>23</v>
      </c>
    </row>
    <row r="3210" spans="1:11" ht="42" customHeight="1">
      <c r="A3210" s="4" t="s">
        <v>8144</v>
      </c>
      <c r="B3210" s="5" t="s">
        <v>8145</v>
      </c>
      <c r="C3210" s="5" t="s">
        <v>18</v>
      </c>
      <c r="D3210" s="5" t="s">
        <v>19</v>
      </c>
      <c r="E3210" s="5" t="s">
        <v>20</v>
      </c>
      <c r="F3210" s="9">
        <v>84</v>
      </c>
      <c r="G3210" s="9">
        <v>1039</v>
      </c>
      <c r="H3210" s="5" t="s">
        <v>21</v>
      </c>
      <c r="I3210" s="5" t="s">
        <v>8146</v>
      </c>
      <c r="J3210" s="12" t="str">
        <f>HYPERLINK("https://www.boe.es/gazeta/dias/1802/10/15/pdfs/GMD-1802-84.pdf#page=7","Abrir facsímil")</f>
        <v>Abrir facsímil</v>
      </c>
      <c r="K3210" s="15" t="s">
        <v>23</v>
      </c>
    </row>
    <row r="3211" spans="1:11" ht="42" customHeight="1">
      <c r="A3211" s="4" t="s">
        <v>8147</v>
      </c>
      <c r="B3211" s="5" t="s">
        <v>8148</v>
      </c>
      <c r="C3211" s="5" t="s">
        <v>29</v>
      </c>
      <c r="D3211" s="5" t="s">
        <v>30</v>
      </c>
      <c r="E3211" s="5" t="s">
        <v>299</v>
      </c>
      <c r="F3211" s="9">
        <v>19</v>
      </c>
      <c r="G3211" s="9">
        <v>210</v>
      </c>
      <c r="H3211" s="5" t="s">
        <v>21</v>
      </c>
      <c r="I3211" s="5" t="s">
        <v>8149</v>
      </c>
      <c r="J3211" s="12" t="str">
        <f>HYPERLINK("https://www.boe.es/gazeta/dias/1802/03/05/pdfs/GMD-1802-19.pdf#page=10","Abrir facsímil")</f>
        <v>Abrir facsímil</v>
      </c>
      <c r="K3211" s="15" t="s">
        <v>23</v>
      </c>
    </row>
    <row r="3212" spans="1:11" ht="42" customHeight="1">
      <c r="A3212" s="4" t="s">
        <v>8150</v>
      </c>
      <c r="B3212" s="5" t="s">
        <v>8151</v>
      </c>
      <c r="C3212" s="5" t="s">
        <v>90</v>
      </c>
      <c r="D3212" s="5" t="s">
        <v>91</v>
      </c>
      <c r="E3212" s="5" t="s">
        <v>710</v>
      </c>
      <c r="F3212" s="9">
        <v>85</v>
      </c>
      <c r="G3212" s="9">
        <v>1059</v>
      </c>
      <c r="H3212" s="5" t="s">
        <v>21</v>
      </c>
      <c r="I3212" s="5" t="s">
        <v>8152</v>
      </c>
      <c r="J3212" s="12" t="str">
        <f>HYPERLINK("https://www.boe.es/gazeta/dias/1802/10/19/pdfs/GMD-1802-85.pdf#page=11","Abrir facsímil")</f>
        <v>Abrir facsímil</v>
      </c>
      <c r="K3212" s="15" t="s">
        <v>23</v>
      </c>
    </row>
    <row r="3213" spans="1:11" ht="42" customHeight="1">
      <c r="A3213" s="4" t="s">
        <v>8150</v>
      </c>
      <c r="B3213" s="5" t="s">
        <v>8151</v>
      </c>
      <c r="C3213" s="5" t="s">
        <v>42</v>
      </c>
      <c r="D3213" s="5" t="s">
        <v>43</v>
      </c>
      <c r="E3213" s="5" t="s">
        <v>44</v>
      </c>
      <c r="F3213" s="9">
        <v>99</v>
      </c>
      <c r="G3213" s="9" t="s">
        <v>322</v>
      </c>
      <c r="H3213" s="5" t="s">
        <v>21</v>
      </c>
      <c r="I3213" s="5" t="s">
        <v>8153</v>
      </c>
      <c r="J3213" s="12" t="str">
        <f>HYPERLINK("https://www.boe.es/gazeta/dias/1802/12/07/pdfs/GMD-D-1802-99.pdf#page=10","Abrir facsímil")</f>
        <v>Abrir facsímil</v>
      </c>
      <c r="K3213" s="15" t="s">
        <v>23</v>
      </c>
    </row>
    <row r="3214" spans="1:11" ht="42" customHeight="1">
      <c r="A3214" s="4" t="s">
        <v>8150</v>
      </c>
      <c r="B3214" s="5" t="s">
        <v>8151</v>
      </c>
      <c r="C3214" s="5" t="s">
        <v>42</v>
      </c>
      <c r="D3214" s="5" t="s">
        <v>43</v>
      </c>
      <c r="E3214" s="5" t="s">
        <v>44</v>
      </c>
      <c r="F3214" s="9">
        <v>99</v>
      </c>
      <c r="G3214" s="9" t="s">
        <v>222</v>
      </c>
      <c r="H3214" s="5" t="s">
        <v>21</v>
      </c>
      <c r="I3214" s="5" t="s">
        <v>8154</v>
      </c>
      <c r="J3214" s="12" t="str">
        <f>HYPERLINK("https://www.boe.es/gazeta/dias/1802/12/07/pdfs/GMD-D-1802-99.pdf#page=5","Abrir facsímil")</f>
        <v>Abrir facsímil</v>
      </c>
      <c r="K3214" s="15" t="s">
        <v>23</v>
      </c>
    </row>
    <row r="3215" spans="1:11" ht="42" customHeight="1">
      <c r="A3215" s="4" t="s">
        <v>8155</v>
      </c>
      <c r="B3215" s="5" t="s">
        <v>8156</v>
      </c>
      <c r="C3215" s="5" t="s">
        <v>160</v>
      </c>
      <c r="D3215" s="5" t="s">
        <v>91</v>
      </c>
      <c r="E3215" s="5" t="s">
        <v>206</v>
      </c>
      <c r="F3215" s="9">
        <v>22</v>
      </c>
      <c r="G3215" s="9">
        <v>251</v>
      </c>
      <c r="H3215" s="5" t="s">
        <v>21</v>
      </c>
      <c r="I3215" s="5" t="s">
        <v>8157</v>
      </c>
      <c r="J3215" s="12" t="str">
        <f>HYPERLINK("https://www.boe.es/gazeta/dias/1802/03/16/pdfs/GMD-C-1802-22.pdf#page=7","Abrir facsímil")</f>
        <v>Abrir facsímil</v>
      </c>
      <c r="K3215" s="15" t="s">
        <v>23</v>
      </c>
    </row>
    <row r="3216" spans="1:11" ht="42" customHeight="1">
      <c r="A3216" s="4" t="s">
        <v>8155</v>
      </c>
      <c r="B3216" s="5" t="s">
        <v>8156</v>
      </c>
      <c r="C3216" s="5" t="s">
        <v>160</v>
      </c>
      <c r="D3216" s="5" t="s">
        <v>91</v>
      </c>
      <c r="E3216" s="5" t="s">
        <v>655</v>
      </c>
      <c r="F3216" s="9">
        <v>46</v>
      </c>
      <c r="G3216" s="9">
        <v>561</v>
      </c>
      <c r="H3216" s="5" t="s">
        <v>21</v>
      </c>
      <c r="I3216" s="5" t="s">
        <v>8158</v>
      </c>
      <c r="J3216" s="12" t="str">
        <f>HYPERLINK("https://www.boe.es/gazeta/dias/1802/06/08/pdfs/GMD-1802-46.pdf#page=13","Abrir facsímil")</f>
        <v>Abrir facsímil</v>
      </c>
      <c r="K3216" s="15" t="s">
        <v>23</v>
      </c>
    </row>
    <row r="3217" spans="1:11" ht="42" customHeight="1">
      <c r="A3217" s="4" t="s">
        <v>8159</v>
      </c>
      <c r="B3217" s="5" t="s">
        <v>8160</v>
      </c>
      <c r="C3217" s="5" t="s">
        <v>18</v>
      </c>
      <c r="D3217" s="5" t="s">
        <v>19</v>
      </c>
      <c r="E3217" s="5" t="s">
        <v>517</v>
      </c>
      <c r="F3217" s="9">
        <v>61</v>
      </c>
      <c r="G3217" s="9">
        <v>739</v>
      </c>
      <c r="H3217" s="5" t="s">
        <v>21</v>
      </c>
      <c r="I3217" s="5" t="s">
        <v>8161</v>
      </c>
      <c r="J3217" s="12" t="str">
        <f>HYPERLINK("https://www.boe.es/gazeta/dias/1802/07/27/pdfs/GMD-1802-61.pdf#page=7","Abrir facsímil")</f>
        <v>Abrir facsímil</v>
      </c>
      <c r="K3217" s="15" t="s">
        <v>23</v>
      </c>
    </row>
    <row r="3218" spans="1:11" ht="42" customHeight="1">
      <c r="A3218" s="4" t="s">
        <v>8162</v>
      </c>
      <c r="B3218" s="5" t="s">
        <v>8163</v>
      </c>
      <c r="C3218" s="5" t="s">
        <v>29</v>
      </c>
      <c r="D3218" s="5" t="s">
        <v>30</v>
      </c>
      <c r="E3218" s="5" t="s">
        <v>678</v>
      </c>
      <c r="F3218" s="9">
        <v>15</v>
      </c>
      <c r="G3218" s="9">
        <v>158</v>
      </c>
      <c r="H3218" s="5" t="s">
        <v>21</v>
      </c>
      <c r="I3218" s="5" t="s">
        <v>8164</v>
      </c>
      <c r="J3218" s="12" t="str">
        <f>HYPERLINK("https://www.boe.es/gazeta/dias/1802/02/19/pdfs/GMD-1802-15.pdf#page=10","Abrir facsímil")</f>
        <v>Abrir facsímil</v>
      </c>
      <c r="K3218" s="15" t="s">
        <v>23</v>
      </c>
    </row>
    <row r="3219" spans="1:11" ht="42" customHeight="1">
      <c r="A3219" s="4" t="s">
        <v>8162</v>
      </c>
      <c r="B3219" s="5" t="s">
        <v>8163</v>
      </c>
      <c r="C3219" s="5" t="s">
        <v>42</v>
      </c>
      <c r="D3219" s="5" t="s">
        <v>43</v>
      </c>
      <c r="E3219" s="5" t="s">
        <v>44</v>
      </c>
      <c r="F3219" s="9">
        <v>99</v>
      </c>
      <c r="G3219" s="9" t="s">
        <v>295</v>
      </c>
      <c r="H3219" s="5" t="s">
        <v>21</v>
      </c>
      <c r="I3219" s="5" t="s">
        <v>8165</v>
      </c>
      <c r="J3219" s="12" t="str">
        <f>HYPERLINK("https://www.boe.es/gazeta/dias/1802/12/07/pdfs/GMD-D-1802-99.pdf#page=7","Abrir facsímil")</f>
        <v>Abrir facsímil</v>
      </c>
      <c r="K3219" s="15" t="s">
        <v>23</v>
      </c>
    </row>
    <row r="3220" spans="1:11" ht="42" customHeight="1">
      <c r="A3220" s="4" t="s">
        <v>8166</v>
      </c>
      <c r="B3220" s="5" t="s">
        <v>8167</v>
      </c>
      <c r="C3220" s="5" t="s">
        <v>42</v>
      </c>
      <c r="D3220" s="5" t="s">
        <v>43</v>
      </c>
      <c r="E3220" s="5" t="s">
        <v>44</v>
      </c>
      <c r="F3220" s="9">
        <v>99</v>
      </c>
      <c r="G3220" s="9" t="s">
        <v>558</v>
      </c>
      <c r="H3220" s="5" t="s">
        <v>21</v>
      </c>
      <c r="I3220" s="5" t="s">
        <v>8168</v>
      </c>
      <c r="J3220" s="12" t="str">
        <f>HYPERLINK("https://www.boe.es/gazeta/dias/1802/12/07/pdfs/GMD-D-1802-99.pdf#page=1","Abrir facsímil")</f>
        <v>Abrir facsímil</v>
      </c>
      <c r="K3220" s="15" t="s">
        <v>23</v>
      </c>
    </row>
    <row r="3221" spans="1:11" ht="42" customHeight="1">
      <c r="A3221" s="4" t="s">
        <v>8169</v>
      </c>
      <c r="B3221" s="5" t="s">
        <v>8170</v>
      </c>
      <c r="C3221" s="5" t="s">
        <v>42</v>
      </c>
      <c r="D3221" s="5" t="s">
        <v>43</v>
      </c>
      <c r="E3221" s="5" t="s">
        <v>44</v>
      </c>
      <c r="F3221" s="9">
        <v>99</v>
      </c>
      <c r="G3221" s="9" t="s">
        <v>537</v>
      </c>
      <c r="H3221" s="5" t="s">
        <v>21</v>
      </c>
      <c r="I3221" s="5" t="s">
        <v>8171</v>
      </c>
      <c r="J3221" s="12" t="str">
        <f>HYPERLINK("https://www.boe.es/gazeta/dias/1802/12/07/pdfs/GMD-D-1802-99.pdf#page=9","Abrir facsímil")</f>
        <v>Abrir facsímil</v>
      </c>
      <c r="K3221" s="15" t="s">
        <v>23</v>
      </c>
    </row>
    <row r="3222" spans="1:11" ht="42" customHeight="1">
      <c r="A3222" s="4" t="s">
        <v>8172</v>
      </c>
      <c r="B3222" s="5" t="s">
        <v>8173</v>
      </c>
      <c r="C3222" s="5" t="s">
        <v>29</v>
      </c>
      <c r="D3222" s="5" t="s">
        <v>30</v>
      </c>
      <c r="E3222" s="5" t="s">
        <v>92</v>
      </c>
      <c r="F3222" s="9">
        <v>29</v>
      </c>
      <c r="G3222" s="9">
        <v>342</v>
      </c>
      <c r="H3222" s="5" t="s">
        <v>21</v>
      </c>
      <c r="I3222" s="5" t="s">
        <v>8174</v>
      </c>
      <c r="J3222" s="12" t="str">
        <f>HYPERLINK("https://www.boe.es/gazeta/dias/1802/04/09/pdfs/GMD-1802-29.pdf#page=10","Abrir facsímil")</f>
        <v>Abrir facsímil</v>
      </c>
      <c r="K3222" s="15" t="s">
        <v>23</v>
      </c>
    </row>
    <row r="3223" spans="1:11" ht="42" customHeight="1">
      <c r="A3223" s="4" t="s">
        <v>8172</v>
      </c>
      <c r="B3223" s="5" t="s">
        <v>8173</v>
      </c>
      <c r="C3223" s="5" t="s">
        <v>42</v>
      </c>
      <c r="D3223" s="5" t="s">
        <v>43</v>
      </c>
      <c r="E3223" s="5" t="s">
        <v>44</v>
      </c>
      <c r="F3223" s="9">
        <v>99</v>
      </c>
      <c r="G3223" s="9" t="s">
        <v>550</v>
      </c>
      <c r="H3223" s="5" t="s">
        <v>21</v>
      </c>
      <c r="I3223" s="5" t="s">
        <v>8175</v>
      </c>
      <c r="J3223" s="12" t="str">
        <f>HYPERLINK("https://www.boe.es/gazeta/dias/1802/12/07/pdfs/GMD-D-1802-99.pdf#page=16","Abrir facsímil")</f>
        <v>Abrir facsímil</v>
      </c>
      <c r="K3223" s="15" t="s">
        <v>23</v>
      </c>
    </row>
    <row r="3224" spans="1:11" ht="42" customHeight="1">
      <c r="A3224" s="4" t="s">
        <v>8176</v>
      </c>
      <c r="B3224" s="5" t="s">
        <v>8177</v>
      </c>
      <c r="C3224" s="5" t="s">
        <v>18</v>
      </c>
      <c r="D3224" s="5" t="s">
        <v>19</v>
      </c>
      <c r="E3224" s="5" t="s">
        <v>20</v>
      </c>
      <c r="F3224" s="9">
        <v>84</v>
      </c>
      <c r="G3224" s="9">
        <v>1046</v>
      </c>
      <c r="H3224" s="5" t="s">
        <v>21</v>
      </c>
      <c r="I3224" s="5" t="s">
        <v>8178</v>
      </c>
      <c r="J3224" s="12" t="str">
        <f>HYPERLINK("https://www.boe.es/gazeta/dias/1802/10/15/pdfs/GMD-1802-84.pdf#page=14","Abrir facsímil")</f>
        <v>Abrir facsímil</v>
      </c>
      <c r="K3224" s="15" t="s">
        <v>23</v>
      </c>
    </row>
    <row r="3225" spans="1:11" ht="42" customHeight="1">
      <c r="A3225" s="4" t="s">
        <v>8179</v>
      </c>
      <c r="B3225" s="5" t="s">
        <v>8180</v>
      </c>
      <c r="C3225" s="5" t="s">
        <v>42</v>
      </c>
      <c r="D3225" s="5" t="s">
        <v>43</v>
      </c>
      <c r="E3225" s="5" t="s">
        <v>44</v>
      </c>
      <c r="F3225" s="9">
        <v>99</v>
      </c>
      <c r="G3225" s="9" t="s">
        <v>251</v>
      </c>
      <c r="H3225" s="5" t="s">
        <v>21</v>
      </c>
      <c r="I3225" s="5" t="s">
        <v>8181</v>
      </c>
      <c r="J3225" s="12" t="str">
        <f>HYPERLINK("https://www.boe.es/gazeta/dias/1802/12/07/pdfs/GMD-D-1802-99.pdf#page=6","Abrir facsímil")</f>
        <v>Abrir facsímil</v>
      </c>
      <c r="K3225" s="15" t="s">
        <v>23</v>
      </c>
    </row>
    <row r="3226" spans="1:11" ht="42" customHeight="1">
      <c r="A3226" s="4" t="s">
        <v>8179</v>
      </c>
      <c r="B3226" s="5" t="s">
        <v>8180</v>
      </c>
      <c r="C3226" s="5" t="s">
        <v>42</v>
      </c>
      <c r="D3226" s="5" t="s">
        <v>43</v>
      </c>
      <c r="E3226" s="5" t="s">
        <v>44</v>
      </c>
      <c r="F3226" s="9">
        <v>99</v>
      </c>
      <c r="G3226" s="9" t="s">
        <v>537</v>
      </c>
      <c r="H3226" s="5" t="s">
        <v>21</v>
      </c>
      <c r="I3226" s="5" t="s">
        <v>8182</v>
      </c>
      <c r="J3226" s="12" t="str">
        <f>HYPERLINK("https://www.boe.es/gazeta/dias/1802/12/07/pdfs/GMD-D-1802-99.pdf#page=9","Abrir facsímil")</f>
        <v>Abrir facsímil</v>
      </c>
      <c r="K3226" s="15" t="s">
        <v>23</v>
      </c>
    </row>
    <row r="3227" spans="1:11" ht="42" customHeight="1">
      <c r="A3227" s="4" t="s">
        <v>8183</v>
      </c>
      <c r="B3227" s="5" t="s">
        <v>8184</v>
      </c>
      <c r="C3227" s="5" t="s">
        <v>18</v>
      </c>
      <c r="D3227" s="5" t="s">
        <v>19</v>
      </c>
      <c r="E3227" s="5" t="s">
        <v>49</v>
      </c>
      <c r="F3227" s="9">
        <v>83</v>
      </c>
      <c r="G3227" s="9">
        <v>1027</v>
      </c>
      <c r="H3227" s="5" t="s">
        <v>21</v>
      </c>
      <c r="I3227" s="5" t="s">
        <v>8185</v>
      </c>
      <c r="J3227" s="12" t="str">
        <f>HYPERLINK("https://www.boe.es/gazeta/dias/1802/10/12/pdfs/GMD-1802-83.pdf#page=15","Abrir facsímil")</f>
        <v>Abrir facsímil</v>
      </c>
      <c r="K3227" s="15" t="s">
        <v>23</v>
      </c>
    </row>
    <row r="3228" spans="1:11" ht="42" customHeight="1">
      <c r="A3228" s="4" t="s">
        <v>8183</v>
      </c>
      <c r="B3228" s="5" t="s">
        <v>8184</v>
      </c>
      <c r="C3228" s="5" t="s">
        <v>42</v>
      </c>
      <c r="D3228" s="5" t="s">
        <v>43</v>
      </c>
      <c r="E3228" s="5" t="s">
        <v>44</v>
      </c>
      <c r="F3228" s="9">
        <v>99</v>
      </c>
      <c r="G3228" s="9" t="s">
        <v>272</v>
      </c>
      <c r="H3228" s="5" t="s">
        <v>21</v>
      </c>
      <c r="I3228" s="5" t="s">
        <v>8186</v>
      </c>
      <c r="J3228" s="12" t="str">
        <f>HYPERLINK("https://www.boe.es/gazeta/dias/1802/12/07/pdfs/GMD-D-1802-99.pdf#page=3","Abrir facsímil")</f>
        <v>Abrir facsímil</v>
      </c>
      <c r="K3228" s="15" t="s">
        <v>23</v>
      </c>
    </row>
    <row r="3229" spans="1:11" ht="42" customHeight="1">
      <c r="A3229" s="4" t="s">
        <v>8183</v>
      </c>
      <c r="B3229" s="5" t="s">
        <v>8184</v>
      </c>
      <c r="C3229" s="5" t="s">
        <v>42</v>
      </c>
      <c r="D3229" s="5" t="s">
        <v>43</v>
      </c>
      <c r="E3229" s="5" t="s">
        <v>44</v>
      </c>
      <c r="F3229" s="9">
        <v>99</v>
      </c>
      <c r="G3229" s="9" t="s">
        <v>222</v>
      </c>
      <c r="H3229" s="5" t="s">
        <v>21</v>
      </c>
      <c r="I3229" s="5" t="s">
        <v>8187</v>
      </c>
      <c r="J3229" s="12" t="str">
        <f>HYPERLINK("https://www.boe.es/gazeta/dias/1802/12/07/pdfs/GMD-D-1802-99.pdf#page=5","Abrir facsímil")</f>
        <v>Abrir facsímil</v>
      </c>
      <c r="K3229" s="15" t="s">
        <v>23</v>
      </c>
    </row>
    <row r="3230" spans="1:11" ht="42" customHeight="1">
      <c r="A3230" s="4" t="s">
        <v>8188</v>
      </c>
      <c r="B3230" s="5" t="s">
        <v>8189</v>
      </c>
      <c r="C3230" s="5" t="s">
        <v>29</v>
      </c>
      <c r="D3230" s="5" t="s">
        <v>30</v>
      </c>
      <c r="E3230" s="5" t="s">
        <v>49</v>
      </c>
      <c r="F3230" s="9">
        <v>83</v>
      </c>
      <c r="G3230" s="9">
        <v>1020</v>
      </c>
      <c r="H3230" s="5" t="s">
        <v>21</v>
      </c>
      <c r="I3230" s="5" t="s">
        <v>8190</v>
      </c>
      <c r="J3230" s="12" t="str">
        <f>HYPERLINK("https://www.boe.es/gazeta/dias/1802/10/12/pdfs/GMD-1802-83.pdf#page=8","Abrir facsímil")</f>
        <v>Abrir facsímil</v>
      </c>
      <c r="K3230" s="15" t="s">
        <v>23</v>
      </c>
    </row>
    <row r="3231" spans="1:11" ht="42" customHeight="1">
      <c r="A3231" s="4" t="s">
        <v>8191</v>
      </c>
      <c r="B3231" s="5" t="s">
        <v>8192</v>
      </c>
      <c r="C3231" s="5" t="s">
        <v>29</v>
      </c>
      <c r="D3231" s="5" t="s">
        <v>30</v>
      </c>
      <c r="E3231" s="5" t="s">
        <v>175</v>
      </c>
      <c r="F3231" s="9">
        <v>37</v>
      </c>
      <c r="G3231" s="9">
        <v>442</v>
      </c>
      <c r="H3231" s="5" t="s">
        <v>21</v>
      </c>
      <c r="I3231" s="5" t="s">
        <v>8193</v>
      </c>
      <c r="J3231" s="12" t="str">
        <f>HYPERLINK("https://www.boe.es/gazeta/dias/1802/05/07/pdfs/GMD-1802-37.pdf#page=10","Abrir facsímil")</f>
        <v>Abrir facsímil</v>
      </c>
      <c r="K3231" s="15" t="s">
        <v>23</v>
      </c>
    </row>
    <row r="3232" spans="1:11" ht="42" customHeight="1">
      <c r="A3232" s="4" t="s">
        <v>8194</v>
      </c>
      <c r="B3232" s="5" t="s">
        <v>8195</v>
      </c>
      <c r="C3232" s="5" t="s">
        <v>90</v>
      </c>
      <c r="D3232" s="5" t="s">
        <v>91</v>
      </c>
      <c r="E3232" s="5" t="s">
        <v>481</v>
      </c>
      <c r="F3232" s="9">
        <v>79</v>
      </c>
      <c r="G3232" s="9">
        <v>974</v>
      </c>
      <c r="H3232" s="5" t="s">
        <v>21</v>
      </c>
      <c r="I3232" s="5" t="s">
        <v>8196</v>
      </c>
      <c r="J3232" s="12" t="str">
        <f>HYPERLINK("https://www.boe.es/gazeta/dias/1802/09/28/pdfs/GMD-1802-79.pdf#page=10","Abrir facsímil")</f>
        <v>Abrir facsímil</v>
      </c>
      <c r="K3232" s="15" t="s">
        <v>23</v>
      </c>
    </row>
    <row r="3233" spans="1:11" ht="42" customHeight="1">
      <c r="A3233" s="4" t="s">
        <v>8197</v>
      </c>
      <c r="B3233" s="5" t="s">
        <v>8198</v>
      </c>
      <c r="C3233" s="5" t="s">
        <v>42</v>
      </c>
      <c r="D3233" s="5" t="s">
        <v>43</v>
      </c>
      <c r="E3233" s="5" t="s">
        <v>44</v>
      </c>
      <c r="F3233" s="9">
        <v>99</v>
      </c>
      <c r="G3233" s="9" t="s">
        <v>78</v>
      </c>
      <c r="H3233" s="5" t="s">
        <v>21</v>
      </c>
      <c r="I3233" s="5" t="s">
        <v>8199</v>
      </c>
      <c r="J3233" s="12" t="str">
        <f>HYPERLINK("https://www.boe.es/gazeta/dias/1802/12/07/pdfs/GMD-D-1802-99.pdf#page=15","Abrir facsímil")</f>
        <v>Abrir facsímil</v>
      </c>
      <c r="K3233" s="15" t="s">
        <v>23</v>
      </c>
    </row>
    <row r="3234" spans="1:11" ht="42" customHeight="1">
      <c r="A3234" s="4" t="s">
        <v>8200</v>
      </c>
      <c r="B3234" s="5" t="s">
        <v>8201</v>
      </c>
      <c r="C3234" s="5" t="s">
        <v>18</v>
      </c>
      <c r="D3234" s="5" t="s">
        <v>19</v>
      </c>
      <c r="E3234" s="5" t="s">
        <v>635</v>
      </c>
      <c r="F3234" s="9">
        <v>47</v>
      </c>
      <c r="G3234" s="9">
        <v>575</v>
      </c>
      <c r="H3234" s="5" t="s">
        <v>21</v>
      </c>
      <c r="I3234" s="5" t="s">
        <v>8202</v>
      </c>
      <c r="J3234" s="12" t="str">
        <f>HYPERLINK("https://www.boe.es/gazeta/dias/1802/06/11/pdfs/GMD-1802-47.pdf#page=11","Abrir facsímil")</f>
        <v>Abrir facsímil</v>
      </c>
      <c r="K3234" s="15" t="s">
        <v>23</v>
      </c>
    </row>
    <row r="3235" spans="1:11" ht="42" customHeight="1">
      <c r="A3235" s="4" t="s">
        <v>8203</v>
      </c>
      <c r="B3235" s="5" t="s">
        <v>8204</v>
      </c>
      <c r="C3235" s="5" t="s">
        <v>42</v>
      </c>
      <c r="D3235" s="5" t="s">
        <v>43</v>
      </c>
      <c r="E3235" s="5" t="s">
        <v>44</v>
      </c>
      <c r="F3235" s="9">
        <v>99</v>
      </c>
      <c r="G3235" s="9" t="s">
        <v>295</v>
      </c>
      <c r="H3235" s="5" t="s">
        <v>21</v>
      </c>
      <c r="I3235" s="5" t="s">
        <v>8205</v>
      </c>
      <c r="J3235" s="12" t="str">
        <f>HYPERLINK("https://www.boe.es/gazeta/dias/1802/12/07/pdfs/GMD-D-1802-99.pdf#page=7","Abrir facsímil")</f>
        <v>Abrir facsímil</v>
      </c>
      <c r="K3235" s="15" t="s">
        <v>23</v>
      </c>
    </row>
    <row r="3236" spans="1:11" ht="42" customHeight="1">
      <c r="A3236" s="4" t="s">
        <v>8206</v>
      </c>
      <c r="B3236" s="5" t="s">
        <v>8207</v>
      </c>
      <c r="C3236" s="5" t="s">
        <v>160</v>
      </c>
      <c r="D3236" s="5" t="s">
        <v>91</v>
      </c>
      <c r="E3236" s="5" t="s">
        <v>292</v>
      </c>
      <c r="F3236" s="9">
        <v>62</v>
      </c>
      <c r="G3236" s="9">
        <v>752</v>
      </c>
      <c r="H3236" s="5" t="s">
        <v>21</v>
      </c>
      <c r="I3236" s="5" t="s">
        <v>8208</v>
      </c>
      <c r="J3236" s="12" t="str">
        <f>HYPERLINK("https://www.boe.es/gazeta/dias/1802/07/30/pdfs/GMD-1802-62.pdf#page=8","Abrir facsímil")</f>
        <v>Abrir facsímil</v>
      </c>
      <c r="K3236" s="15" t="s">
        <v>23</v>
      </c>
    </row>
    <row r="3237" spans="1:11" ht="42" customHeight="1">
      <c r="A3237" s="4" t="s">
        <v>8209</v>
      </c>
      <c r="B3237" s="5" t="s">
        <v>8210</v>
      </c>
      <c r="C3237" s="5" t="s">
        <v>18</v>
      </c>
      <c r="D3237" s="5" t="s">
        <v>19</v>
      </c>
      <c r="E3237" s="5" t="s">
        <v>49</v>
      </c>
      <c r="F3237" s="9">
        <v>83</v>
      </c>
      <c r="G3237" s="9">
        <v>1022</v>
      </c>
      <c r="H3237" s="5" t="s">
        <v>21</v>
      </c>
      <c r="I3237" s="5" t="s">
        <v>8211</v>
      </c>
      <c r="J3237" s="12" t="str">
        <f>HYPERLINK("https://www.boe.es/gazeta/dias/1802/10/12/pdfs/GMD-1802-83.pdf#page=10","Abrir facsímil")</f>
        <v>Abrir facsímil</v>
      </c>
      <c r="K3237" s="15" t="s">
        <v>23</v>
      </c>
    </row>
    <row r="3238" spans="1:11" ht="42" customHeight="1">
      <c r="A3238" s="4" t="s">
        <v>8212</v>
      </c>
      <c r="B3238" s="5" t="s">
        <v>8212</v>
      </c>
      <c r="C3238" s="5" t="s">
        <v>35</v>
      </c>
      <c r="D3238" s="5" t="s">
        <v>36</v>
      </c>
      <c r="E3238" s="5" t="s">
        <v>49</v>
      </c>
      <c r="F3238" s="9">
        <v>83</v>
      </c>
      <c r="G3238" s="9">
        <v>1013</v>
      </c>
      <c r="H3238" s="5" t="s">
        <v>21</v>
      </c>
      <c r="I3238" s="5" t="s">
        <v>8213</v>
      </c>
      <c r="J3238" s="12" t="str">
        <f>HYPERLINK("https://www.boe.es/gazeta/dias/1802/10/12/pdfs/GMD-1802-83.pdf#page=1","Abrir facsímil")</f>
        <v>Abrir facsímil</v>
      </c>
      <c r="K3238" s="15" t="s">
        <v>23</v>
      </c>
    </row>
    <row r="3239" spans="1:11" ht="42" customHeight="1">
      <c r="A3239" s="4" t="s">
        <v>8214</v>
      </c>
      <c r="B3239" s="5" t="s">
        <v>8214</v>
      </c>
      <c r="C3239" s="5" t="s">
        <v>35</v>
      </c>
      <c r="D3239" s="5" t="s">
        <v>36</v>
      </c>
      <c r="E3239" s="5" t="s">
        <v>57</v>
      </c>
      <c r="F3239" s="9">
        <v>54</v>
      </c>
      <c r="G3239" s="9">
        <v>653</v>
      </c>
      <c r="H3239" s="5" t="s">
        <v>21</v>
      </c>
      <c r="I3239" s="5" t="s">
        <v>8215</v>
      </c>
      <c r="J3239" s="12" t="str">
        <f>HYPERLINK("https://www.boe.es/gazeta/dias/1802/07/06/pdfs/GMD-1802-54.pdf#page=9","Abrir facsímil")</f>
        <v>Abrir facsímil</v>
      </c>
      <c r="K3239" s="15" t="s">
        <v>23</v>
      </c>
    </row>
    <row r="3240" spans="1:11" ht="42" customHeight="1">
      <c r="A3240" s="4" t="s">
        <v>8216</v>
      </c>
      <c r="B3240" s="5" t="s">
        <v>8217</v>
      </c>
      <c r="C3240" s="5" t="s">
        <v>35</v>
      </c>
      <c r="D3240" s="5" t="s">
        <v>36</v>
      </c>
      <c r="E3240" s="5" t="s">
        <v>148</v>
      </c>
      <c r="F3240" s="9">
        <v>66</v>
      </c>
      <c r="G3240" s="9">
        <v>799</v>
      </c>
      <c r="H3240" s="5" t="s">
        <v>21</v>
      </c>
      <c r="I3240" s="5" t="s">
        <v>8218</v>
      </c>
      <c r="J3240" s="12" t="str">
        <f>HYPERLINK("https://www.boe.es/gazeta/dias/1802/08/13/pdfs/GMD-1802-66.pdf#page=3","Abrir facsímil")</f>
        <v>Abrir facsímil</v>
      </c>
      <c r="K3240" s="15" t="s">
        <v>23</v>
      </c>
    </row>
    <row r="3241" spans="1:11" ht="42" customHeight="1">
      <c r="A3241" s="4" t="s">
        <v>8219</v>
      </c>
      <c r="B3241" s="5" t="s">
        <v>8219</v>
      </c>
      <c r="C3241" s="5" t="s">
        <v>18</v>
      </c>
      <c r="D3241" s="5" t="s">
        <v>19</v>
      </c>
      <c r="E3241" s="5" t="s">
        <v>20</v>
      </c>
      <c r="F3241" s="9">
        <v>84</v>
      </c>
      <c r="G3241" s="9">
        <v>1044</v>
      </c>
      <c r="H3241" s="5" t="s">
        <v>21</v>
      </c>
      <c r="I3241" s="5" t="s">
        <v>8220</v>
      </c>
      <c r="J3241" s="12" t="str">
        <f>HYPERLINK("https://www.boe.es/gazeta/dias/1802/10/15/pdfs/GMD-1802-84.pdf#page=12","Abrir facsímil")</f>
        <v>Abrir facsímil</v>
      </c>
      <c r="K3241" s="15" t="s">
        <v>23</v>
      </c>
    </row>
    <row r="3242" spans="1:11" ht="42" customHeight="1">
      <c r="A3242" s="4" t="s">
        <v>8221</v>
      </c>
      <c r="B3242" s="5" t="s">
        <v>8222</v>
      </c>
      <c r="C3242" s="5" t="s">
        <v>35</v>
      </c>
      <c r="D3242" s="5" t="s">
        <v>36</v>
      </c>
      <c r="E3242" s="5" t="s">
        <v>148</v>
      </c>
      <c r="F3242" s="9">
        <v>66</v>
      </c>
      <c r="G3242" s="9">
        <v>799</v>
      </c>
      <c r="H3242" s="5" t="s">
        <v>21</v>
      </c>
      <c r="I3242" s="5" t="s">
        <v>8223</v>
      </c>
      <c r="J3242" s="12" t="str">
        <f>HYPERLINK("https://www.boe.es/gazeta/dias/1802/08/13/pdfs/GMD-1802-66.pdf#page=3","Abrir facsímil")</f>
        <v>Abrir facsímil</v>
      </c>
      <c r="K3242" s="15" t="s">
        <v>23</v>
      </c>
    </row>
    <row r="3243" spans="1:11" ht="42" customHeight="1">
      <c r="A3243" s="4" t="s">
        <v>8221</v>
      </c>
      <c r="B3243" s="5" t="s">
        <v>8222</v>
      </c>
      <c r="C3243" s="5" t="s">
        <v>35</v>
      </c>
      <c r="D3243" s="5" t="s">
        <v>36</v>
      </c>
      <c r="E3243" s="5" t="s">
        <v>1289</v>
      </c>
      <c r="F3243" s="9">
        <v>72</v>
      </c>
      <c r="G3243" s="9">
        <v>882</v>
      </c>
      <c r="H3243" s="5" t="s">
        <v>21</v>
      </c>
      <c r="I3243" s="5" t="s">
        <v>8224</v>
      </c>
      <c r="J3243" s="12" t="str">
        <f>HYPERLINK("https://www.boe.es/gazeta/dias/1802/09/03/pdfs/GMD-1802-72.pdf#page=2","Abrir facsímil")</f>
        <v>Abrir facsímil</v>
      </c>
      <c r="K3243" s="15" t="s">
        <v>23</v>
      </c>
    </row>
    <row r="3244" spans="1:11" ht="42" customHeight="1">
      <c r="A3244" s="4" t="s">
        <v>8225</v>
      </c>
      <c r="B3244" s="5" t="s">
        <v>8225</v>
      </c>
      <c r="C3244" s="5" t="s">
        <v>35</v>
      </c>
      <c r="D3244" s="5" t="s">
        <v>36</v>
      </c>
      <c r="E3244" s="5" t="s">
        <v>339</v>
      </c>
      <c r="F3244" s="9">
        <v>39</v>
      </c>
      <c r="G3244" s="9">
        <v>460</v>
      </c>
      <c r="H3244" s="5" t="s">
        <v>21</v>
      </c>
      <c r="I3244" s="5" t="s">
        <v>8226</v>
      </c>
      <c r="J3244" s="12" t="str">
        <f>HYPERLINK("https://www.boe.es/gazeta/dias/1802/05/14/pdfs/GMD-1802-39.pdf#page=4","Abrir facsímil")</f>
        <v>Abrir facsímil</v>
      </c>
      <c r="K3244" s="15" t="s">
        <v>23</v>
      </c>
    </row>
    <row r="3245" spans="1:11" ht="42" customHeight="1">
      <c r="A3245" s="4" t="s">
        <v>8225</v>
      </c>
      <c r="B3245" s="5" t="s">
        <v>8225</v>
      </c>
      <c r="C3245" s="5" t="s">
        <v>29</v>
      </c>
      <c r="D3245" s="5" t="s">
        <v>30</v>
      </c>
      <c r="E3245" s="5" t="s">
        <v>517</v>
      </c>
      <c r="F3245" s="9">
        <v>61</v>
      </c>
      <c r="G3245" s="9">
        <v>736</v>
      </c>
      <c r="H3245" s="5" t="s">
        <v>21</v>
      </c>
      <c r="I3245" s="5" t="s">
        <v>8227</v>
      </c>
      <c r="J3245" s="12" t="str">
        <f>HYPERLINK("https://www.boe.es/gazeta/dias/1802/07/27/pdfs/GMD-1802-61.pdf#page=4","Abrir facsímil")</f>
        <v>Abrir facsímil</v>
      </c>
      <c r="K3245" s="15" t="s">
        <v>23</v>
      </c>
    </row>
    <row r="3246" spans="1:11" ht="42" customHeight="1">
      <c r="A3246" s="4" t="s">
        <v>8228</v>
      </c>
      <c r="B3246" s="5" t="s">
        <v>8229</v>
      </c>
      <c r="C3246" s="5" t="s">
        <v>29</v>
      </c>
      <c r="D3246" s="5" t="s">
        <v>30</v>
      </c>
      <c r="E3246" s="5" t="s">
        <v>1332</v>
      </c>
      <c r="F3246" s="9">
        <v>4</v>
      </c>
      <c r="G3246" s="9">
        <v>38</v>
      </c>
      <c r="H3246" s="5" t="s">
        <v>21</v>
      </c>
      <c r="I3246" s="5" t="s">
        <v>8230</v>
      </c>
      <c r="J3246" s="12" t="str">
        <f>HYPERLINK("https://www.boe.es/gazeta/dias/1802/01/12/pdfs/GMD-1802-4.pdf#page=10","Abrir facsímil")</f>
        <v>Abrir facsímil</v>
      </c>
      <c r="K3246" s="15" t="s">
        <v>23</v>
      </c>
    </row>
    <row r="3247" spans="1:11" ht="42" customHeight="1">
      <c r="A3247" s="4" t="s">
        <v>8231</v>
      </c>
      <c r="B3247" s="5" t="s">
        <v>8232</v>
      </c>
      <c r="C3247" s="5" t="s">
        <v>55</v>
      </c>
      <c r="D3247" s="5" t="s">
        <v>56</v>
      </c>
      <c r="E3247" s="5" t="s">
        <v>642</v>
      </c>
      <c r="F3247" s="9">
        <v>51</v>
      </c>
      <c r="G3247" s="9">
        <v>624</v>
      </c>
      <c r="H3247" s="5" t="s">
        <v>21</v>
      </c>
      <c r="I3247" s="5" t="s">
        <v>8233</v>
      </c>
      <c r="J3247" s="12" t="str">
        <f>HYPERLINK("https://www.boe.es/gazeta/dias/1802/06/25/pdfs/GMD-1802-51.pdf#page=12","Abrir facsímil")</f>
        <v>Abrir facsímil</v>
      </c>
      <c r="K3247" s="15" t="s">
        <v>23</v>
      </c>
    </row>
    <row r="3248" spans="1:11" ht="42" customHeight="1">
      <c r="A3248" s="4" t="s">
        <v>8234</v>
      </c>
      <c r="B3248" s="5" t="s">
        <v>8235</v>
      </c>
      <c r="C3248" s="5" t="s">
        <v>55</v>
      </c>
      <c r="D3248" s="5" t="s">
        <v>56</v>
      </c>
      <c r="E3248" s="5" t="s">
        <v>31</v>
      </c>
      <c r="F3248" s="9">
        <v>27</v>
      </c>
      <c r="G3248" s="9">
        <v>320</v>
      </c>
      <c r="H3248" s="5" t="s">
        <v>21</v>
      </c>
      <c r="I3248" s="5" t="s">
        <v>8236</v>
      </c>
      <c r="J3248" s="12" t="str">
        <f>HYPERLINK("https://www.boe.es/gazeta/dias/1802/04/02/pdfs/GMD-1802-27.pdf#page=16","Abrir facsímil")</f>
        <v>Abrir facsímil</v>
      </c>
      <c r="K3248" s="15" t="s">
        <v>23</v>
      </c>
    </row>
    <row r="3249" spans="1:11" ht="42" customHeight="1">
      <c r="A3249" s="4" t="s">
        <v>8237</v>
      </c>
      <c r="B3249" s="5" t="s">
        <v>8238</v>
      </c>
      <c r="C3249" s="5" t="s">
        <v>29</v>
      </c>
      <c r="D3249" s="5" t="s">
        <v>30</v>
      </c>
      <c r="E3249" s="5" t="s">
        <v>299</v>
      </c>
      <c r="F3249" s="9">
        <v>19</v>
      </c>
      <c r="G3249" s="9">
        <v>211</v>
      </c>
      <c r="H3249" s="5" t="s">
        <v>21</v>
      </c>
      <c r="I3249" s="5" t="s">
        <v>8239</v>
      </c>
      <c r="J3249" s="12" t="str">
        <f>HYPERLINK("https://www.boe.es/gazeta/dias/1802/03/05/pdfs/GMD-1802-19.pdf#page=11","Abrir facsímil")</f>
        <v>Abrir facsímil</v>
      </c>
      <c r="K3249" s="15" t="s">
        <v>23</v>
      </c>
    </row>
    <row r="3250" spans="1:11" ht="42" customHeight="1">
      <c r="A3250" s="4" t="s">
        <v>8240</v>
      </c>
      <c r="B3250" s="5" t="s">
        <v>8241</v>
      </c>
      <c r="C3250" s="5" t="s">
        <v>18</v>
      </c>
      <c r="D3250" s="5" t="s">
        <v>19</v>
      </c>
      <c r="E3250" s="5" t="s">
        <v>206</v>
      </c>
      <c r="F3250" s="9">
        <v>22</v>
      </c>
      <c r="G3250" s="9">
        <v>240</v>
      </c>
      <c r="H3250" s="5" t="s">
        <v>21</v>
      </c>
      <c r="I3250" s="5" t="s">
        <v>8242</v>
      </c>
      <c r="J3250" s="12" t="str">
        <f>HYPERLINK("https://www.boe.es/gazeta/dias/1802/03/16/pdfs/GMD-1802-22.pdf#page=8","Abrir facsímil")</f>
        <v>Abrir facsímil</v>
      </c>
      <c r="K3250" s="15" t="s">
        <v>23</v>
      </c>
    </row>
    <row r="3251" spans="1:11" ht="42" customHeight="1">
      <c r="A3251" s="4" t="s">
        <v>8243</v>
      </c>
      <c r="B3251" s="5" t="s">
        <v>8244</v>
      </c>
      <c r="C3251" s="5" t="s">
        <v>18</v>
      </c>
      <c r="D3251" s="5" t="s">
        <v>19</v>
      </c>
      <c r="E3251" s="5" t="s">
        <v>635</v>
      </c>
      <c r="F3251" s="9">
        <v>47</v>
      </c>
      <c r="G3251" s="9">
        <v>567</v>
      </c>
      <c r="H3251" s="5" t="s">
        <v>21</v>
      </c>
      <c r="I3251" s="5" t="s">
        <v>8245</v>
      </c>
      <c r="J3251" s="12" t="str">
        <f>HYPERLINK("https://www.boe.es/gazeta/dias/1802/06/11/pdfs/GMD-1802-47.pdf#page=3","Abrir facsímil")</f>
        <v>Abrir facsímil</v>
      </c>
      <c r="K3251" s="15" t="s">
        <v>23</v>
      </c>
    </row>
    <row r="3252" spans="1:11" ht="42" customHeight="1">
      <c r="A3252" s="4" t="s">
        <v>8246</v>
      </c>
      <c r="B3252" s="5" t="s">
        <v>8247</v>
      </c>
      <c r="C3252" s="5" t="s">
        <v>35</v>
      </c>
      <c r="D3252" s="5" t="s">
        <v>36</v>
      </c>
      <c r="E3252" s="5" t="s">
        <v>92</v>
      </c>
      <c r="F3252" s="9">
        <v>29</v>
      </c>
      <c r="G3252" s="9">
        <v>342</v>
      </c>
      <c r="H3252" s="5" t="s">
        <v>21</v>
      </c>
      <c r="I3252" s="5" t="s">
        <v>8248</v>
      </c>
      <c r="J3252" s="12" t="str">
        <f>HYPERLINK("https://www.boe.es/gazeta/dias/1802/04/09/pdfs/GMD-1802-29.pdf#page=10","Abrir facsímil")</f>
        <v>Abrir facsímil</v>
      </c>
      <c r="K3252" s="15" t="s">
        <v>23</v>
      </c>
    </row>
    <row r="3253" spans="1:11" ht="42" customHeight="1">
      <c r="A3253" s="4" t="s">
        <v>8249</v>
      </c>
      <c r="B3253" s="5" t="s">
        <v>8250</v>
      </c>
      <c r="C3253" s="5" t="s">
        <v>29</v>
      </c>
      <c r="D3253" s="5" t="s">
        <v>30</v>
      </c>
      <c r="E3253" s="5" t="s">
        <v>20</v>
      </c>
      <c r="F3253" s="9">
        <v>84</v>
      </c>
      <c r="G3253" s="9">
        <v>1047</v>
      </c>
      <c r="H3253" s="5" t="s">
        <v>21</v>
      </c>
      <c r="I3253" s="5" t="s">
        <v>8251</v>
      </c>
      <c r="J3253" s="12" t="str">
        <f>HYPERLINK("https://www.boe.es/gazeta/dias/1802/10/15/pdfs/GMD-1802-84.pdf#page=15","Abrir facsímil")</f>
        <v>Abrir facsímil</v>
      </c>
      <c r="K3253" s="15" t="s">
        <v>23</v>
      </c>
    </row>
    <row r="3254" spans="1:11" ht="42" customHeight="1">
      <c r="A3254" s="4" t="s">
        <v>8252</v>
      </c>
      <c r="B3254" s="5" t="s">
        <v>8252</v>
      </c>
      <c r="C3254" s="5" t="s">
        <v>18</v>
      </c>
      <c r="D3254" s="5" t="s">
        <v>19</v>
      </c>
      <c r="E3254" s="5" t="s">
        <v>655</v>
      </c>
      <c r="F3254" s="9">
        <v>46</v>
      </c>
      <c r="G3254" s="9">
        <v>557</v>
      </c>
      <c r="H3254" s="5" t="s">
        <v>21</v>
      </c>
      <c r="I3254" s="5" t="s">
        <v>8253</v>
      </c>
      <c r="J3254" s="12" t="str">
        <f>HYPERLINK("https://www.boe.es/gazeta/dias/1802/06/08/pdfs/GMD-1802-46.pdf#page=9","Abrir facsímil")</f>
        <v>Abrir facsímil</v>
      </c>
      <c r="K3254" s="15" t="s">
        <v>23</v>
      </c>
    </row>
    <row r="3255" spans="1:11" ht="42" customHeight="1">
      <c r="A3255" s="4" t="s">
        <v>8254</v>
      </c>
      <c r="B3255" s="5" t="s">
        <v>8255</v>
      </c>
      <c r="C3255" s="5" t="s">
        <v>18</v>
      </c>
      <c r="D3255" s="5" t="s">
        <v>19</v>
      </c>
      <c r="E3255" s="5" t="s">
        <v>20</v>
      </c>
      <c r="F3255" s="9">
        <v>84</v>
      </c>
      <c r="G3255" s="9">
        <v>1040</v>
      </c>
      <c r="H3255" s="5" t="s">
        <v>21</v>
      </c>
      <c r="I3255" s="5" t="s">
        <v>8256</v>
      </c>
      <c r="J3255" s="12" t="str">
        <f>HYPERLINK("https://www.boe.es/gazeta/dias/1802/10/15/pdfs/GMD-1802-84.pdf#page=8","Abrir facsímil")</f>
        <v>Abrir facsímil</v>
      </c>
      <c r="K3255" s="15" t="s">
        <v>23</v>
      </c>
    </row>
    <row r="3256" spans="1:11" ht="42" customHeight="1">
      <c r="A3256" s="4" t="s">
        <v>8257</v>
      </c>
      <c r="B3256" s="5" t="s">
        <v>8258</v>
      </c>
      <c r="C3256" s="5" t="s">
        <v>42</v>
      </c>
      <c r="D3256" s="5" t="s">
        <v>43</v>
      </c>
      <c r="E3256" s="5" t="s">
        <v>44</v>
      </c>
      <c r="F3256" s="9">
        <v>99</v>
      </c>
      <c r="G3256" s="9" t="s">
        <v>779</v>
      </c>
      <c r="H3256" s="5" t="s">
        <v>21</v>
      </c>
      <c r="I3256" s="5" t="s">
        <v>8259</v>
      </c>
      <c r="J3256" s="12" t="str">
        <f>HYPERLINK("https://www.boe.es/gazeta/dias/1802/12/07/pdfs/GMD-D-1802-99.pdf#page=13","Abrir facsímil")</f>
        <v>Abrir facsímil</v>
      </c>
      <c r="K3256" s="15" t="s">
        <v>23</v>
      </c>
    </row>
    <row r="3257" spans="1:11" ht="42" customHeight="1">
      <c r="A3257" s="4" t="s">
        <v>8260</v>
      </c>
      <c r="B3257" s="5" t="s">
        <v>8261</v>
      </c>
      <c r="C3257" s="5" t="s">
        <v>18</v>
      </c>
      <c r="D3257" s="5" t="s">
        <v>19</v>
      </c>
      <c r="E3257" s="5" t="s">
        <v>20</v>
      </c>
      <c r="F3257" s="9">
        <v>84</v>
      </c>
      <c r="G3257" s="9">
        <v>1039</v>
      </c>
      <c r="H3257" s="5" t="s">
        <v>21</v>
      </c>
      <c r="I3257" s="5" t="s">
        <v>8262</v>
      </c>
      <c r="J3257" s="12" t="str">
        <f>HYPERLINK("https://www.boe.es/gazeta/dias/1802/10/15/pdfs/GMD-1802-84.pdf#page=7","Abrir facsímil")</f>
        <v>Abrir facsímil</v>
      </c>
      <c r="K3257" s="15" t="s">
        <v>23</v>
      </c>
    </row>
    <row r="3258" spans="1:11" ht="42" customHeight="1">
      <c r="A3258" s="4" t="s">
        <v>8263</v>
      </c>
      <c r="B3258" s="5" t="s">
        <v>8263</v>
      </c>
      <c r="C3258" s="5" t="s">
        <v>55</v>
      </c>
      <c r="D3258" s="5" t="s">
        <v>56</v>
      </c>
      <c r="E3258" s="5" t="s">
        <v>121</v>
      </c>
      <c r="F3258" s="9">
        <v>87</v>
      </c>
      <c r="G3258" s="9">
        <v>1078</v>
      </c>
      <c r="H3258" s="5" t="s">
        <v>21</v>
      </c>
      <c r="I3258" s="5" t="s">
        <v>8264</v>
      </c>
      <c r="J3258" s="12" t="str">
        <f>HYPERLINK("https://www.boe.es/gazeta/dias/1802/10/26/pdfs/GMD-1802-87.pdf#page=6","Abrir facsímil")</f>
        <v>Abrir facsímil</v>
      </c>
      <c r="K3258" s="15" t="s">
        <v>23</v>
      </c>
    </row>
    <row r="3259" spans="1:11" ht="42" customHeight="1">
      <c r="A3259" s="4" t="s">
        <v>8265</v>
      </c>
      <c r="B3259" s="5" t="s">
        <v>8265</v>
      </c>
      <c r="C3259" s="5" t="s">
        <v>35</v>
      </c>
      <c r="D3259" s="5" t="s">
        <v>36</v>
      </c>
      <c r="E3259" s="5" t="s">
        <v>181</v>
      </c>
      <c r="F3259" s="9">
        <v>55</v>
      </c>
      <c r="G3259" s="9">
        <v>661</v>
      </c>
      <c r="H3259" s="5" t="s">
        <v>21</v>
      </c>
      <c r="I3259" s="5" t="s">
        <v>8266</v>
      </c>
      <c r="J3259" s="12" t="str">
        <f>HYPERLINK("https://www.boe.es/gazeta/dias/1802/07/09/pdfs/GMD-1802-55.pdf#page=5","Abrir facsímil")</f>
        <v>Abrir facsímil</v>
      </c>
      <c r="K3259" s="15" t="s">
        <v>23</v>
      </c>
    </row>
    <row r="3260" spans="1:11" ht="42" customHeight="1">
      <c r="A3260" s="4" t="s">
        <v>8267</v>
      </c>
      <c r="B3260" s="5" t="s">
        <v>8267</v>
      </c>
      <c r="C3260" s="5" t="s">
        <v>29</v>
      </c>
      <c r="D3260" s="5" t="s">
        <v>30</v>
      </c>
      <c r="E3260" s="5" t="s">
        <v>530</v>
      </c>
      <c r="F3260" s="9">
        <v>48</v>
      </c>
      <c r="G3260" s="9">
        <v>578</v>
      </c>
      <c r="H3260" s="5" t="s">
        <v>21</v>
      </c>
      <c r="I3260" s="5" t="s">
        <v>8268</v>
      </c>
      <c r="J3260" s="12" t="str">
        <f>HYPERLINK("https://www.boe.es/gazeta/dias/1802/06/15/pdfs/GMD-1802-48.pdf#page=2","Abrir facsímil")</f>
        <v>Abrir facsímil</v>
      </c>
      <c r="K3260" s="15" t="s">
        <v>23</v>
      </c>
    </row>
    <row r="3261" spans="1:11" ht="42" customHeight="1">
      <c r="A3261" s="4" t="s">
        <v>8269</v>
      </c>
      <c r="B3261" s="5" t="s">
        <v>8270</v>
      </c>
      <c r="C3261" s="5" t="s">
        <v>35</v>
      </c>
      <c r="D3261" s="5" t="s">
        <v>36</v>
      </c>
      <c r="E3261" s="5" t="s">
        <v>339</v>
      </c>
      <c r="F3261" s="9">
        <v>39</v>
      </c>
      <c r="G3261" s="9">
        <v>463</v>
      </c>
      <c r="H3261" s="5" t="s">
        <v>21</v>
      </c>
      <c r="I3261" s="5" t="s">
        <v>8271</v>
      </c>
      <c r="J3261" s="12" t="str">
        <f>HYPERLINK("https://www.boe.es/gazeta/dias/1802/05/14/pdfs/GMD-1802-39.pdf#page=7","Abrir facsímil")</f>
        <v>Abrir facsímil</v>
      </c>
      <c r="K3261" s="15" t="s">
        <v>23</v>
      </c>
    </row>
    <row r="3262" spans="1:11" ht="42" customHeight="1">
      <c r="A3262" s="4" t="s">
        <v>8272</v>
      </c>
      <c r="B3262" s="5" t="s">
        <v>8273</v>
      </c>
      <c r="C3262" s="5" t="s">
        <v>29</v>
      </c>
      <c r="D3262" s="5" t="s">
        <v>30</v>
      </c>
      <c r="E3262" s="5" t="s">
        <v>299</v>
      </c>
      <c r="F3262" s="9">
        <v>19</v>
      </c>
      <c r="G3262" s="9">
        <v>211</v>
      </c>
      <c r="H3262" s="5" t="s">
        <v>21</v>
      </c>
      <c r="I3262" s="5" t="s">
        <v>8274</v>
      </c>
      <c r="J3262" s="12" t="str">
        <f>HYPERLINK("https://www.boe.es/gazeta/dias/1802/03/05/pdfs/GMD-1802-19.pdf#page=11","Abrir facsímil")</f>
        <v>Abrir facsímil</v>
      </c>
      <c r="K3262" s="15" t="s">
        <v>23</v>
      </c>
    </row>
    <row r="3263" spans="1:11" ht="42" customHeight="1">
      <c r="A3263" s="4" t="s">
        <v>8275</v>
      </c>
      <c r="B3263" s="5" t="s">
        <v>8276</v>
      </c>
      <c r="C3263" s="5" t="s">
        <v>42</v>
      </c>
      <c r="D3263" s="5" t="s">
        <v>43</v>
      </c>
      <c r="E3263" s="5" t="s">
        <v>44</v>
      </c>
      <c r="F3263" s="9">
        <v>99</v>
      </c>
      <c r="G3263" s="9" t="s">
        <v>779</v>
      </c>
      <c r="H3263" s="5" t="s">
        <v>21</v>
      </c>
      <c r="I3263" s="5" t="s">
        <v>8277</v>
      </c>
      <c r="J3263" s="12" t="str">
        <f>HYPERLINK("https://www.boe.es/gazeta/dias/1802/12/07/pdfs/GMD-D-1802-99.pdf#page=13","Abrir facsímil")</f>
        <v>Abrir facsímil</v>
      </c>
      <c r="K3263" s="15" t="s">
        <v>23</v>
      </c>
    </row>
    <row r="3264" spans="1:11" ht="42" customHeight="1">
      <c r="A3264" s="4" t="s">
        <v>8278</v>
      </c>
      <c r="B3264" s="5" t="s">
        <v>8278</v>
      </c>
      <c r="C3264" s="5" t="s">
        <v>18</v>
      </c>
      <c r="D3264" s="5" t="s">
        <v>19</v>
      </c>
      <c r="E3264" s="5" t="s">
        <v>20</v>
      </c>
      <c r="F3264" s="9">
        <v>84</v>
      </c>
      <c r="G3264" s="9">
        <v>1044</v>
      </c>
      <c r="H3264" s="5" t="s">
        <v>21</v>
      </c>
      <c r="I3264" s="5" t="s">
        <v>8279</v>
      </c>
      <c r="J3264" s="12" t="str">
        <f>HYPERLINK("https://www.boe.es/gazeta/dias/1802/10/15/pdfs/GMD-1802-84.pdf#page=12","Abrir facsímil")</f>
        <v>Abrir facsímil</v>
      </c>
      <c r="K3264" s="15" t="s">
        <v>23</v>
      </c>
    </row>
    <row r="3265" spans="1:11" ht="42" customHeight="1">
      <c r="A3265" s="4" t="s">
        <v>8280</v>
      </c>
      <c r="B3265" s="5" t="s">
        <v>8280</v>
      </c>
      <c r="C3265" s="5" t="s">
        <v>29</v>
      </c>
      <c r="D3265" s="5" t="s">
        <v>30</v>
      </c>
      <c r="E3265" s="5" t="s">
        <v>590</v>
      </c>
      <c r="F3265" s="9">
        <v>38</v>
      </c>
      <c r="G3265" s="9">
        <v>454</v>
      </c>
      <c r="H3265" s="5" t="s">
        <v>21</v>
      </c>
      <c r="I3265" s="5" t="s">
        <v>8281</v>
      </c>
      <c r="J3265" s="12" t="str">
        <f>HYPERLINK("https://www.boe.es/gazeta/dias/1802/05/11/pdfs/GMD-1802-38.pdf#page=10","Abrir facsímil")</f>
        <v>Abrir facsímil</v>
      </c>
      <c r="K3265" s="15" t="s">
        <v>23</v>
      </c>
    </row>
    <row r="3266" spans="1:11" ht="42" customHeight="1">
      <c r="A3266" s="4" t="s">
        <v>8282</v>
      </c>
      <c r="B3266" s="5" t="s">
        <v>8282</v>
      </c>
      <c r="C3266" s="5" t="s">
        <v>42</v>
      </c>
      <c r="D3266" s="5" t="s">
        <v>43</v>
      </c>
      <c r="E3266" s="5" t="s">
        <v>44</v>
      </c>
      <c r="F3266" s="9">
        <v>99</v>
      </c>
      <c r="G3266" s="9" t="s">
        <v>322</v>
      </c>
      <c r="H3266" s="5" t="s">
        <v>21</v>
      </c>
      <c r="I3266" s="5" t="s">
        <v>8283</v>
      </c>
      <c r="J3266" s="12" t="str">
        <f>HYPERLINK("https://www.boe.es/gazeta/dias/1802/12/07/pdfs/GMD-D-1802-99.pdf#page=10","Abrir facsímil")</f>
        <v>Abrir facsímil</v>
      </c>
      <c r="K3266" s="15" t="s">
        <v>23</v>
      </c>
    </row>
    <row r="3267" spans="1:11" ht="42" customHeight="1">
      <c r="A3267" s="4" t="s">
        <v>8284</v>
      </c>
      <c r="B3267" s="5" t="s">
        <v>8284</v>
      </c>
      <c r="C3267" s="5" t="s">
        <v>35</v>
      </c>
      <c r="D3267" s="5" t="s">
        <v>36</v>
      </c>
      <c r="E3267" s="5" t="s">
        <v>148</v>
      </c>
      <c r="F3267" s="9">
        <v>66</v>
      </c>
      <c r="G3267" s="9">
        <v>806</v>
      </c>
      <c r="H3267" s="5" t="s">
        <v>21</v>
      </c>
      <c r="I3267" s="5" t="s">
        <v>8285</v>
      </c>
      <c r="J3267" s="12" t="str">
        <f>HYPERLINK("https://www.boe.es/gazeta/dias/1802/08/13/pdfs/GMD-1802-66.pdf#page=10","Abrir facsímil")</f>
        <v>Abrir facsímil</v>
      </c>
      <c r="K3267" s="15" t="s">
        <v>23</v>
      </c>
    </row>
    <row r="3268" spans="1:11" ht="42" customHeight="1">
      <c r="A3268" s="4" t="s">
        <v>8286</v>
      </c>
      <c r="B3268" s="5" t="s">
        <v>8287</v>
      </c>
      <c r="C3268" s="5" t="s">
        <v>35</v>
      </c>
      <c r="D3268" s="5" t="s">
        <v>36</v>
      </c>
      <c r="E3268" s="5" t="s">
        <v>148</v>
      </c>
      <c r="F3268" s="9">
        <v>66</v>
      </c>
      <c r="G3268" s="9">
        <v>808</v>
      </c>
      <c r="H3268" s="5" t="s">
        <v>21</v>
      </c>
      <c r="I3268" s="5" t="s">
        <v>8288</v>
      </c>
      <c r="J3268" s="12" t="str">
        <f>HYPERLINK("https://www.boe.es/gazeta/dias/1802/08/13/pdfs/GMD-1802-66.pdf#page=12","Abrir facsímil")</f>
        <v>Abrir facsímil</v>
      </c>
      <c r="K3268" s="15" t="s">
        <v>23</v>
      </c>
    </row>
    <row r="3269" spans="1:11" ht="42" customHeight="1">
      <c r="A3269" s="4" t="s">
        <v>8289</v>
      </c>
      <c r="B3269" s="5" t="s">
        <v>8290</v>
      </c>
      <c r="C3269" s="5" t="s">
        <v>18</v>
      </c>
      <c r="D3269" s="5" t="s">
        <v>19</v>
      </c>
      <c r="E3269" s="5" t="s">
        <v>826</v>
      </c>
      <c r="F3269" s="9">
        <v>67</v>
      </c>
      <c r="G3269" s="9">
        <v>819</v>
      </c>
      <c r="H3269" s="5" t="s">
        <v>21</v>
      </c>
      <c r="I3269" s="5" t="s">
        <v>8291</v>
      </c>
      <c r="J3269" s="12" t="str">
        <f>HYPERLINK("https://www.boe.es/gazeta/dias/1802/08/17/pdfs/GMD-1802-67.pdf#page=7","Abrir facsímil")</f>
        <v>Abrir facsímil</v>
      </c>
      <c r="K3269" s="15" t="s">
        <v>23</v>
      </c>
    </row>
    <row r="3270" spans="1:11" ht="42" customHeight="1">
      <c r="A3270" s="4" t="s">
        <v>8292</v>
      </c>
      <c r="B3270" s="5" t="s">
        <v>8292</v>
      </c>
      <c r="C3270" s="5" t="s">
        <v>35</v>
      </c>
      <c r="D3270" s="5" t="s">
        <v>36</v>
      </c>
      <c r="E3270" s="5" t="s">
        <v>443</v>
      </c>
      <c r="F3270" s="9">
        <v>78</v>
      </c>
      <c r="G3270" s="9">
        <v>955</v>
      </c>
      <c r="H3270" s="5" t="s">
        <v>21</v>
      </c>
      <c r="I3270" s="5" t="s">
        <v>8293</v>
      </c>
      <c r="J3270" s="12" t="str">
        <f>HYPERLINK("https://www.boe.es/gazeta/dias/1802/09/24/pdfs/GMD-1802-78.pdf#page=3","Abrir facsímil")</f>
        <v>Abrir facsímil</v>
      </c>
      <c r="K3270" s="15" t="s">
        <v>23</v>
      </c>
    </row>
    <row r="3271" spans="1:11" ht="42" customHeight="1">
      <c r="A3271" s="4" t="s">
        <v>8294</v>
      </c>
      <c r="B3271" s="5" t="s">
        <v>8295</v>
      </c>
      <c r="C3271" s="5" t="s">
        <v>35</v>
      </c>
      <c r="D3271" s="5" t="s">
        <v>36</v>
      </c>
      <c r="E3271" s="5" t="s">
        <v>706</v>
      </c>
      <c r="F3271" s="9">
        <v>80</v>
      </c>
      <c r="G3271" s="9">
        <v>977</v>
      </c>
      <c r="H3271" s="5" t="s">
        <v>21</v>
      </c>
      <c r="I3271" s="5" t="s">
        <v>8296</v>
      </c>
      <c r="J3271" s="12" t="str">
        <f>HYPERLINK("https://www.boe.es/gazeta/dias/1802/10/01/pdfs/GMD-1802-80.pdf#page=1","Abrir facsímil")</f>
        <v>Abrir facsímil</v>
      </c>
      <c r="K3271" s="15" t="s">
        <v>23</v>
      </c>
    </row>
    <row r="3272" spans="1:11" ht="42" customHeight="1">
      <c r="A3272" s="4" t="s">
        <v>8297</v>
      </c>
      <c r="B3272" s="5" t="s">
        <v>8298</v>
      </c>
      <c r="C3272" s="5" t="s">
        <v>29</v>
      </c>
      <c r="D3272" s="5" t="s">
        <v>30</v>
      </c>
      <c r="E3272" s="5" t="s">
        <v>1185</v>
      </c>
      <c r="F3272" s="9">
        <v>93</v>
      </c>
      <c r="G3272" s="9">
        <v>1144</v>
      </c>
      <c r="H3272" s="5" t="s">
        <v>21</v>
      </c>
      <c r="I3272" s="5" t="s">
        <v>8299</v>
      </c>
      <c r="J3272" s="12" t="str">
        <f>HYPERLINK("https://www.boe.es/gazeta/dias/1802/11/16/pdfs/GMD-1802-93.pdf#page=4","Abrir facsímil")</f>
        <v>Abrir facsímil</v>
      </c>
      <c r="K3272" s="15" t="s">
        <v>23</v>
      </c>
    </row>
    <row r="3273" spans="1:11" ht="42" customHeight="1">
      <c r="A3273" s="4" t="s">
        <v>8300</v>
      </c>
      <c r="B3273" s="5" t="s">
        <v>8301</v>
      </c>
      <c r="C3273" s="5" t="s">
        <v>160</v>
      </c>
      <c r="D3273" s="5" t="s">
        <v>91</v>
      </c>
      <c r="E3273" s="5" t="s">
        <v>60</v>
      </c>
      <c r="F3273" s="9">
        <v>5</v>
      </c>
      <c r="G3273" s="9">
        <v>51</v>
      </c>
      <c r="H3273" s="5" t="s">
        <v>21</v>
      </c>
      <c r="I3273" s="5" t="s">
        <v>8302</v>
      </c>
      <c r="J3273" s="12" t="str">
        <f>HYPERLINK("https://www.boe.es/gazeta/dias/1802/01/15/pdfs/GMD-1802-5.pdf#page=7","Abrir facsímil")</f>
        <v>Abrir facsímil</v>
      </c>
      <c r="K3273" s="15" t="s">
        <v>23</v>
      </c>
    </row>
    <row r="3274" spans="1:11" ht="42" customHeight="1">
      <c r="A3274" s="4" t="s">
        <v>8303</v>
      </c>
      <c r="B3274" s="5" t="s">
        <v>8303</v>
      </c>
      <c r="C3274" s="5" t="s">
        <v>35</v>
      </c>
      <c r="D3274" s="5" t="s">
        <v>36</v>
      </c>
      <c r="E3274" s="5" t="s">
        <v>37</v>
      </c>
      <c r="F3274" s="9">
        <v>106</v>
      </c>
      <c r="G3274" s="9">
        <v>1290</v>
      </c>
      <c r="H3274" s="5" t="s">
        <v>21</v>
      </c>
      <c r="I3274" s="5" t="s">
        <v>8304</v>
      </c>
      <c r="J3274" s="12" t="str">
        <f>HYPERLINK("https://www.boe.es/gazeta/dias/1802/12/31/pdfs/GMD-1802-106.pdf#page=2","Abrir facsímil")</f>
        <v>Abrir facsímil</v>
      </c>
      <c r="K3274" s="15" t="s">
        <v>23</v>
      </c>
    </row>
    <row r="3275" spans="1:11" ht="42" customHeight="1">
      <c r="A3275" s="4" t="s">
        <v>8305</v>
      </c>
      <c r="B3275" s="5" t="s">
        <v>8305</v>
      </c>
      <c r="C3275" s="5" t="s">
        <v>55</v>
      </c>
      <c r="D3275" s="5" t="s">
        <v>56</v>
      </c>
      <c r="E3275" s="5" t="s">
        <v>881</v>
      </c>
      <c r="F3275" s="9">
        <v>65</v>
      </c>
      <c r="G3275" s="9">
        <v>794</v>
      </c>
      <c r="H3275" s="5" t="s">
        <v>21</v>
      </c>
      <c r="I3275" s="5" t="s">
        <v>8306</v>
      </c>
      <c r="J3275" s="12" t="str">
        <f>HYPERLINK("https://www.boe.es/gazeta/dias/1802/08/10/pdfs/GMD-1802-65.pdf#page=10","Abrir facsímil")</f>
        <v>Abrir facsímil</v>
      </c>
      <c r="K3275" s="15" t="s">
        <v>23</v>
      </c>
    </row>
    <row r="3276" spans="1:11" ht="42" customHeight="1">
      <c r="A3276" s="4" t="s">
        <v>8307</v>
      </c>
      <c r="B3276" s="5" t="s">
        <v>8308</v>
      </c>
      <c r="C3276" s="5" t="s">
        <v>29</v>
      </c>
      <c r="D3276" s="5" t="s">
        <v>30</v>
      </c>
      <c r="E3276" s="5" t="s">
        <v>99</v>
      </c>
      <c r="F3276" s="9">
        <v>86</v>
      </c>
      <c r="G3276" s="9">
        <v>1068</v>
      </c>
      <c r="H3276" s="5" t="s">
        <v>21</v>
      </c>
      <c r="I3276" s="5" t="s">
        <v>8309</v>
      </c>
      <c r="J3276" s="12" t="str">
        <f>HYPERLINK("https://www.boe.es/gazeta/dias/1802/10/22/pdfs/GMD-1802-86.pdf#page=8","Abrir facsímil")</f>
        <v>Abrir facsímil</v>
      </c>
      <c r="K3276" s="15" t="s">
        <v>23</v>
      </c>
    </row>
    <row r="3277" spans="1:11" ht="42" customHeight="1">
      <c r="A3277" s="4" t="s">
        <v>8310</v>
      </c>
      <c r="B3277" s="5" t="s">
        <v>8311</v>
      </c>
      <c r="C3277" s="5" t="s">
        <v>18</v>
      </c>
      <c r="D3277" s="5" t="s">
        <v>19</v>
      </c>
      <c r="E3277" s="5" t="s">
        <v>49</v>
      </c>
      <c r="F3277" s="9">
        <v>83</v>
      </c>
      <c r="G3277" s="9">
        <v>1022</v>
      </c>
      <c r="H3277" s="5" t="s">
        <v>21</v>
      </c>
      <c r="I3277" s="5" t="s">
        <v>8312</v>
      </c>
      <c r="J3277" s="12" t="str">
        <f>HYPERLINK("https://www.boe.es/gazeta/dias/1802/10/12/pdfs/GMD-1802-83.pdf#page=10","Abrir facsímil")</f>
        <v>Abrir facsímil</v>
      </c>
      <c r="K3277" s="15" t="s">
        <v>23</v>
      </c>
    </row>
    <row r="3278" spans="1:11" ht="42" customHeight="1">
      <c r="A3278" s="4" t="s">
        <v>8313</v>
      </c>
      <c r="B3278" s="5" t="s">
        <v>8313</v>
      </c>
      <c r="C3278" s="5" t="s">
        <v>18</v>
      </c>
      <c r="D3278" s="5" t="s">
        <v>19</v>
      </c>
      <c r="E3278" s="5" t="s">
        <v>1959</v>
      </c>
      <c r="F3278" s="9">
        <v>34</v>
      </c>
      <c r="G3278" s="9">
        <v>391</v>
      </c>
      <c r="H3278" s="5" t="s">
        <v>21</v>
      </c>
      <c r="I3278" s="5" t="s">
        <v>8314</v>
      </c>
      <c r="J3278" s="12" t="str">
        <f>HYPERLINK("https://www.boe.es/gazeta/dias/1802/04/27/pdfs/GMD-1802-34.pdf#page=3","Abrir facsímil")</f>
        <v>Abrir facsímil</v>
      </c>
      <c r="K3278" s="15" t="s">
        <v>23</v>
      </c>
    </row>
    <row r="3279" spans="1:11" ht="42" customHeight="1">
      <c r="A3279" s="4" t="s">
        <v>8315</v>
      </c>
      <c r="B3279" s="5" t="s">
        <v>8315</v>
      </c>
      <c r="C3279" s="5" t="s">
        <v>29</v>
      </c>
      <c r="D3279" s="5" t="s">
        <v>30</v>
      </c>
      <c r="E3279" s="5" t="s">
        <v>258</v>
      </c>
      <c r="F3279" s="9">
        <v>63</v>
      </c>
      <c r="G3279" s="9">
        <v>770</v>
      </c>
      <c r="H3279" s="5" t="s">
        <v>21</v>
      </c>
      <c r="I3279" s="5" t="s">
        <v>8316</v>
      </c>
      <c r="J3279" s="12" t="str">
        <f>HYPERLINK("https://www.boe.es/gazeta/dias/1802/08/03/pdfs/GMD-1802-63.pdf#page=10","Abrir facsímil")</f>
        <v>Abrir facsímil</v>
      </c>
      <c r="K3279" s="15" t="s">
        <v>23</v>
      </c>
    </row>
    <row r="3280" spans="1:11" ht="42" customHeight="1">
      <c r="A3280" s="4" t="s">
        <v>8317</v>
      </c>
      <c r="B3280" s="5" t="s">
        <v>8318</v>
      </c>
      <c r="C3280" s="5" t="s">
        <v>160</v>
      </c>
      <c r="D3280" s="5" t="s">
        <v>91</v>
      </c>
      <c r="E3280" s="5" t="s">
        <v>749</v>
      </c>
      <c r="F3280" s="9">
        <v>97</v>
      </c>
      <c r="G3280" s="9">
        <v>1202</v>
      </c>
      <c r="H3280" s="5" t="s">
        <v>21</v>
      </c>
      <c r="I3280" s="5" t="s">
        <v>8319</v>
      </c>
      <c r="J3280" s="12" t="str">
        <f>HYPERLINK("https://www.boe.es/gazeta/dias/1802/11/30/pdfs/GMD-1802-97.pdf#page=10","Abrir facsímil")</f>
        <v>Abrir facsímil</v>
      </c>
      <c r="K3280" s="15" t="s">
        <v>23</v>
      </c>
    </row>
    <row r="3281" spans="1:11" ht="42" customHeight="1">
      <c r="A3281" s="4" t="s">
        <v>8320</v>
      </c>
      <c r="B3281" s="5" t="s">
        <v>8321</v>
      </c>
      <c r="C3281" s="5" t="s">
        <v>90</v>
      </c>
      <c r="D3281" s="5" t="s">
        <v>91</v>
      </c>
      <c r="E3281" s="5" t="s">
        <v>574</v>
      </c>
      <c r="F3281" s="9" t="s">
        <v>575</v>
      </c>
      <c r="G3281" s="9">
        <v>706</v>
      </c>
      <c r="H3281" s="5" t="s">
        <v>21</v>
      </c>
      <c r="I3281" s="5" t="s">
        <v>8322</v>
      </c>
      <c r="J3281" s="12" t="str">
        <f>HYPERLINK("https://www.boe.es/gazeta/dias/1802/07/21/pdfs/GMD-1802-59E.pdf#page=2","Abrir facsímil")</f>
        <v>Abrir facsímil</v>
      </c>
      <c r="K3281" s="15" t="s">
        <v>23</v>
      </c>
    </row>
    <row r="3282" spans="1:11" ht="42" customHeight="1">
      <c r="A3282" s="4" t="s">
        <v>8323</v>
      </c>
      <c r="B3282" s="5" t="s">
        <v>8324</v>
      </c>
      <c r="C3282" s="5" t="s">
        <v>90</v>
      </c>
      <c r="D3282" s="5" t="s">
        <v>91</v>
      </c>
      <c r="E3282" s="5" t="s">
        <v>574</v>
      </c>
      <c r="F3282" s="9" t="s">
        <v>575</v>
      </c>
      <c r="G3282" s="9">
        <v>711</v>
      </c>
      <c r="H3282" s="5" t="s">
        <v>21</v>
      </c>
      <c r="I3282" s="5" t="s">
        <v>8325</v>
      </c>
      <c r="J3282" s="12" t="str">
        <f>HYPERLINK("https://www.boe.es/gazeta/dias/1802/07/21/pdfs/GMD-1802-59E.pdf#page=7","Abrir facsímil")</f>
        <v>Abrir facsímil</v>
      </c>
      <c r="K3282" s="15" t="s">
        <v>23</v>
      </c>
    </row>
    <row r="3283" spans="1:11" ht="42" customHeight="1">
      <c r="A3283" s="4" t="s">
        <v>8326</v>
      </c>
      <c r="B3283" s="5" t="s">
        <v>8327</v>
      </c>
      <c r="C3283" s="5" t="s">
        <v>18</v>
      </c>
      <c r="D3283" s="5" t="s">
        <v>19</v>
      </c>
      <c r="E3283" s="5" t="s">
        <v>49</v>
      </c>
      <c r="F3283" s="9">
        <v>83</v>
      </c>
      <c r="G3283" s="9">
        <v>1022</v>
      </c>
      <c r="H3283" s="5" t="s">
        <v>21</v>
      </c>
      <c r="I3283" s="5" t="s">
        <v>8328</v>
      </c>
      <c r="J3283" s="12" t="str">
        <f>HYPERLINK("https://www.boe.es/gazeta/dias/1802/10/12/pdfs/GMD-1802-83.pdf#page=10","Abrir facsímil")</f>
        <v>Abrir facsímil</v>
      </c>
      <c r="K3283" s="15" t="s">
        <v>23</v>
      </c>
    </row>
    <row r="3284" spans="1:11" ht="42" customHeight="1">
      <c r="A3284" s="4" t="s">
        <v>8329</v>
      </c>
      <c r="B3284" s="5" t="s">
        <v>8330</v>
      </c>
      <c r="C3284" s="5" t="s">
        <v>35</v>
      </c>
      <c r="D3284" s="5" t="s">
        <v>36</v>
      </c>
      <c r="E3284" s="5" t="s">
        <v>75</v>
      </c>
      <c r="F3284" s="9">
        <v>103</v>
      </c>
      <c r="G3284" s="9">
        <v>1260</v>
      </c>
      <c r="H3284" s="5" t="s">
        <v>21</v>
      </c>
      <c r="I3284" s="5" t="s">
        <v>8331</v>
      </c>
      <c r="J3284" s="12" t="str">
        <f>HYPERLINK("https://www.boe.es/gazeta/dias/1802/12/21/pdfs/GMD-1802-103.pdf#page=4","Abrir facsímil")</f>
        <v>Abrir facsímil</v>
      </c>
      <c r="K3284" s="15" t="s">
        <v>23</v>
      </c>
    </row>
    <row r="3285" spans="1:11" ht="42" customHeight="1">
      <c r="A3285" s="4" t="s">
        <v>8332</v>
      </c>
      <c r="B3285" s="5" t="s">
        <v>8333</v>
      </c>
      <c r="C3285" s="5" t="s">
        <v>572</v>
      </c>
      <c r="D3285" s="5" t="s">
        <v>573</v>
      </c>
      <c r="E3285" s="5" t="s">
        <v>574</v>
      </c>
      <c r="F3285" s="9" t="s">
        <v>575</v>
      </c>
      <c r="G3285" s="9">
        <v>710</v>
      </c>
      <c r="H3285" s="5" t="s">
        <v>21</v>
      </c>
      <c r="I3285" s="5" t="s">
        <v>8334</v>
      </c>
      <c r="J3285" s="12" t="str">
        <f>HYPERLINK("https://www.boe.es/gazeta/dias/1802/07/21/pdfs/GMD-1802-59E.pdf#page=6","Abrir facsímil")</f>
        <v>Abrir facsímil</v>
      </c>
      <c r="K3285" s="15" t="s">
        <v>23</v>
      </c>
    </row>
    <row r="3286" spans="1:11" ht="42" customHeight="1">
      <c r="A3286" s="4" t="s">
        <v>8335</v>
      </c>
      <c r="B3286" s="5" t="s">
        <v>8336</v>
      </c>
      <c r="C3286" s="5" t="s">
        <v>29</v>
      </c>
      <c r="D3286" s="5" t="s">
        <v>30</v>
      </c>
      <c r="E3286" s="5" t="s">
        <v>574</v>
      </c>
      <c r="F3286" s="9" t="s">
        <v>575</v>
      </c>
      <c r="G3286" s="9">
        <v>709</v>
      </c>
      <c r="H3286" s="5" t="s">
        <v>21</v>
      </c>
      <c r="I3286" s="5" t="s">
        <v>8337</v>
      </c>
      <c r="J3286" s="12" t="str">
        <f>HYPERLINK("https://www.boe.es/gazeta/dias/1802/07/21/pdfs/GMD-1802-59E.pdf#page=5","Abrir facsímil")</f>
        <v>Abrir facsímil</v>
      </c>
      <c r="K3286" s="15" t="s">
        <v>23</v>
      </c>
    </row>
    <row r="3287" spans="1:11" ht="42" customHeight="1">
      <c r="A3287" s="4" t="s">
        <v>8338</v>
      </c>
      <c r="B3287" s="5" t="s">
        <v>8339</v>
      </c>
      <c r="C3287" s="5" t="s">
        <v>29</v>
      </c>
      <c r="D3287" s="5" t="s">
        <v>30</v>
      </c>
      <c r="E3287" s="5" t="s">
        <v>188</v>
      </c>
      <c r="F3287" s="9">
        <v>49</v>
      </c>
      <c r="G3287" s="9">
        <v>595</v>
      </c>
      <c r="H3287" s="5" t="s">
        <v>21</v>
      </c>
      <c r="I3287" s="5" t="s">
        <v>8340</v>
      </c>
      <c r="J3287" s="12" t="str">
        <f>HYPERLINK("https://www.boe.es/gazeta/dias/1802/06/18/pdfs/GMD-1802-49.pdf#page=7","Abrir facsímil")</f>
        <v>Abrir facsímil</v>
      </c>
      <c r="K3287" s="15" t="s">
        <v>23</v>
      </c>
    </row>
    <row r="3288" spans="1:11" ht="42" customHeight="1">
      <c r="A3288" s="4" t="s">
        <v>8341</v>
      </c>
      <c r="B3288" s="5" t="s">
        <v>8342</v>
      </c>
      <c r="C3288" s="5" t="s">
        <v>160</v>
      </c>
      <c r="D3288" s="5" t="s">
        <v>91</v>
      </c>
      <c r="E3288" s="5" t="s">
        <v>1264</v>
      </c>
      <c r="F3288" s="9">
        <v>105</v>
      </c>
      <c r="G3288" s="9">
        <v>1285</v>
      </c>
      <c r="H3288" s="5" t="s">
        <v>21</v>
      </c>
      <c r="I3288" s="5" t="s">
        <v>8343</v>
      </c>
      <c r="J3288" s="12" t="str">
        <f>HYPERLINK("https://www.boe.es/gazeta/dias/1802/12/28/pdfs/GMD-1802-105.pdf#page=9","Abrir facsímil")</f>
        <v>Abrir facsímil</v>
      </c>
      <c r="K3288" s="15" t="s">
        <v>23</v>
      </c>
    </row>
    <row r="3289" spans="1:11" ht="42" customHeight="1">
      <c r="A3289" s="4" t="s">
        <v>8344</v>
      </c>
      <c r="B3289" s="5" t="s">
        <v>8344</v>
      </c>
      <c r="C3289" s="5" t="s">
        <v>35</v>
      </c>
      <c r="D3289" s="5" t="s">
        <v>36</v>
      </c>
      <c r="E3289" s="5" t="s">
        <v>1829</v>
      </c>
      <c r="F3289" s="9">
        <v>32</v>
      </c>
      <c r="G3289" s="9">
        <v>377</v>
      </c>
      <c r="H3289" s="5" t="s">
        <v>21</v>
      </c>
      <c r="I3289" s="5" t="s">
        <v>8345</v>
      </c>
      <c r="J3289" s="12" t="str">
        <f>HYPERLINK("https://www.boe.es/gazeta/dias/1802/04/20/pdfs/GMD-1802-32.pdf#page=9","Abrir facsímil")</f>
        <v>Abrir facsímil</v>
      </c>
      <c r="K3289" s="15" t="s">
        <v>23</v>
      </c>
    </row>
    <row r="3290" spans="1:11" ht="42" customHeight="1">
      <c r="A3290" s="4" t="s">
        <v>8344</v>
      </c>
      <c r="B3290" s="5" t="s">
        <v>8344</v>
      </c>
      <c r="C3290" s="5" t="s">
        <v>160</v>
      </c>
      <c r="D3290" s="5" t="s">
        <v>91</v>
      </c>
      <c r="E3290" s="5" t="s">
        <v>258</v>
      </c>
      <c r="F3290" s="9">
        <v>63</v>
      </c>
      <c r="G3290" s="9">
        <v>767</v>
      </c>
      <c r="H3290" s="5" t="s">
        <v>21</v>
      </c>
      <c r="I3290" s="5" t="s">
        <v>8346</v>
      </c>
      <c r="J3290" s="12" t="str">
        <f>HYPERLINK("https://www.boe.es/gazeta/dias/1802/08/03/pdfs/GMD-1802-63.pdf#page=7","Abrir facsímil")</f>
        <v>Abrir facsímil</v>
      </c>
      <c r="K3290" s="15" t="s">
        <v>23</v>
      </c>
    </row>
    <row r="3291" spans="1:11" ht="42" customHeight="1">
      <c r="A3291" s="4" t="s">
        <v>8347</v>
      </c>
      <c r="B3291" s="5" t="s">
        <v>8347</v>
      </c>
      <c r="C3291" s="5" t="s">
        <v>35</v>
      </c>
      <c r="D3291" s="5" t="s">
        <v>36</v>
      </c>
      <c r="E3291" s="5" t="s">
        <v>31</v>
      </c>
      <c r="F3291" s="9">
        <v>27</v>
      </c>
      <c r="G3291" s="9">
        <v>316</v>
      </c>
      <c r="H3291" s="5" t="s">
        <v>21</v>
      </c>
      <c r="I3291" s="5" t="s">
        <v>8348</v>
      </c>
      <c r="J3291" s="12" t="str">
        <f>HYPERLINK("https://www.boe.es/gazeta/dias/1802/04/02/pdfs/GMD-1802-27.pdf#page=12","Abrir facsímil")</f>
        <v>Abrir facsímil</v>
      </c>
      <c r="K3291" s="15" t="s">
        <v>23</v>
      </c>
    </row>
    <row r="3292" spans="1:11" ht="42" customHeight="1">
      <c r="A3292" s="4" t="s">
        <v>8349</v>
      </c>
      <c r="B3292" s="5" t="s">
        <v>8349</v>
      </c>
      <c r="C3292" s="5" t="s">
        <v>18</v>
      </c>
      <c r="D3292" s="5" t="s">
        <v>19</v>
      </c>
      <c r="E3292" s="5" t="s">
        <v>826</v>
      </c>
      <c r="F3292" s="9">
        <v>67</v>
      </c>
      <c r="G3292" s="9">
        <v>818</v>
      </c>
      <c r="H3292" s="5" t="s">
        <v>21</v>
      </c>
      <c r="I3292" s="5" t="s">
        <v>8350</v>
      </c>
      <c r="J3292" s="12" t="str">
        <f>HYPERLINK("https://www.boe.es/gazeta/dias/1802/08/17/pdfs/GMD-1802-67.pdf#page=6","Abrir facsímil")</f>
        <v>Abrir facsímil</v>
      </c>
      <c r="K3292" s="15" t="s">
        <v>23</v>
      </c>
    </row>
    <row r="3293" spans="1:11" ht="42" customHeight="1">
      <c r="A3293" s="4" t="s">
        <v>8351</v>
      </c>
      <c r="B3293" s="5" t="s">
        <v>8351</v>
      </c>
      <c r="C3293" s="5" t="s">
        <v>572</v>
      </c>
      <c r="D3293" s="5" t="s">
        <v>573</v>
      </c>
      <c r="E3293" s="5" t="s">
        <v>574</v>
      </c>
      <c r="F3293" s="9" t="s">
        <v>575</v>
      </c>
      <c r="G3293" s="9">
        <v>710</v>
      </c>
      <c r="H3293" s="5" t="s">
        <v>21</v>
      </c>
      <c r="I3293" s="5" t="s">
        <v>8352</v>
      </c>
      <c r="J3293" s="12" t="str">
        <f>HYPERLINK("https://www.boe.es/gazeta/dias/1802/07/21/pdfs/GMD-1802-59E.pdf#page=6","Abrir facsímil")</f>
        <v>Abrir facsímil</v>
      </c>
      <c r="K3293" s="15" t="s">
        <v>23</v>
      </c>
    </row>
    <row r="3294" spans="1:11" ht="42" customHeight="1">
      <c r="A3294" s="4" t="s">
        <v>8353</v>
      </c>
      <c r="B3294" s="5" t="s">
        <v>8353</v>
      </c>
      <c r="C3294" s="5" t="s">
        <v>35</v>
      </c>
      <c r="D3294" s="5" t="s">
        <v>36</v>
      </c>
      <c r="E3294" s="5" t="s">
        <v>865</v>
      </c>
      <c r="F3294" s="9">
        <v>12</v>
      </c>
      <c r="G3294" s="9">
        <v>121</v>
      </c>
      <c r="H3294" s="5" t="s">
        <v>21</v>
      </c>
      <c r="I3294" s="5" t="s">
        <v>8354</v>
      </c>
      <c r="J3294" s="12" t="str">
        <f>HYPERLINK("https://www.boe.es/gazeta/dias/1802/02/09/pdfs/GMD-1802-12.pdf#page=5","Abrir facsímil")</f>
        <v>Abrir facsímil</v>
      </c>
      <c r="K3294" s="15" t="s">
        <v>23</v>
      </c>
    </row>
    <row r="3295" spans="1:11" ht="42" customHeight="1">
      <c r="A3295" s="4" t="s">
        <v>8355</v>
      </c>
      <c r="B3295" s="5" t="s">
        <v>8355</v>
      </c>
      <c r="C3295" s="5" t="s">
        <v>35</v>
      </c>
      <c r="D3295" s="5" t="s">
        <v>36</v>
      </c>
      <c r="E3295" s="5" t="s">
        <v>429</v>
      </c>
      <c r="F3295" s="9">
        <v>91</v>
      </c>
      <c r="G3295" s="9">
        <v>1124</v>
      </c>
      <c r="H3295" s="5" t="s">
        <v>21</v>
      </c>
      <c r="I3295" s="5" t="s">
        <v>8356</v>
      </c>
      <c r="J3295" s="12" t="str">
        <f>HYPERLINK("https://www.boe.es/gazeta/dias/1802/11/09/pdfs/GMD-1802-91.pdf#page=4","Abrir facsímil")</f>
        <v>Abrir facsímil</v>
      </c>
      <c r="K3295" s="15" t="s">
        <v>23</v>
      </c>
    </row>
    <row r="3296" spans="1:11" ht="42" customHeight="1">
      <c r="A3296" s="4" t="s">
        <v>8355</v>
      </c>
      <c r="B3296" s="5" t="s">
        <v>8355</v>
      </c>
      <c r="C3296" s="5" t="s">
        <v>29</v>
      </c>
      <c r="D3296" s="5" t="s">
        <v>30</v>
      </c>
      <c r="E3296" s="5" t="s">
        <v>745</v>
      </c>
      <c r="F3296" s="9">
        <v>92</v>
      </c>
      <c r="G3296" s="9">
        <v>1136</v>
      </c>
      <c r="H3296" s="5" t="s">
        <v>21</v>
      </c>
      <c r="I3296" s="5" t="s">
        <v>8357</v>
      </c>
      <c r="J3296" s="12" t="str">
        <f>HYPERLINK("https://www.boe.es/gazeta/dias/1802/11/12/pdfs/GMD-1802-92.pdf#page=4","Abrir facsímil")</f>
        <v>Abrir facsímil</v>
      </c>
      <c r="K3296" s="15" t="s">
        <v>23</v>
      </c>
    </row>
    <row r="3297" spans="1:11" ht="42" customHeight="1">
      <c r="A3297" s="4" t="s">
        <v>8358</v>
      </c>
      <c r="B3297" s="5" t="s">
        <v>8358</v>
      </c>
      <c r="C3297" s="5" t="s">
        <v>29</v>
      </c>
      <c r="D3297" s="5" t="s">
        <v>30</v>
      </c>
      <c r="E3297" s="5" t="s">
        <v>530</v>
      </c>
      <c r="F3297" s="9">
        <v>48</v>
      </c>
      <c r="G3297" s="9">
        <v>583</v>
      </c>
      <c r="H3297" s="5" t="s">
        <v>21</v>
      </c>
      <c r="I3297" s="5" t="s">
        <v>8359</v>
      </c>
      <c r="J3297" s="12" t="str">
        <f>HYPERLINK("https://www.boe.es/gazeta/dias/1802/06/15/pdfs/GMD-1802-48.pdf#page=7","Abrir facsímil")</f>
        <v>Abrir facsímil</v>
      </c>
      <c r="K3297" s="15" t="s">
        <v>23</v>
      </c>
    </row>
    <row r="3298" spans="1:11" ht="42" customHeight="1">
      <c r="A3298" s="4" t="s">
        <v>8360</v>
      </c>
      <c r="B3298" s="5" t="s">
        <v>8360</v>
      </c>
      <c r="C3298" s="5" t="s">
        <v>18</v>
      </c>
      <c r="D3298" s="5" t="s">
        <v>19</v>
      </c>
      <c r="E3298" s="5" t="s">
        <v>670</v>
      </c>
      <c r="F3298" s="9">
        <v>40</v>
      </c>
      <c r="G3298" s="9">
        <v>477</v>
      </c>
      <c r="H3298" s="5" t="s">
        <v>21</v>
      </c>
      <c r="I3298" s="5" t="s">
        <v>8361</v>
      </c>
      <c r="J3298" s="12" t="str">
        <f>HYPERLINK("https://www.boe.es/gazeta/dias/1802/05/18/pdfs/GMD-1802-40.pdf#page=5","Abrir facsímil")</f>
        <v>Abrir facsímil</v>
      </c>
      <c r="K3298" s="15" t="s">
        <v>23</v>
      </c>
    </row>
    <row r="3299" spans="1:11" ht="42" customHeight="1">
      <c r="A3299" s="4" t="s">
        <v>8362</v>
      </c>
      <c r="B3299" s="5" t="s">
        <v>8362</v>
      </c>
      <c r="C3299" s="5" t="s">
        <v>29</v>
      </c>
      <c r="D3299" s="5" t="s">
        <v>30</v>
      </c>
      <c r="E3299" s="5" t="s">
        <v>745</v>
      </c>
      <c r="F3299" s="9">
        <v>92</v>
      </c>
      <c r="G3299" s="9">
        <v>1136</v>
      </c>
      <c r="H3299" s="5" t="s">
        <v>21</v>
      </c>
      <c r="I3299" s="5" t="s">
        <v>8357</v>
      </c>
      <c r="J3299" s="12" t="str">
        <f>HYPERLINK("https://www.boe.es/gazeta/dias/1802/11/12/pdfs/GMD-1802-92.pdf#page=4","Abrir facsímil")</f>
        <v>Abrir facsímil</v>
      </c>
      <c r="K3299" s="15" t="s">
        <v>23</v>
      </c>
    </row>
    <row r="3300" spans="1:11" ht="42" customHeight="1">
      <c r="A3300" s="4" t="s">
        <v>8363</v>
      </c>
      <c r="B3300" s="5" t="s">
        <v>8363</v>
      </c>
      <c r="C3300" s="5" t="s">
        <v>35</v>
      </c>
      <c r="D3300" s="5" t="s">
        <v>36</v>
      </c>
      <c r="E3300" s="5" t="s">
        <v>339</v>
      </c>
      <c r="F3300" s="9">
        <v>39</v>
      </c>
      <c r="G3300" s="9">
        <v>464</v>
      </c>
      <c r="H3300" s="5" t="s">
        <v>21</v>
      </c>
      <c r="I3300" s="5" t="s">
        <v>8364</v>
      </c>
      <c r="J3300" s="12" t="str">
        <f>HYPERLINK("https://www.boe.es/gazeta/dias/1802/05/14/pdfs/GMD-1802-39.pdf#page=8","Abrir facsímil")</f>
        <v>Abrir facsímil</v>
      </c>
      <c r="K3300" s="15" t="s">
        <v>23</v>
      </c>
    </row>
    <row r="3301" spans="1:11" ht="42" customHeight="1">
      <c r="A3301" s="4" t="s">
        <v>8363</v>
      </c>
      <c r="B3301" s="5" t="s">
        <v>8363</v>
      </c>
      <c r="C3301" s="5" t="s">
        <v>160</v>
      </c>
      <c r="D3301" s="5" t="s">
        <v>91</v>
      </c>
      <c r="E3301" s="5" t="s">
        <v>258</v>
      </c>
      <c r="F3301" s="9">
        <v>63</v>
      </c>
      <c r="G3301" s="9">
        <v>767</v>
      </c>
      <c r="H3301" s="5" t="s">
        <v>21</v>
      </c>
      <c r="I3301" s="5" t="s">
        <v>8346</v>
      </c>
      <c r="J3301" s="12" t="str">
        <f>HYPERLINK("https://www.boe.es/gazeta/dias/1802/08/03/pdfs/GMD-1802-63.pdf#page=7","Abrir facsímil")</f>
        <v>Abrir facsímil</v>
      </c>
      <c r="K3301" s="15" t="s">
        <v>23</v>
      </c>
    </row>
    <row r="3302" spans="1:11" ht="42" customHeight="1">
      <c r="A3302" s="4" t="s">
        <v>8365</v>
      </c>
      <c r="B3302" s="5" t="s">
        <v>8365</v>
      </c>
      <c r="C3302" s="5" t="s">
        <v>35</v>
      </c>
      <c r="D3302" s="5" t="s">
        <v>36</v>
      </c>
      <c r="E3302" s="5" t="s">
        <v>429</v>
      </c>
      <c r="F3302" s="9">
        <v>91</v>
      </c>
      <c r="G3302" s="9">
        <v>1124</v>
      </c>
      <c r="H3302" s="5" t="s">
        <v>21</v>
      </c>
      <c r="I3302" s="5" t="s">
        <v>8356</v>
      </c>
      <c r="J3302" s="12" t="str">
        <f>HYPERLINK("https://www.boe.es/gazeta/dias/1802/11/09/pdfs/GMD-1802-91.pdf#page=4","Abrir facsímil")</f>
        <v>Abrir facsímil</v>
      </c>
      <c r="K3302" s="15" t="s">
        <v>23</v>
      </c>
    </row>
    <row r="3303" spans="1:11" ht="42" customHeight="1">
      <c r="A3303" s="4" t="s">
        <v>8366</v>
      </c>
      <c r="B3303" s="5" t="s">
        <v>8366</v>
      </c>
      <c r="C3303" s="5" t="s">
        <v>35</v>
      </c>
      <c r="D3303" s="5" t="s">
        <v>36</v>
      </c>
      <c r="E3303" s="5" t="s">
        <v>439</v>
      </c>
      <c r="F3303" s="9">
        <v>76</v>
      </c>
      <c r="G3303" s="9">
        <v>934</v>
      </c>
      <c r="H3303" s="5" t="s">
        <v>21</v>
      </c>
      <c r="I3303" s="5" t="s">
        <v>8367</v>
      </c>
      <c r="J3303" s="12" t="str">
        <f>HYPERLINK("https://www.boe.es/gazeta/dias/1802/09/17/pdfs/GMD-1802-76.pdf#page=6","Abrir facsímil")</f>
        <v>Abrir facsímil</v>
      </c>
      <c r="K3303" s="15" t="s">
        <v>23</v>
      </c>
    </row>
    <row r="3304" spans="1:11" ht="42" customHeight="1">
      <c r="A3304" s="4" t="s">
        <v>8368</v>
      </c>
      <c r="B3304" s="5" t="s">
        <v>8368</v>
      </c>
      <c r="C3304" s="5" t="s">
        <v>35</v>
      </c>
      <c r="D3304" s="5" t="s">
        <v>36</v>
      </c>
      <c r="E3304" s="5" t="s">
        <v>921</v>
      </c>
      <c r="F3304" s="9">
        <v>50</v>
      </c>
      <c r="G3304" s="9">
        <v>606</v>
      </c>
      <c r="H3304" s="5" t="s">
        <v>21</v>
      </c>
      <c r="I3304" s="5" t="s">
        <v>8369</v>
      </c>
      <c r="J3304" s="12" t="str">
        <f>HYPERLINK("https://www.boe.es/gazeta/dias/1802/06/22/pdfs/GMD-1802-50.pdf#page=6","Abrir facsímil")</f>
        <v>Abrir facsímil</v>
      </c>
      <c r="K3304" s="15" t="s">
        <v>23</v>
      </c>
    </row>
    <row r="3305" spans="1:11" ht="42" customHeight="1">
      <c r="A3305" s="4" t="s">
        <v>8368</v>
      </c>
      <c r="B3305" s="5" t="s">
        <v>8368</v>
      </c>
      <c r="C3305" s="5" t="s">
        <v>35</v>
      </c>
      <c r="D3305" s="5" t="s">
        <v>36</v>
      </c>
      <c r="E3305" s="5" t="s">
        <v>142</v>
      </c>
      <c r="F3305" s="9">
        <v>64</v>
      </c>
      <c r="G3305" s="9">
        <v>780</v>
      </c>
      <c r="H3305" s="5" t="s">
        <v>21</v>
      </c>
      <c r="I3305" s="5" t="s">
        <v>8370</v>
      </c>
      <c r="J3305" s="12" t="str">
        <f>HYPERLINK("https://www.boe.es/gazeta/dias/1802/08/06/pdfs/GMD-1802-64.pdf#page=8","Abrir facsímil")</f>
        <v>Abrir facsímil</v>
      </c>
      <c r="K3305" s="15" t="s">
        <v>23</v>
      </c>
    </row>
    <row r="3306" spans="1:11" ht="42" customHeight="1">
      <c r="A3306" s="4" t="s">
        <v>8371</v>
      </c>
      <c r="B3306" s="5" t="s">
        <v>8371</v>
      </c>
      <c r="C3306" s="5" t="s">
        <v>35</v>
      </c>
      <c r="D3306" s="5" t="s">
        <v>36</v>
      </c>
      <c r="E3306" s="5" t="s">
        <v>453</v>
      </c>
      <c r="F3306" s="9">
        <v>52</v>
      </c>
      <c r="G3306" s="9">
        <v>627</v>
      </c>
      <c r="H3306" s="5" t="s">
        <v>21</v>
      </c>
      <c r="I3306" s="5" t="s">
        <v>8372</v>
      </c>
      <c r="J3306" s="12" t="str">
        <f>HYPERLINK("https://www.boe.es/gazeta/dias/1802/06/29/pdfs/GMD-1802-52.pdf#page=3","Abrir facsímil")</f>
        <v>Abrir facsímil</v>
      </c>
      <c r="K3306" s="15" t="s">
        <v>23</v>
      </c>
    </row>
    <row r="3307" spans="1:11" ht="42" customHeight="1">
      <c r="A3307" s="4" t="s">
        <v>8373</v>
      </c>
      <c r="B3307" s="5" t="s">
        <v>8373</v>
      </c>
      <c r="C3307" s="5" t="s">
        <v>18</v>
      </c>
      <c r="D3307" s="5" t="s">
        <v>19</v>
      </c>
      <c r="E3307" s="5" t="s">
        <v>826</v>
      </c>
      <c r="F3307" s="9">
        <v>67</v>
      </c>
      <c r="G3307" s="9">
        <v>818</v>
      </c>
      <c r="H3307" s="5" t="s">
        <v>21</v>
      </c>
      <c r="I3307" s="5" t="s">
        <v>8350</v>
      </c>
      <c r="J3307" s="12" t="str">
        <f>HYPERLINK("https://www.boe.es/gazeta/dias/1802/08/17/pdfs/GMD-1802-67.pdf#page=6","Abrir facsímil")</f>
        <v>Abrir facsímil</v>
      </c>
      <c r="K3307" s="15" t="s">
        <v>23</v>
      </c>
    </row>
    <row r="3308" spans="1:11" ht="42" customHeight="1">
      <c r="A3308" s="4" t="s">
        <v>8374</v>
      </c>
      <c r="B3308" s="5" t="s">
        <v>8374</v>
      </c>
      <c r="C3308" s="5" t="s">
        <v>35</v>
      </c>
      <c r="D3308" s="5" t="s">
        <v>36</v>
      </c>
      <c r="E3308" s="5" t="s">
        <v>339</v>
      </c>
      <c r="F3308" s="9">
        <v>39</v>
      </c>
      <c r="G3308" s="9">
        <v>464</v>
      </c>
      <c r="H3308" s="5" t="s">
        <v>21</v>
      </c>
      <c r="I3308" s="5" t="s">
        <v>8364</v>
      </c>
      <c r="J3308" s="12" t="str">
        <f>HYPERLINK("https://www.boe.es/gazeta/dias/1802/05/14/pdfs/GMD-1802-39.pdf#page=8","Abrir facsímil")</f>
        <v>Abrir facsímil</v>
      </c>
      <c r="K3308" s="15" t="s">
        <v>23</v>
      </c>
    </row>
    <row r="3309" spans="1:11" ht="42" customHeight="1">
      <c r="A3309" s="4" t="s">
        <v>8375</v>
      </c>
      <c r="B3309" s="5" t="s">
        <v>8375</v>
      </c>
      <c r="C3309" s="5" t="s">
        <v>35</v>
      </c>
      <c r="D3309" s="5" t="s">
        <v>36</v>
      </c>
      <c r="E3309" s="5" t="s">
        <v>453</v>
      </c>
      <c r="F3309" s="9">
        <v>52</v>
      </c>
      <c r="G3309" s="9">
        <v>627</v>
      </c>
      <c r="H3309" s="5" t="s">
        <v>21</v>
      </c>
      <c r="I3309" s="5" t="s">
        <v>8372</v>
      </c>
      <c r="J3309" s="12" t="str">
        <f>HYPERLINK("https://www.boe.es/gazeta/dias/1802/06/29/pdfs/GMD-1802-52.pdf#page=3","Abrir facsímil")</f>
        <v>Abrir facsímil</v>
      </c>
      <c r="K3309" s="15" t="s">
        <v>23</v>
      </c>
    </row>
    <row r="3310" spans="1:11" ht="42" customHeight="1">
      <c r="A3310" s="4" t="s">
        <v>8376</v>
      </c>
      <c r="B3310" s="5" t="s">
        <v>8376</v>
      </c>
      <c r="C3310" s="5" t="s">
        <v>35</v>
      </c>
      <c r="D3310" s="5" t="s">
        <v>36</v>
      </c>
      <c r="E3310" s="5" t="s">
        <v>865</v>
      </c>
      <c r="F3310" s="9">
        <v>12</v>
      </c>
      <c r="G3310" s="9">
        <v>121</v>
      </c>
      <c r="H3310" s="5" t="s">
        <v>21</v>
      </c>
      <c r="I3310" s="5" t="s">
        <v>8354</v>
      </c>
      <c r="J3310" s="12" t="str">
        <f>HYPERLINK("https://www.boe.es/gazeta/dias/1802/02/09/pdfs/GMD-1802-12.pdf#page=5","Abrir facsímil")</f>
        <v>Abrir facsímil</v>
      </c>
      <c r="K3310" s="15" t="s">
        <v>23</v>
      </c>
    </row>
    <row r="3311" spans="1:11" ht="42" customHeight="1">
      <c r="A3311" s="4" t="s">
        <v>8377</v>
      </c>
      <c r="B3311" s="5" t="s">
        <v>8377</v>
      </c>
      <c r="C3311" s="5" t="s">
        <v>18</v>
      </c>
      <c r="D3311" s="5" t="s">
        <v>19</v>
      </c>
      <c r="E3311" s="5" t="s">
        <v>1749</v>
      </c>
      <c r="F3311" s="9">
        <v>60</v>
      </c>
      <c r="G3311" s="9">
        <v>721</v>
      </c>
      <c r="H3311" s="5" t="s">
        <v>21</v>
      </c>
      <c r="I3311" s="5" t="s">
        <v>8378</v>
      </c>
      <c r="J3311" s="12" t="str">
        <f>HYPERLINK("https://www.boe.es/gazeta/dias/1802/07/23/pdfs/GMD-1802-60.pdf#page=5","Abrir facsímil")</f>
        <v>Abrir facsímil</v>
      </c>
      <c r="K3311" s="15" t="s">
        <v>23</v>
      </c>
    </row>
    <row r="3312" spans="1:11" ht="42" customHeight="1">
      <c r="A3312" s="4" t="s">
        <v>8379</v>
      </c>
      <c r="B3312" s="5" t="s">
        <v>8379</v>
      </c>
      <c r="C3312" s="5" t="s">
        <v>35</v>
      </c>
      <c r="D3312" s="5" t="s">
        <v>36</v>
      </c>
      <c r="E3312" s="5" t="s">
        <v>900</v>
      </c>
      <c r="F3312" s="9">
        <v>16</v>
      </c>
      <c r="G3312" s="9">
        <v>165</v>
      </c>
      <c r="H3312" s="5" t="s">
        <v>21</v>
      </c>
      <c r="I3312" s="5" t="s">
        <v>8380</v>
      </c>
      <c r="J3312" s="12" t="str">
        <f>HYPERLINK("https://www.boe.es/gazeta/dias/1802/02/23/pdfs/GMD-1802-16.pdf#page=5","Abrir facsímil")</f>
        <v>Abrir facsímil</v>
      </c>
      <c r="K3312" s="15" t="s">
        <v>23</v>
      </c>
    </row>
    <row r="3313" spans="1:11" ht="42" customHeight="1">
      <c r="A3313" s="4" t="s">
        <v>8381</v>
      </c>
      <c r="B3313" s="5" t="s">
        <v>8381</v>
      </c>
      <c r="C3313" s="5" t="s">
        <v>160</v>
      </c>
      <c r="D3313" s="5" t="s">
        <v>91</v>
      </c>
      <c r="E3313" s="5" t="s">
        <v>181</v>
      </c>
      <c r="F3313" s="9">
        <v>55</v>
      </c>
      <c r="G3313" s="9">
        <v>665</v>
      </c>
      <c r="H3313" s="5" t="s">
        <v>21</v>
      </c>
      <c r="I3313" s="5" t="s">
        <v>8382</v>
      </c>
      <c r="J3313" s="12" t="str">
        <f>HYPERLINK("https://www.boe.es/gazeta/dias/1802/07/09/pdfs/GMD-1802-55.pdf#page=9","Abrir facsímil")</f>
        <v>Abrir facsímil</v>
      </c>
      <c r="K3313" s="15" t="s">
        <v>23</v>
      </c>
    </row>
    <row r="3314" spans="1:11" ht="42" customHeight="1">
      <c r="A3314" s="4" t="s">
        <v>8383</v>
      </c>
      <c r="B3314" s="5" t="s">
        <v>8383</v>
      </c>
      <c r="C3314" s="5" t="s">
        <v>35</v>
      </c>
      <c r="D3314" s="5" t="s">
        <v>36</v>
      </c>
      <c r="E3314" s="5" t="s">
        <v>517</v>
      </c>
      <c r="F3314" s="9">
        <v>61</v>
      </c>
      <c r="G3314" s="9">
        <v>734</v>
      </c>
      <c r="H3314" s="5" t="s">
        <v>21</v>
      </c>
      <c r="I3314" s="5" t="s">
        <v>8384</v>
      </c>
      <c r="J3314" s="12" t="str">
        <f>HYPERLINK("https://www.boe.es/gazeta/dias/1802/07/27/pdfs/GMD-1802-61.pdf#page=2","Abrir facsímil")</f>
        <v>Abrir facsímil</v>
      </c>
      <c r="K3314" s="15" t="s">
        <v>23</v>
      </c>
    </row>
    <row r="3315" spans="1:11" ht="42" customHeight="1">
      <c r="A3315" s="4" t="s">
        <v>8385</v>
      </c>
      <c r="B3315" s="5" t="s">
        <v>8385</v>
      </c>
      <c r="C3315" s="5" t="s">
        <v>35</v>
      </c>
      <c r="D3315" s="5" t="s">
        <v>36</v>
      </c>
      <c r="E3315" s="5" t="s">
        <v>1829</v>
      </c>
      <c r="F3315" s="9">
        <v>32</v>
      </c>
      <c r="G3315" s="9">
        <v>377</v>
      </c>
      <c r="H3315" s="5" t="s">
        <v>21</v>
      </c>
      <c r="I3315" s="5" t="s">
        <v>8345</v>
      </c>
      <c r="J3315" s="12" t="str">
        <f>HYPERLINK("https://www.boe.es/gazeta/dias/1802/04/20/pdfs/GMD-1802-32.pdf#page=9","Abrir facsímil")</f>
        <v>Abrir facsímil</v>
      </c>
      <c r="K3315" s="15" t="s">
        <v>23</v>
      </c>
    </row>
    <row r="3316" spans="1:11" ht="42" customHeight="1">
      <c r="A3316" s="4" t="s">
        <v>8386</v>
      </c>
      <c r="B3316" s="5" t="s">
        <v>8386</v>
      </c>
      <c r="C3316" s="5" t="s">
        <v>35</v>
      </c>
      <c r="D3316" s="5" t="s">
        <v>36</v>
      </c>
      <c r="E3316" s="5" t="s">
        <v>439</v>
      </c>
      <c r="F3316" s="9">
        <v>76</v>
      </c>
      <c r="G3316" s="9">
        <v>934</v>
      </c>
      <c r="H3316" s="5" t="s">
        <v>21</v>
      </c>
      <c r="I3316" s="5" t="s">
        <v>8367</v>
      </c>
      <c r="J3316" s="12" t="str">
        <f>HYPERLINK("https://www.boe.es/gazeta/dias/1802/09/17/pdfs/GMD-1802-76.pdf#page=6","Abrir facsímil")</f>
        <v>Abrir facsímil</v>
      </c>
      <c r="K3316" s="15" t="s">
        <v>23</v>
      </c>
    </row>
    <row r="3317" spans="1:11" ht="42" customHeight="1">
      <c r="A3317" s="4" t="s">
        <v>8387</v>
      </c>
      <c r="B3317" s="5" t="s">
        <v>8387</v>
      </c>
      <c r="C3317" s="5" t="s">
        <v>35</v>
      </c>
      <c r="D3317" s="5" t="s">
        <v>36</v>
      </c>
      <c r="E3317" s="5" t="s">
        <v>31</v>
      </c>
      <c r="F3317" s="9">
        <v>27</v>
      </c>
      <c r="G3317" s="9">
        <v>316</v>
      </c>
      <c r="H3317" s="5" t="s">
        <v>21</v>
      </c>
      <c r="I3317" s="5" t="s">
        <v>8348</v>
      </c>
      <c r="J3317" s="12" t="str">
        <f>HYPERLINK("https://www.boe.es/gazeta/dias/1802/04/02/pdfs/GMD-1802-27.pdf#page=12","Abrir facsímil")</f>
        <v>Abrir facsímil</v>
      </c>
      <c r="K3317" s="15" t="s">
        <v>23</v>
      </c>
    </row>
    <row r="3318" spans="1:11" ht="42" customHeight="1">
      <c r="A3318" s="4" t="s">
        <v>8388</v>
      </c>
      <c r="B3318" s="5" t="s">
        <v>8388</v>
      </c>
      <c r="C3318" s="5" t="s">
        <v>35</v>
      </c>
      <c r="D3318" s="5" t="s">
        <v>36</v>
      </c>
      <c r="E3318" s="5" t="s">
        <v>517</v>
      </c>
      <c r="F3318" s="9">
        <v>61</v>
      </c>
      <c r="G3318" s="9">
        <v>734</v>
      </c>
      <c r="H3318" s="5" t="s">
        <v>21</v>
      </c>
      <c r="I3318" s="5" t="s">
        <v>8384</v>
      </c>
      <c r="J3318" s="12" t="str">
        <f>HYPERLINK("https://www.boe.es/gazeta/dias/1802/07/27/pdfs/GMD-1802-61.pdf#page=2","Abrir facsímil")</f>
        <v>Abrir facsímil</v>
      </c>
      <c r="K3318" s="15" t="s">
        <v>23</v>
      </c>
    </row>
    <row r="3319" spans="1:11" ht="42" customHeight="1">
      <c r="A3319" s="4" t="s">
        <v>8389</v>
      </c>
      <c r="B3319" s="5" t="s">
        <v>8389</v>
      </c>
      <c r="C3319" s="5" t="s">
        <v>90</v>
      </c>
      <c r="D3319" s="5" t="s">
        <v>91</v>
      </c>
      <c r="E3319" s="5" t="s">
        <v>332</v>
      </c>
      <c r="F3319" s="9">
        <v>24</v>
      </c>
      <c r="G3319" s="9">
        <v>268</v>
      </c>
      <c r="H3319" s="5" t="s">
        <v>21</v>
      </c>
      <c r="I3319" s="5" t="s">
        <v>8390</v>
      </c>
      <c r="J3319" s="12" t="str">
        <f>HYPERLINK("https://www.boe.es/gazeta/dias/1802/03/23/pdfs/GMD-1802-24.pdf#page=4","Abrir facsímil")</f>
        <v>Abrir facsímil</v>
      </c>
      <c r="K3319" s="15" t="s">
        <v>23</v>
      </c>
    </row>
    <row r="3320" spans="1:11" ht="42" customHeight="1">
      <c r="A3320" s="4" t="s">
        <v>8391</v>
      </c>
      <c r="B3320" s="5" t="s">
        <v>8391</v>
      </c>
      <c r="C3320" s="5" t="s">
        <v>18</v>
      </c>
      <c r="D3320" s="5" t="s">
        <v>19</v>
      </c>
      <c r="E3320" s="5" t="s">
        <v>206</v>
      </c>
      <c r="F3320" s="9">
        <v>22</v>
      </c>
      <c r="G3320" s="9">
        <v>239</v>
      </c>
      <c r="H3320" s="5" t="s">
        <v>21</v>
      </c>
      <c r="I3320" s="5" t="s">
        <v>8392</v>
      </c>
      <c r="J3320" s="12" t="str">
        <f>HYPERLINK("https://www.boe.es/gazeta/dias/1802/03/16/pdfs/GMD-1802-22.pdf#page=7","Abrir facsímil")</f>
        <v>Abrir facsímil</v>
      </c>
      <c r="K3320" s="15" t="s">
        <v>23</v>
      </c>
    </row>
    <row r="3321" spans="1:11" ht="42" customHeight="1">
      <c r="A3321" s="4" t="s">
        <v>8393</v>
      </c>
      <c r="B3321" s="5" t="s">
        <v>8393</v>
      </c>
      <c r="C3321" s="5" t="s">
        <v>18</v>
      </c>
      <c r="D3321" s="5" t="s">
        <v>19</v>
      </c>
      <c r="E3321" s="5" t="s">
        <v>325</v>
      </c>
      <c r="F3321" s="9">
        <v>90</v>
      </c>
      <c r="G3321" s="9">
        <v>1117</v>
      </c>
      <c r="H3321" s="5" t="s">
        <v>21</v>
      </c>
      <c r="I3321" s="5" t="s">
        <v>8394</v>
      </c>
      <c r="J3321" s="12" t="str">
        <f>HYPERLINK("https://www.boe.es/gazeta/dias/1802/11/05/pdfs/GMD-1802-90.pdf#page=9","Abrir facsímil")</f>
        <v>Abrir facsímil</v>
      </c>
      <c r="K3321" s="15" t="s">
        <v>23</v>
      </c>
    </row>
    <row r="3322" spans="1:11" ht="42" customHeight="1">
      <c r="A3322" s="4" t="s">
        <v>8395</v>
      </c>
      <c r="B3322" s="5" t="s">
        <v>8395</v>
      </c>
      <c r="C3322" s="5" t="s">
        <v>18</v>
      </c>
      <c r="D3322" s="5" t="s">
        <v>19</v>
      </c>
      <c r="E3322" s="5" t="s">
        <v>325</v>
      </c>
      <c r="F3322" s="9">
        <v>90</v>
      </c>
      <c r="G3322" s="9">
        <v>1117</v>
      </c>
      <c r="H3322" s="5" t="s">
        <v>21</v>
      </c>
      <c r="I3322" s="5" t="s">
        <v>8396</v>
      </c>
      <c r="J3322" s="12" t="str">
        <f>HYPERLINK("https://www.boe.es/gazeta/dias/1802/11/05/pdfs/GMD-1802-90.pdf#page=9","Abrir facsímil")</f>
        <v>Abrir facsímil</v>
      </c>
      <c r="K3322" s="15" t="s">
        <v>23</v>
      </c>
    </row>
    <row r="3323" spans="1:11" ht="42" customHeight="1">
      <c r="A3323" s="4" t="s">
        <v>8397</v>
      </c>
      <c r="B3323" s="5" t="s">
        <v>8397</v>
      </c>
      <c r="C3323" s="5" t="s">
        <v>160</v>
      </c>
      <c r="D3323" s="5" t="s">
        <v>91</v>
      </c>
      <c r="E3323" s="5" t="s">
        <v>219</v>
      </c>
      <c r="F3323" s="9">
        <v>81</v>
      </c>
      <c r="G3323" s="9">
        <v>998</v>
      </c>
      <c r="H3323" s="5" t="s">
        <v>21</v>
      </c>
      <c r="I3323" s="5" t="s">
        <v>8398</v>
      </c>
      <c r="J3323" s="12" t="str">
        <f>HYPERLINK("https://www.boe.es/gazeta/dias/1802/10/05/pdfs/GMD-1802-81.pdf#page=10","Abrir facsímil")</f>
        <v>Abrir facsímil</v>
      </c>
      <c r="K3323" s="15" t="s">
        <v>23</v>
      </c>
    </row>
    <row r="3324" spans="1:11" ht="42" customHeight="1">
      <c r="A3324" s="4" t="s">
        <v>8399</v>
      </c>
      <c r="B3324" s="5" t="s">
        <v>8399</v>
      </c>
      <c r="C3324" s="5" t="s">
        <v>18</v>
      </c>
      <c r="D3324" s="5" t="s">
        <v>19</v>
      </c>
      <c r="E3324" s="5" t="s">
        <v>20</v>
      </c>
      <c r="F3324" s="9">
        <v>84</v>
      </c>
      <c r="G3324" s="9">
        <v>1043</v>
      </c>
      <c r="H3324" s="5" t="s">
        <v>21</v>
      </c>
      <c r="I3324" s="5" t="s">
        <v>8400</v>
      </c>
      <c r="J3324" s="12" t="str">
        <f>HYPERLINK("https://www.boe.es/gazeta/dias/1802/10/15/pdfs/GMD-1802-84.pdf#page=11","Abrir facsímil")</f>
        <v>Abrir facsímil</v>
      </c>
      <c r="K3324" s="15" t="s">
        <v>23</v>
      </c>
    </row>
    <row r="3325" spans="1:11" ht="42" customHeight="1">
      <c r="A3325" s="4" t="s">
        <v>8401</v>
      </c>
      <c r="B3325" s="5" t="s">
        <v>8401</v>
      </c>
      <c r="C3325" s="5" t="s">
        <v>572</v>
      </c>
      <c r="D3325" s="5" t="s">
        <v>573</v>
      </c>
      <c r="E3325" s="5" t="s">
        <v>574</v>
      </c>
      <c r="F3325" s="9" t="s">
        <v>575</v>
      </c>
      <c r="G3325" s="9">
        <v>707</v>
      </c>
      <c r="H3325" s="5" t="s">
        <v>21</v>
      </c>
      <c r="I3325" s="5" t="s">
        <v>8402</v>
      </c>
      <c r="J3325" s="12" t="str">
        <f>HYPERLINK("https://www.boe.es/gazeta/dias/1802/07/21/pdfs/GMD-1802-59E.pdf#page=3","Abrir facsímil")</f>
        <v>Abrir facsímil</v>
      </c>
      <c r="K3325" s="15" t="s">
        <v>23</v>
      </c>
    </row>
    <row r="3326" spans="1:11" ht="42" customHeight="1">
      <c r="A3326" s="4" t="s">
        <v>8403</v>
      </c>
      <c r="B3326" s="5" t="s">
        <v>8404</v>
      </c>
      <c r="C3326" s="5" t="s">
        <v>29</v>
      </c>
      <c r="D3326" s="5" t="s">
        <v>30</v>
      </c>
      <c r="E3326" s="5" t="s">
        <v>86</v>
      </c>
      <c r="F3326" s="9">
        <v>26</v>
      </c>
      <c r="G3326" s="9">
        <v>298</v>
      </c>
      <c r="H3326" s="5" t="s">
        <v>21</v>
      </c>
      <c r="I3326" s="5" t="s">
        <v>8405</v>
      </c>
      <c r="J3326" s="12" t="str">
        <f>HYPERLINK("https://www.boe.es/gazeta/dias/1802/03/30/pdfs/GMD-1802-26.pdf#page=10","Abrir facsímil")</f>
        <v>Abrir facsímil</v>
      </c>
      <c r="K3326" s="15" t="s">
        <v>23</v>
      </c>
    </row>
    <row r="3327" spans="1:11" ht="42" customHeight="1">
      <c r="A3327" s="4" t="s">
        <v>8406</v>
      </c>
      <c r="B3327" s="5" t="s">
        <v>8406</v>
      </c>
      <c r="C3327" s="5" t="s">
        <v>29</v>
      </c>
      <c r="D3327" s="5" t="s">
        <v>30</v>
      </c>
      <c r="E3327" s="5" t="s">
        <v>86</v>
      </c>
      <c r="F3327" s="9">
        <v>26</v>
      </c>
      <c r="G3327" s="9">
        <v>296</v>
      </c>
      <c r="H3327" s="5" t="s">
        <v>21</v>
      </c>
      <c r="I3327" s="5" t="s">
        <v>8407</v>
      </c>
      <c r="J3327" s="12" t="str">
        <f>HYPERLINK("https://www.boe.es/gazeta/dias/1802/03/30/pdfs/GMD-1802-26.pdf#page=8","Abrir facsímil")</f>
        <v>Abrir facsímil</v>
      </c>
      <c r="K3327" s="15" t="s">
        <v>23</v>
      </c>
    </row>
    <row r="3328" spans="1:11" ht="42" customHeight="1">
      <c r="A3328" s="4" t="s">
        <v>8408</v>
      </c>
      <c r="B3328" s="5" t="s">
        <v>8408</v>
      </c>
      <c r="C3328" s="5" t="s">
        <v>18</v>
      </c>
      <c r="D3328" s="5" t="s">
        <v>19</v>
      </c>
      <c r="E3328" s="5" t="s">
        <v>133</v>
      </c>
      <c r="F3328" s="9">
        <v>33</v>
      </c>
      <c r="G3328" s="9">
        <v>387</v>
      </c>
      <c r="H3328" s="5" t="s">
        <v>21</v>
      </c>
      <c r="I3328" s="5" t="s">
        <v>8409</v>
      </c>
      <c r="J3328" s="12" t="str">
        <f>HYPERLINK("https://www.boe.es/gazeta/dias/1802/04/23/pdfs/GMD-1802-33.pdf#page=7","Abrir facsímil")</f>
        <v>Abrir facsímil</v>
      </c>
      <c r="K3328" s="15" t="s">
        <v>23</v>
      </c>
    </row>
    <row r="3329" spans="1:11" ht="42" customHeight="1">
      <c r="A3329" s="4" t="s">
        <v>8410</v>
      </c>
      <c r="B3329" s="5" t="s">
        <v>8410</v>
      </c>
      <c r="C3329" s="5" t="s">
        <v>42</v>
      </c>
      <c r="D3329" s="5" t="s">
        <v>43</v>
      </c>
      <c r="E3329" s="5" t="s">
        <v>44</v>
      </c>
      <c r="F3329" s="9">
        <v>99</v>
      </c>
      <c r="G3329" s="9" t="s">
        <v>779</v>
      </c>
      <c r="H3329" s="5" t="s">
        <v>21</v>
      </c>
      <c r="I3329" s="5" t="s">
        <v>8411</v>
      </c>
      <c r="J3329" s="12" t="str">
        <f>HYPERLINK("https://www.boe.es/gazeta/dias/1802/12/07/pdfs/GMD-D-1802-99.pdf#page=13","Abrir facsímil")</f>
        <v>Abrir facsímil</v>
      </c>
      <c r="K3329" s="15" t="s">
        <v>23</v>
      </c>
    </row>
    <row r="3330" spans="1:11" ht="42" customHeight="1">
      <c r="A3330" s="4" t="s">
        <v>8412</v>
      </c>
      <c r="B3330" s="5" t="s">
        <v>8412</v>
      </c>
      <c r="C3330" s="5" t="s">
        <v>160</v>
      </c>
      <c r="D3330" s="5" t="s">
        <v>91</v>
      </c>
      <c r="E3330" s="5" t="s">
        <v>749</v>
      </c>
      <c r="F3330" s="9">
        <v>97</v>
      </c>
      <c r="G3330" s="9">
        <v>1203</v>
      </c>
      <c r="H3330" s="5" t="s">
        <v>21</v>
      </c>
      <c r="I3330" s="5" t="s">
        <v>8413</v>
      </c>
      <c r="J3330" s="12" t="str">
        <f>HYPERLINK("https://www.boe.es/gazeta/dias/1802/11/30/pdfs/GMD-1802-97.pdf#page=11","Abrir facsímil")</f>
        <v>Abrir facsímil</v>
      </c>
      <c r="K3330" s="15" t="s">
        <v>23</v>
      </c>
    </row>
    <row r="3331" spans="1:11" ht="42" customHeight="1">
      <c r="A3331" s="4" t="s">
        <v>8414</v>
      </c>
      <c r="B3331" s="5" t="s">
        <v>8414</v>
      </c>
      <c r="C3331" s="5" t="s">
        <v>29</v>
      </c>
      <c r="D3331" s="5" t="s">
        <v>30</v>
      </c>
      <c r="E3331" s="5" t="s">
        <v>71</v>
      </c>
      <c r="F3331" s="9">
        <v>21</v>
      </c>
      <c r="G3331" s="9">
        <v>234</v>
      </c>
      <c r="H3331" s="5" t="s">
        <v>21</v>
      </c>
      <c r="I3331" s="5" t="s">
        <v>8415</v>
      </c>
      <c r="J3331" s="12" t="str">
        <f>HYPERLINK("https://www.boe.es/gazeta/dias/1802/03/12/pdfs/GMD-1802-21.pdf#page=10","Abrir facsímil")</f>
        <v>Abrir facsímil</v>
      </c>
      <c r="K3331" s="15" t="s">
        <v>23</v>
      </c>
    </row>
    <row r="3332" spans="1:11" ht="42" customHeight="1">
      <c r="A3332" s="4" t="s">
        <v>8414</v>
      </c>
      <c r="B3332" s="5" t="s">
        <v>8414</v>
      </c>
      <c r="C3332" s="5" t="s">
        <v>29</v>
      </c>
      <c r="D3332" s="5" t="s">
        <v>30</v>
      </c>
      <c r="E3332" s="5" t="s">
        <v>170</v>
      </c>
      <c r="F3332" s="9">
        <v>28</v>
      </c>
      <c r="G3332" s="9">
        <v>331</v>
      </c>
      <c r="H3332" s="5" t="s">
        <v>21</v>
      </c>
      <c r="I3332" s="5" t="s">
        <v>8416</v>
      </c>
      <c r="J3332" s="12" t="str">
        <f>HYPERLINK("https://www.boe.es/gazeta/dias/1802/04/06/pdfs/GMD-1802-28.pdf#page=11","Abrir facsímil")</f>
        <v>Abrir facsímil</v>
      </c>
      <c r="K3332" s="15" t="s">
        <v>23</v>
      </c>
    </row>
    <row r="3333" spans="1:11" ht="42" customHeight="1">
      <c r="A3333" s="4" t="s">
        <v>8414</v>
      </c>
      <c r="B3333" s="5" t="s">
        <v>8414</v>
      </c>
      <c r="C3333" s="5" t="s">
        <v>29</v>
      </c>
      <c r="D3333" s="5" t="s">
        <v>30</v>
      </c>
      <c r="E3333" s="5" t="s">
        <v>436</v>
      </c>
      <c r="F3333" s="9">
        <v>58</v>
      </c>
      <c r="G3333" s="9">
        <v>703</v>
      </c>
      <c r="H3333" s="5" t="s">
        <v>21</v>
      </c>
      <c r="I3333" s="5" t="s">
        <v>8417</v>
      </c>
      <c r="J3333" s="12" t="str">
        <f>HYPERLINK("https://www.boe.es/gazeta/dias/1802/07/20/pdfs/GMD-1802-58.pdf#page=11","Abrir facsímil")</f>
        <v>Abrir facsímil</v>
      </c>
      <c r="K3333" s="15" t="s">
        <v>23</v>
      </c>
    </row>
    <row r="3334" spans="1:11" ht="42" customHeight="1">
      <c r="A3334" s="4" t="s">
        <v>8414</v>
      </c>
      <c r="B3334" s="5" t="s">
        <v>8414</v>
      </c>
      <c r="C3334" s="5" t="s">
        <v>29</v>
      </c>
      <c r="D3334" s="5" t="s">
        <v>30</v>
      </c>
      <c r="E3334" s="5" t="s">
        <v>751</v>
      </c>
      <c r="F3334" s="9">
        <v>98</v>
      </c>
      <c r="G3334" s="9">
        <v>1215</v>
      </c>
      <c r="H3334" s="5" t="s">
        <v>21</v>
      </c>
      <c r="I3334" s="5" t="s">
        <v>8418</v>
      </c>
      <c r="J3334" s="12" t="str">
        <f>HYPERLINK("https://www.boe.es/gazeta/dias/1802/12/03/pdfs/GMD-1802-98.pdf#page=11","Abrir facsímil")</f>
        <v>Abrir facsímil</v>
      </c>
      <c r="K3334" s="15" t="s">
        <v>23</v>
      </c>
    </row>
    <row r="3335" spans="1:11" ht="42" customHeight="1">
      <c r="A3335" s="4" t="s">
        <v>8419</v>
      </c>
      <c r="B3335" s="5" t="s">
        <v>8419</v>
      </c>
      <c r="C3335" s="5" t="s">
        <v>90</v>
      </c>
      <c r="D3335" s="5" t="s">
        <v>91</v>
      </c>
      <c r="E3335" s="5" t="s">
        <v>642</v>
      </c>
      <c r="F3335" s="9">
        <v>51</v>
      </c>
      <c r="G3335" s="9">
        <v>623</v>
      </c>
      <c r="H3335" s="5" t="s">
        <v>21</v>
      </c>
      <c r="I3335" s="5" t="s">
        <v>8420</v>
      </c>
      <c r="J3335" s="12" t="str">
        <f>HYPERLINK("https://www.boe.es/gazeta/dias/1802/06/25/pdfs/GMD-1802-51.pdf#page=11","Abrir facsímil")</f>
        <v>Abrir facsímil</v>
      </c>
      <c r="K3335" s="15" t="s">
        <v>23</v>
      </c>
    </row>
    <row r="3336" spans="1:11" ht="42" customHeight="1">
      <c r="A3336" s="4" t="s">
        <v>8421</v>
      </c>
      <c r="B3336" s="5" t="s">
        <v>8421</v>
      </c>
      <c r="C3336" s="5" t="s">
        <v>42</v>
      </c>
      <c r="D3336" s="5" t="s">
        <v>43</v>
      </c>
      <c r="E3336" s="5" t="s">
        <v>44</v>
      </c>
      <c r="F3336" s="9">
        <v>99</v>
      </c>
      <c r="G3336" s="9" t="s">
        <v>314</v>
      </c>
      <c r="H3336" s="5" t="s">
        <v>21</v>
      </c>
      <c r="I3336" s="5" t="s">
        <v>8422</v>
      </c>
      <c r="J3336" s="12" t="str">
        <f>HYPERLINK("https://www.boe.es/gazeta/dias/1802/12/07/pdfs/GMD-D-1802-99.pdf#page=2","Abrir facsímil")</f>
        <v>Abrir facsímil</v>
      </c>
      <c r="K3336" s="15" t="s">
        <v>23</v>
      </c>
    </row>
    <row r="3337" spans="1:11" ht="42" customHeight="1">
      <c r="A3337" s="4" t="s">
        <v>8423</v>
      </c>
      <c r="B3337" s="5" t="s">
        <v>8423</v>
      </c>
      <c r="C3337" s="5" t="s">
        <v>18</v>
      </c>
      <c r="D3337" s="5" t="s">
        <v>19</v>
      </c>
      <c r="E3337" s="5" t="s">
        <v>49</v>
      </c>
      <c r="F3337" s="9">
        <v>83</v>
      </c>
      <c r="G3337" s="9">
        <v>1023</v>
      </c>
      <c r="H3337" s="5" t="s">
        <v>21</v>
      </c>
      <c r="I3337" s="5" t="s">
        <v>8424</v>
      </c>
      <c r="J3337" s="12" t="str">
        <f>HYPERLINK("https://www.boe.es/gazeta/dias/1802/10/12/pdfs/GMD-1802-83.pdf#page=11","Abrir facsímil")</f>
        <v>Abrir facsímil</v>
      </c>
      <c r="K3337" s="15" t="s">
        <v>23</v>
      </c>
    </row>
    <row r="3338" spans="1:11" ht="42" customHeight="1">
      <c r="A3338" s="4" t="s">
        <v>8425</v>
      </c>
      <c r="B3338" s="5" t="s">
        <v>8425</v>
      </c>
      <c r="C3338" s="5" t="s">
        <v>18</v>
      </c>
      <c r="D3338" s="5" t="s">
        <v>19</v>
      </c>
      <c r="E3338" s="5" t="s">
        <v>655</v>
      </c>
      <c r="F3338" s="9">
        <v>46</v>
      </c>
      <c r="G3338" s="9">
        <v>556</v>
      </c>
      <c r="H3338" s="5" t="s">
        <v>21</v>
      </c>
      <c r="I3338" s="5" t="s">
        <v>8426</v>
      </c>
      <c r="J3338" s="12" t="str">
        <f>HYPERLINK("https://www.boe.es/gazeta/dias/1802/06/08/pdfs/GMD-1802-46.pdf#page=8","Abrir facsímil")</f>
        <v>Abrir facsímil</v>
      </c>
      <c r="K3338" s="15" t="s">
        <v>23</v>
      </c>
    </row>
    <row r="3339" spans="1:11" ht="42" customHeight="1">
      <c r="A3339" s="4" t="s">
        <v>8427</v>
      </c>
      <c r="B3339" s="5" t="s">
        <v>8427</v>
      </c>
      <c r="C3339" s="5" t="s">
        <v>29</v>
      </c>
      <c r="D3339" s="5" t="s">
        <v>30</v>
      </c>
      <c r="E3339" s="5" t="s">
        <v>764</v>
      </c>
      <c r="F3339" s="9">
        <v>69</v>
      </c>
      <c r="G3339" s="9">
        <v>850</v>
      </c>
      <c r="H3339" s="5" t="s">
        <v>21</v>
      </c>
      <c r="I3339" s="5" t="s">
        <v>8428</v>
      </c>
      <c r="J3339" s="12" t="str">
        <f>HYPERLINK("https://www.boe.es/gazeta/dias/1802/08/24/pdfs/GMD-1802-69.pdf#page=10","Abrir facsímil")</f>
        <v>Abrir facsímil</v>
      </c>
      <c r="K3339" s="15" t="s">
        <v>23</v>
      </c>
    </row>
    <row r="3340" spans="1:11" ht="42" customHeight="1">
      <c r="A3340" s="4" t="s">
        <v>8429</v>
      </c>
      <c r="B3340" s="5" t="s">
        <v>8429</v>
      </c>
      <c r="C3340" s="5" t="s">
        <v>18</v>
      </c>
      <c r="D3340" s="5" t="s">
        <v>19</v>
      </c>
      <c r="E3340" s="5" t="s">
        <v>49</v>
      </c>
      <c r="F3340" s="9">
        <v>83</v>
      </c>
      <c r="G3340" s="9">
        <v>1024</v>
      </c>
      <c r="H3340" s="5" t="s">
        <v>21</v>
      </c>
      <c r="I3340" s="5" t="s">
        <v>8430</v>
      </c>
      <c r="J3340" s="12" t="str">
        <f>HYPERLINK("https://www.boe.es/gazeta/dias/1802/10/12/pdfs/GMD-1802-83.pdf#page=12","Abrir facsímil")</f>
        <v>Abrir facsímil</v>
      </c>
      <c r="K3340" s="15" t="s">
        <v>23</v>
      </c>
    </row>
    <row r="3341" spans="1:11" ht="42" customHeight="1">
      <c r="A3341" s="4" t="s">
        <v>8431</v>
      </c>
      <c r="B3341" s="5" t="s">
        <v>8432</v>
      </c>
      <c r="C3341" s="5" t="s">
        <v>35</v>
      </c>
      <c r="D3341" s="5" t="s">
        <v>36</v>
      </c>
      <c r="E3341" s="5" t="s">
        <v>92</v>
      </c>
      <c r="F3341" s="9">
        <v>29</v>
      </c>
      <c r="G3341" s="9">
        <v>339</v>
      </c>
      <c r="H3341" s="5" t="s">
        <v>21</v>
      </c>
      <c r="I3341" s="5" t="s">
        <v>8433</v>
      </c>
      <c r="J3341" s="12" t="str">
        <f>HYPERLINK("https://www.boe.es/gazeta/dias/1802/04/09/pdfs/GMD-1802-29.pdf#page=7","Abrir facsímil")</f>
        <v>Abrir facsímil</v>
      </c>
      <c r="K3341" s="15" t="s">
        <v>23</v>
      </c>
    </row>
    <row r="3342" spans="1:11" ht="42" customHeight="1">
      <c r="A3342" s="4" t="s">
        <v>8434</v>
      </c>
      <c r="B3342" s="5" t="s">
        <v>8435</v>
      </c>
      <c r="C3342" s="5" t="s">
        <v>35</v>
      </c>
      <c r="D3342" s="5" t="s">
        <v>36</v>
      </c>
      <c r="E3342" s="5" t="s">
        <v>148</v>
      </c>
      <c r="F3342" s="9">
        <v>66</v>
      </c>
      <c r="G3342" s="9">
        <v>808</v>
      </c>
      <c r="H3342" s="5" t="s">
        <v>21</v>
      </c>
      <c r="I3342" s="5" t="s">
        <v>8436</v>
      </c>
      <c r="J3342" s="12" t="str">
        <f>HYPERLINK("https://www.boe.es/gazeta/dias/1802/08/13/pdfs/GMD-1802-66.pdf#page=12","Abrir facsímil")</f>
        <v>Abrir facsímil</v>
      </c>
      <c r="K3342" s="15" t="s">
        <v>23</v>
      </c>
    </row>
    <row r="3343" spans="1:11" ht="42" customHeight="1">
      <c r="A3343" s="4" t="s">
        <v>8437</v>
      </c>
      <c r="B3343" s="5" t="s">
        <v>8437</v>
      </c>
      <c r="C3343" s="5" t="s">
        <v>18</v>
      </c>
      <c r="D3343" s="5" t="s">
        <v>19</v>
      </c>
      <c r="E3343" s="5" t="s">
        <v>814</v>
      </c>
      <c r="F3343" s="9">
        <v>41</v>
      </c>
      <c r="G3343" s="9">
        <v>495</v>
      </c>
      <c r="H3343" s="5" t="s">
        <v>21</v>
      </c>
      <c r="I3343" s="5" t="s">
        <v>8438</v>
      </c>
      <c r="J3343" s="12" t="str">
        <f>HYPERLINK("https://www.boe.es/gazeta/dias/1802/05/21/pdfs/GMD-1802-41.pdf#page=11","Abrir facsímil")</f>
        <v>Abrir facsímil</v>
      </c>
      <c r="K3343" s="15" t="s">
        <v>23</v>
      </c>
    </row>
    <row r="3344" spans="1:11" ht="42" customHeight="1">
      <c r="A3344" s="4" t="s">
        <v>8439</v>
      </c>
      <c r="B3344" s="5" t="s">
        <v>8440</v>
      </c>
      <c r="C3344" s="5" t="s">
        <v>29</v>
      </c>
      <c r="D3344" s="5" t="s">
        <v>30</v>
      </c>
      <c r="E3344" s="5" t="s">
        <v>206</v>
      </c>
      <c r="F3344" s="9">
        <v>22</v>
      </c>
      <c r="G3344" s="9">
        <v>241</v>
      </c>
      <c r="H3344" s="5" t="s">
        <v>21</v>
      </c>
      <c r="I3344" s="5" t="s">
        <v>8441</v>
      </c>
      <c r="J3344" s="12" t="str">
        <f>HYPERLINK("https://www.boe.es/gazeta/dias/1802/03/16/pdfs/GMD-1802-22.pdf#page=9","Abrir facsímil")</f>
        <v>Abrir facsímil</v>
      </c>
      <c r="K3344" s="15" t="s">
        <v>23</v>
      </c>
    </row>
    <row r="3345" spans="1:11" ht="42" customHeight="1">
      <c r="A3345" s="4" t="s">
        <v>8442</v>
      </c>
      <c r="B3345" s="5" t="s">
        <v>8443</v>
      </c>
      <c r="C3345" s="5" t="s">
        <v>90</v>
      </c>
      <c r="D3345" s="5" t="s">
        <v>91</v>
      </c>
      <c r="E3345" s="5" t="s">
        <v>181</v>
      </c>
      <c r="F3345" s="9">
        <v>55</v>
      </c>
      <c r="G3345" s="9">
        <v>667</v>
      </c>
      <c r="H3345" s="5" t="s">
        <v>21</v>
      </c>
      <c r="I3345" s="5" t="s">
        <v>8444</v>
      </c>
      <c r="J3345" s="12" t="str">
        <f>HYPERLINK("https://www.boe.es/gazeta/dias/1802/07/09/pdfs/GMD-1802-55.pdf#page=11","Abrir facsímil")</f>
        <v>Abrir facsímil</v>
      </c>
      <c r="K3345" s="15" t="s">
        <v>23</v>
      </c>
    </row>
    <row r="3346" spans="1:11" ht="42" customHeight="1">
      <c r="A3346" s="4" t="s">
        <v>8445</v>
      </c>
      <c r="B3346" s="5" t="s">
        <v>8446</v>
      </c>
      <c r="C3346" s="5" t="s">
        <v>2417</v>
      </c>
      <c r="D3346" s="5" t="s">
        <v>2418</v>
      </c>
      <c r="E3346" s="5" t="s">
        <v>206</v>
      </c>
      <c r="F3346" s="9">
        <v>22</v>
      </c>
      <c r="G3346" s="9">
        <v>246</v>
      </c>
      <c r="H3346" s="5" t="s">
        <v>21</v>
      </c>
      <c r="I3346" s="5" t="s">
        <v>8447</v>
      </c>
      <c r="J3346" s="12" t="str">
        <f>HYPERLINK("https://www.boe.es/gazeta/dias/1802/03/16/pdfs/GMD-C-1802-22.pdf#page=2","Abrir facsímil")</f>
        <v>Abrir facsímil</v>
      </c>
      <c r="K3346" s="15" t="s">
        <v>23</v>
      </c>
    </row>
    <row r="3347" spans="1:11" ht="42" customHeight="1">
      <c r="A3347" s="4" t="s">
        <v>8445</v>
      </c>
      <c r="B3347" s="5" t="s">
        <v>8446</v>
      </c>
      <c r="C3347" s="5" t="s">
        <v>18</v>
      </c>
      <c r="D3347" s="5" t="s">
        <v>19</v>
      </c>
      <c r="E3347" s="5" t="s">
        <v>167</v>
      </c>
      <c r="F3347" s="9">
        <v>23</v>
      </c>
      <c r="G3347" s="9">
        <v>260</v>
      </c>
      <c r="H3347" s="5" t="s">
        <v>21</v>
      </c>
      <c r="I3347" s="5" t="s">
        <v>8448</v>
      </c>
      <c r="J3347" s="12" t="str">
        <f>HYPERLINK("https://www.boe.es/gazeta/dias/1802/03/19/pdfs/GMD-1802-23.pdf#page=8","Abrir facsímil")</f>
        <v>Abrir facsímil</v>
      </c>
      <c r="K3347" s="15" t="s">
        <v>23</v>
      </c>
    </row>
    <row r="3348" spans="1:11" ht="42" customHeight="1">
      <c r="A3348" s="4" t="s">
        <v>8445</v>
      </c>
      <c r="B3348" s="5" t="s">
        <v>8446</v>
      </c>
      <c r="C3348" s="5" t="s">
        <v>18</v>
      </c>
      <c r="D3348" s="5" t="s">
        <v>19</v>
      </c>
      <c r="E3348" s="5" t="s">
        <v>332</v>
      </c>
      <c r="F3348" s="9">
        <v>24</v>
      </c>
      <c r="G3348" s="9">
        <v>273</v>
      </c>
      <c r="H3348" s="5" t="s">
        <v>21</v>
      </c>
      <c r="I3348" s="5" t="s">
        <v>8449</v>
      </c>
      <c r="J3348" s="12" t="str">
        <f>HYPERLINK("https://www.boe.es/gazeta/dias/1802/03/23/pdfs/GMD-1802-24.pdf#page=9","Abrir facsímil")</f>
        <v>Abrir facsímil</v>
      </c>
      <c r="K3348" s="15" t="s">
        <v>23</v>
      </c>
    </row>
    <row r="3349" spans="1:11" ht="42" customHeight="1">
      <c r="A3349" s="4" t="s">
        <v>8445</v>
      </c>
      <c r="B3349" s="5" t="s">
        <v>8446</v>
      </c>
      <c r="C3349" s="5" t="s">
        <v>18</v>
      </c>
      <c r="D3349" s="5" t="s">
        <v>19</v>
      </c>
      <c r="E3349" s="5" t="s">
        <v>1749</v>
      </c>
      <c r="F3349" s="9">
        <v>60</v>
      </c>
      <c r="G3349" s="9">
        <v>730</v>
      </c>
      <c r="H3349" s="5" t="s">
        <v>21</v>
      </c>
      <c r="I3349" s="5" t="s">
        <v>8450</v>
      </c>
      <c r="J3349" s="12" t="str">
        <f>HYPERLINK("https://www.boe.es/gazeta/dias/1802/07/23/pdfs/GMD-1802-60.pdf#page=14","Abrir facsímil")</f>
        <v>Abrir facsímil</v>
      </c>
      <c r="K3349" s="15" t="s">
        <v>23</v>
      </c>
    </row>
    <row r="3350" spans="1:11" ht="42" customHeight="1">
      <c r="A3350" s="4" t="s">
        <v>8445</v>
      </c>
      <c r="B3350" s="5" t="s">
        <v>8446</v>
      </c>
      <c r="C3350" s="5" t="s">
        <v>18</v>
      </c>
      <c r="D3350" s="5" t="s">
        <v>19</v>
      </c>
      <c r="E3350" s="5" t="s">
        <v>517</v>
      </c>
      <c r="F3350" s="9">
        <v>61</v>
      </c>
      <c r="G3350" s="9">
        <v>742</v>
      </c>
      <c r="H3350" s="5" t="s">
        <v>21</v>
      </c>
      <c r="I3350" s="5" t="s">
        <v>8451</v>
      </c>
      <c r="J3350" s="12" t="str">
        <f>HYPERLINK("https://www.boe.es/gazeta/dias/1802/07/27/pdfs/GMD-1802-61.pdf#page=10","Abrir facsímil")</f>
        <v>Abrir facsímil</v>
      </c>
      <c r="K3350" s="15" t="s">
        <v>23</v>
      </c>
    </row>
    <row r="3351" spans="1:11" ht="42" customHeight="1">
      <c r="A3351" s="4" t="s">
        <v>8445</v>
      </c>
      <c r="B3351" s="5" t="s">
        <v>8446</v>
      </c>
      <c r="C3351" s="5" t="s">
        <v>18</v>
      </c>
      <c r="D3351" s="5" t="s">
        <v>19</v>
      </c>
      <c r="E3351" s="5" t="s">
        <v>292</v>
      </c>
      <c r="F3351" s="9">
        <v>62</v>
      </c>
      <c r="G3351" s="9">
        <v>754</v>
      </c>
      <c r="H3351" s="5" t="s">
        <v>21</v>
      </c>
      <c r="I3351" s="5" t="s">
        <v>8452</v>
      </c>
      <c r="J3351" s="12" t="str">
        <f>HYPERLINK("https://www.boe.es/gazeta/dias/1802/07/30/pdfs/GMD-1802-62.pdf#page=10","Abrir facsímil")</f>
        <v>Abrir facsímil</v>
      </c>
      <c r="K3351" s="15" t="s">
        <v>23</v>
      </c>
    </row>
    <row r="3352" spans="1:11" ht="42" customHeight="1">
      <c r="A3352" s="4" t="s">
        <v>8445</v>
      </c>
      <c r="B3352" s="5" t="s">
        <v>8446</v>
      </c>
      <c r="C3352" s="5" t="s">
        <v>18</v>
      </c>
      <c r="D3352" s="5" t="s">
        <v>19</v>
      </c>
      <c r="E3352" s="5" t="s">
        <v>1185</v>
      </c>
      <c r="F3352" s="9">
        <v>93</v>
      </c>
      <c r="G3352" s="9">
        <v>1151</v>
      </c>
      <c r="H3352" s="5" t="s">
        <v>21</v>
      </c>
      <c r="I3352" s="5" t="s">
        <v>8453</v>
      </c>
      <c r="J3352" s="12" t="str">
        <f>HYPERLINK("https://www.boe.es/gazeta/dias/1802/11/16/pdfs/GMD-1802-93.pdf#page=11","Abrir facsímil")</f>
        <v>Abrir facsímil</v>
      </c>
      <c r="K3352" s="15" t="s">
        <v>23</v>
      </c>
    </row>
    <row r="3353" spans="1:11" ht="42" customHeight="1">
      <c r="A3353" s="4" t="s">
        <v>8445</v>
      </c>
      <c r="B3353" s="5" t="s">
        <v>8446</v>
      </c>
      <c r="C3353" s="5" t="s">
        <v>35</v>
      </c>
      <c r="D3353" s="5" t="s">
        <v>36</v>
      </c>
      <c r="E3353" s="5" t="s">
        <v>823</v>
      </c>
      <c r="F3353" s="9">
        <v>94</v>
      </c>
      <c r="G3353" s="9">
        <v>1163</v>
      </c>
      <c r="H3353" s="5" t="s">
        <v>21</v>
      </c>
      <c r="I3353" s="5" t="s">
        <v>8454</v>
      </c>
      <c r="J3353" s="12" t="str">
        <f>HYPERLINK("https://www.boe.es/gazeta/dias/1802/11/19/pdfs/GMD-1802-94.pdf#page=11","Abrir facsímil")</f>
        <v>Abrir facsímil</v>
      </c>
      <c r="K3353" s="15" t="s">
        <v>23</v>
      </c>
    </row>
    <row r="3354" spans="1:11" ht="42" customHeight="1">
      <c r="A3354" s="4" t="s">
        <v>8455</v>
      </c>
      <c r="B3354" s="5" t="s">
        <v>8456</v>
      </c>
      <c r="C3354" s="5" t="s">
        <v>90</v>
      </c>
      <c r="D3354" s="5" t="s">
        <v>91</v>
      </c>
      <c r="E3354" s="5" t="s">
        <v>1051</v>
      </c>
      <c r="F3354" s="9">
        <v>43</v>
      </c>
      <c r="G3354" s="9">
        <v>517</v>
      </c>
      <c r="H3354" s="5" t="s">
        <v>21</v>
      </c>
      <c r="I3354" s="5" t="s">
        <v>8457</v>
      </c>
      <c r="J3354" s="12" t="str">
        <f>HYPERLINK("https://www.boe.es/gazeta/dias/1802/05/28/pdfs/GMD-1802-43.pdf#page=9","Abrir facsímil")</f>
        <v>Abrir facsímil</v>
      </c>
      <c r="K3354" s="15" t="s">
        <v>23</v>
      </c>
    </row>
    <row r="3355" spans="1:11" ht="42" customHeight="1">
      <c r="A3355" s="4" t="s">
        <v>8458</v>
      </c>
      <c r="B3355" s="5" t="s">
        <v>8459</v>
      </c>
      <c r="C3355" s="5" t="s">
        <v>29</v>
      </c>
      <c r="D3355" s="5" t="s">
        <v>30</v>
      </c>
      <c r="E3355" s="5" t="s">
        <v>631</v>
      </c>
      <c r="F3355" s="9">
        <v>36</v>
      </c>
      <c r="G3355" s="9">
        <v>430</v>
      </c>
      <c r="H3355" s="5" t="s">
        <v>21</v>
      </c>
      <c r="I3355" s="5" t="s">
        <v>8460</v>
      </c>
      <c r="J3355" s="12" t="str">
        <f>HYPERLINK("https://www.boe.es/gazeta/dias/1802/05/04/pdfs/GMD-1802-36.pdf#page=10","Abrir facsímil")</f>
        <v>Abrir facsímil</v>
      </c>
      <c r="K3355" s="15" t="s">
        <v>23</v>
      </c>
    </row>
    <row r="3356" spans="1:11" ht="42" customHeight="1">
      <c r="A3356" s="4" t="s">
        <v>8461</v>
      </c>
      <c r="B3356" s="5" t="s">
        <v>8462</v>
      </c>
      <c r="C3356" s="5" t="s">
        <v>29</v>
      </c>
      <c r="D3356" s="5" t="s">
        <v>30</v>
      </c>
      <c r="E3356" s="5" t="s">
        <v>82</v>
      </c>
      <c r="F3356" s="9">
        <v>74</v>
      </c>
      <c r="G3356" s="9">
        <v>915</v>
      </c>
      <c r="H3356" s="5" t="s">
        <v>21</v>
      </c>
      <c r="I3356" s="5" t="s">
        <v>8463</v>
      </c>
      <c r="J3356" s="12" t="str">
        <f>HYPERLINK("https://www.boe.es/gazeta/dias/1802/09/10/pdfs/GMD-1802-74.pdf#page=11","Abrir facsímil")</f>
        <v>Abrir facsímil</v>
      </c>
      <c r="K3356" s="15" t="s">
        <v>23</v>
      </c>
    </row>
    <row r="3357" spans="1:11" ht="42" customHeight="1">
      <c r="A3357" s="4" t="s">
        <v>8464</v>
      </c>
      <c r="B3357" s="5" t="s">
        <v>8465</v>
      </c>
      <c r="C3357" s="5" t="s">
        <v>42</v>
      </c>
      <c r="D3357" s="5" t="s">
        <v>43</v>
      </c>
      <c r="E3357" s="5" t="s">
        <v>44</v>
      </c>
      <c r="F3357" s="9">
        <v>99</v>
      </c>
      <c r="G3357" s="9" t="s">
        <v>554</v>
      </c>
      <c r="H3357" s="5" t="s">
        <v>21</v>
      </c>
      <c r="I3357" s="5" t="s">
        <v>8466</v>
      </c>
      <c r="J3357" s="12" t="str">
        <f>HYPERLINK("https://www.boe.es/gazeta/dias/1802/12/07/pdfs/GMD-D-1802-99.pdf#page=4","Abrir facsímil")</f>
        <v>Abrir facsímil</v>
      </c>
      <c r="K3357" s="15" t="s">
        <v>23</v>
      </c>
    </row>
    <row r="3358" spans="1:11" ht="42" customHeight="1">
      <c r="A3358" s="4" t="s">
        <v>8467</v>
      </c>
      <c r="B3358" s="5" t="s">
        <v>8468</v>
      </c>
      <c r="C3358" s="5" t="s">
        <v>18</v>
      </c>
      <c r="D3358" s="5" t="s">
        <v>19</v>
      </c>
      <c r="E3358" s="5" t="s">
        <v>152</v>
      </c>
      <c r="F3358" s="9">
        <v>25</v>
      </c>
      <c r="G3358" s="9">
        <v>285</v>
      </c>
      <c r="H3358" s="5" t="s">
        <v>21</v>
      </c>
      <c r="I3358" s="5" t="s">
        <v>8469</v>
      </c>
      <c r="J3358" s="12" t="str">
        <f>HYPERLINK("https://www.boe.es/gazeta/dias/1802/03/26/pdfs/GMD-1802-25.pdf#page=9","Abrir facsímil")</f>
        <v>Abrir facsímil</v>
      </c>
      <c r="K3358" s="15" t="s">
        <v>23</v>
      </c>
    </row>
    <row r="3359" spans="1:11" ht="42" customHeight="1">
      <c r="A3359" s="4" t="s">
        <v>8470</v>
      </c>
      <c r="B3359" s="5" t="s">
        <v>8471</v>
      </c>
      <c r="C3359" s="5" t="s">
        <v>18</v>
      </c>
      <c r="D3359" s="5" t="s">
        <v>19</v>
      </c>
      <c r="E3359" s="5" t="s">
        <v>206</v>
      </c>
      <c r="F3359" s="9">
        <v>22</v>
      </c>
      <c r="G3359" s="9">
        <v>241</v>
      </c>
      <c r="H3359" s="5" t="s">
        <v>21</v>
      </c>
      <c r="I3359" s="5" t="s">
        <v>8472</v>
      </c>
      <c r="J3359" s="12" t="str">
        <f>HYPERLINK("https://www.boe.es/gazeta/dias/1802/03/16/pdfs/GMD-1802-22.pdf#page=9","Abrir facsímil")</f>
        <v>Abrir facsímil</v>
      </c>
      <c r="K3359" s="15" t="s">
        <v>23</v>
      </c>
    </row>
    <row r="3360" spans="1:11" ht="42" customHeight="1">
      <c r="A3360" s="4" t="s">
        <v>8473</v>
      </c>
      <c r="B3360" s="5" t="s">
        <v>8474</v>
      </c>
      <c r="C3360" s="5" t="s">
        <v>18</v>
      </c>
      <c r="D3360" s="5" t="s">
        <v>19</v>
      </c>
      <c r="E3360" s="5" t="s">
        <v>20</v>
      </c>
      <c r="F3360" s="9">
        <v>84</v>
      </c>
      <c r="G3360" s="9">
        <v>1046</v>
      </c>
      <c r="H3360" s="5" t="s">
        <v>21</v>
      </c>
      <c r="I3360" s="5" t="s">
        <v>8475</v>
      </c>
      <c r="J3360" s="12" t="str">
        <f>HYPERLINK("https://www.boe.es/gazeta/dias/1802/10/15/pdfs/GMD-1802-84.pdf#page=14","Abrir facsímil")</f>
        <v>Abrir facsímil</v>
      </c>
      <c r="K3360" s="15" t="s">
        <v>23</v>
      </c>
    </row>
    <row r="3361" spans="1:11" ht="42" customHeight="1">
      <c r="A3361" s="4" t="s">
        <v>8476</v>
      </c>
      <c r="B3361" s="5" t="s">
        <v>8477</v>
      </c>
      <c r="C3361" s="5" t="s">
        <v>29</v>
      </c>
      <c r="D3361" s="5" t="s">
        <v>30</v>
      </c>
      <c r="E3361" s="5" t="s">
        <v>152</v>
      </c>
      <c r="F3361" s="9">
        <v>25</v>
      </c>
      <c r="G3361" s="9">
        <v>284</v>
      </c>
      <c r="H3361" s="5" t="s">
        <v>21</v>
      </c>
      <c r="I3361" s="5" t="s">
        <v>8478</v>
      </c>
      <c r="J3361" s="12" t="str">
        <f>HYPERLINK("https://www.boe.es/gazeta/dias/1802/03/26/pdfs/GMD-1802-25.pdf#page=8","Abrir facsímil")</f>
        <v>Abrir facsímil</v>
      </c>
      <c r="K3361" s="15" t="s">
        <v>23</v>
      </c>
    </row>
    <row r="3362" spans="1:11" ht="42" customHeight="1">
      <c r="A3362" s="4" t="s">
        <v>8476</v>
      </c>
      <c r="B3362" s="5" t="s">
        <v>8477</v>
      </c>
      <c r="C3362" s="5" t="s">
        <v>18</v>
      </c>
      <c r="D3362" s="5" t="s">
        <v>19</v>
      </c>
      <c r="E3362" s="5" t="s">
        <v>152</v>
      </c>
      <c r="F3362" s="9">
        <v>25</v>
      </c>
      <c r="G3362" s="9">
        <v>285</v>
      </c>
      <c r="H3362" s="5" t="s">
        <v>21</v>
      </c>
      <c r="I3362" s="5" t="s">
        <v>8479</v>
      </c>
      <c r="J3362" s="12" t="str">
        <f>HYPERLINK("https://www.boe.es/gazeta/dias/1802/03/26/pdfs/GMD-1802-25.pdf#page=9","Abrir facsímil")</f>
        <v>Abrir facsímil</v>
      </c>
      <c r="K3362" s="15" t="s">
        <v>23</v>
      </c>
    </row>
    <row r="3363" spans="1:11" ht="42" customHeight="1">
      <c r="A3363" s="4" t="s">
        <v>8480</v>
      </c>
      <c r="B3363" s="5" t="s">
        <v>8480</v>
      </c>
      <c r="C3363" s="5" t="s">
        <v>90</v>
      </c>
      <c r="D3363" s="5" t="s">
        <v>91</v>
      </c>
      <c r="E3363" s="5" t="s">
        <v>86</v>
      </c>
      <c r="F3363" s="9">
        <v>26</v>
      </c>
      <c r="G3363" s="9">
        <v>297</v>
      </c>
      <c r="H3363" s="5" t="s">
        <v>21</v>
      </c>
      <c r="I3363" s="5" t="s">
        <v>8481</v>
      </c>
      <c r="J3363" s="12" t="str">
        <f>HYPERLINK("https://www.boe.es/gazeta/dias/1802/03/30/pdfs/GMD-1802-26.pdf#page=9","Abrir facsímil")</f>
        <v>Abrir facsímil</v>
      </c>
      <c r="K3363" s="15" t="s">
        <v>23</v>
      </c>
    </row>
    <row r="3364" spans="1:11" ht="42" customHeight="1">
      <c r="A3364" s="4" t="s">
        <v>8480</v>
      </c>
      <c r="B3364" s="5" t="s">
        <v>8480</v>
      </c>
      <c r="C3364" s="5" t="s">
        <v>29</v>
      </c>
      <c r="D3364" s="5" t="s">
        <v>30</v>
      </c>
      <c r="E3364" s="5" t="s">
        <v>192</v>
      </c>
      <c r="F3364" s="9">
        <v>53</v>
      </c>
      <c r="G3364" s="9">
        <v>642</v>
      </c>
      <c r="H3364" s="5" t="s">
        <v>21</v>
      </c>
      <c r="I3364" s="5" t="s">
        <v>8482</v>
      </c>
      <c r="J3364" s="12" t="str">
        <f>HYPERLINK("https://www.boe.es/gazeta/dias/1802/07/02/pdfs/GMD-1802-53.pdf#page=10","Abrir facsímil")</f>
        <v>Abrir facsímil</v>
      </c>
      <c r="K3364" s="15" t="s">
        <v>23</v>
      </c>
    </row>
    <row r="3365" spans="1:11" ht="42" customHeight="1">
      <c r="A3365" s="4" t="s">
        <v>8483</v>
      </c>
      <c r="B3365" s="5" t="s">
        <v>8483</v>
      </c>
      <c r="C3365" s="5" t="s">
        <v>18</v>
      </c>
      <c r="D3365" s="5" t="s">
        <v>19</v>
      </c>
      <c r="E3365" s="5" t="s">
        <v>49</v>
      </c>
      <c r="F3365" s="9">
        <v>83</v>
      </c>
      <c r="G3365" s="9">
        <v>1025</v>
      </c>
      <c r="H3365" s="5" t="s">
        <v>21</v>
      </c>
      <c r="I3365" s="5" t="s">
        <v>8484</v>
      </c>
      <c r="J3365" s="12" t="str">
        <f>HYPERLINK("https://www.boe.es/gazeta/dias/1802/10/12/pdfs/GMD-1802-83.pdf#page=13","Abrir facsímil")</f>
        <v>Abrir facsímil</v>
      </c>
      <c r="K3365" s="15" t="s">
        <v>23</v>
      </c>
    </row>
    <row r="3366" spans="1:11" ht="42" customHeight="1">
      <c r="A3366" s="4" t="s">
        <v>8485</v>
      </c>
      <c r="B3366" s="5" t="s">
        <v>8485</v>
      </c>
      <c r="C3366" s="5" t="s">
        <v>42</v>
      </c>
      <c r="D3366" s="5" t="s">
        <v>43</v>
      </c>
      <c r="E3366" s="5" t="s">
        <v>44</v>
      </c>
      <c r="F3366" s="9">
        <v>99</v>
      </c>
      <c r="G3366" s="9" t="s">
        <v>314</v>
      </c>
      <c r="H3366" s="5" t="s">
        <v>21</v>
      </c>
      <c r="I3366" s="5" t="s">
        <v>8486</v>
      </c>
      <c r="J3366" s="12" t="str">
        <f>HYPERLINK("https://www.boe.es/gazeta/dias/1802/12/07/pdfs/GMD-D-1802-99.pdf#page=2","Abrir facsímil")</f>
        <v>Abrir facsímil</v>
      </c>
      <c r="K3366" s="15" t="s">
        <v>23</v>
      </c>
    </row>
    <row r="3367" spans="1:11" ht="42" customHeight="1">
      <c r="A3367" s="4" t="s">
        <v>8487</v>
      </c>
      <c r="B3367" s="5" t="s">
        <v>8487</v>
      </c>
      <c r="C3367" s="5" t="s">
        <v>35</v>
      </c>
      <c r="D3367" s="5" t="s">
        <v>36</v>
      </c>
      <c r="E3367" s="5" t="s">
        <v>86</v>
      </c>
      <c r="F3367" s="9">
        <v>26</v>
      </c>
      <c r="G3367" s="9">
        <v>296</v>
      </c>
      <c r="H3367" s="5" t="s">
        <v>21</v>
      </c>
      <c r="I3367" s="5" t="s">
        <v>8488</v>
      </c>
      <c r="J3367" s="12" t="str">
        <f>HYPERLINK("https://www.boe.es/gazeta/dias/1802/03/30/pdfs/GMD-1802-26.pdf#page=8","Abrir facsímil")</f>
        <v>Abrir facsímil</v>
      </c>
      <c r="K3367" s="15" t="s">
        <v>23</v>
      </c>
    </row>
    <row r="3368" spans="1:11" ht="42" customHeight="1">
      <c r="A3368" s="4" t="s">
        <v>8489</v>
      </c>
      <c r="B3368" s="5" t="s">
        <v>8489</v>
      </c>
      <c r="C3368" s="5" t="s">
        <v>18</v>
      </c>
      <c r="D3368" s="5" t="s">
        <v>19</v>
      </c>
      <c r="E3368" s="5" t="s">
        <v>20</v>
      </c>
      <c r="F3368" s="9">
        <v>84</v>
      </c>
      <c r="G3368" s="9">
        <v>1047</v>
      </c>
      <c r="H3368" s="5" t="s">
        <v>21</v>
      </c>
      <c r="I3368" s="5" t="s">
        <v>8490</v>
      </c>
      <c r="J3368" s="12" t="str">
        <f>HYPERLINK("https://www.boe.es/gazeta/dias/1802/10/15/pdfs/GMD-1802-84.pdf#page=15","Abrir facsímil")</f>
        <v>Abrir facsímil</v>
      </c>
      <c r="K3368" s="15" t="s">
        <v>23</v>
      </c>
    </row>
    <row r="3369" spans="1:11" ht="42" customHeight="1">
      <c r="A3369" s="4" t="s">
        <v>8491</v>
      </c>
      <c r="B3369" s="5" t="s">
        <v>8491</v>
      </c>
      <c r="C3369" s="5" t="s">
        <v>18</v>
      </c>
      <c r="D3369" s="5" t="s">
        <v>19</v>
      </c>
      <c r="E3369" s="5" t="s">
        <v>20</v>
      </c>
      <c r="F3369" s="9">
        <v>84</v>
      </c>
      <c r="G3369" s="9">
        <v>1046</v>
      </c>
      <c r="H3369" s="5" t="s">
        <v>21</v>
      </c>
      <c r="I3369" s="5" t="s">
        <v>8492</v>
      </c>
      <c r="J3369" s="12" t="str">
        <f>HYPERLINK("https://www.boe.es/gazeta/dias/1802/10/15/pdfs/GMD-1802-84.pdf#page=14","Abrir facsímil")</f>
        <v>Abrir facsímil</v>
      </c>
      <c r="K3369" s="15" t="s">
        <v>23</v>
      </c>
    </row>
    <row r="3370" spans="1:11" ht="42" customHeight="1">
      <c r="A3370" s="4" t="s">
        <v>8493</v>
      </c>
      <c r="B3370" s="5" t="s">
        <v>8494</v>
      </c>
      <c r="C3370" s="5" t="s">
        <v>55</v>
      </c>
      <c r="D3370" s="5" t="s">
        <v>56</v>
      </c>
      <c r="E3370" s="5" t="s">
        <v>1381</v>
      </c>
      <c r="F3370" s="9">
        <v>17</v>
      </c>
      <c r="G3370" s="9">
        <v>188</v>
      </c>
      <c r="H3370" s="5" t="s">
        <v>21</v>
      </c>
      <c r="I3370" s="5" t="s">
        <v>8495</v>
      </c>
      <c r="J3370" s="12" t="str">
        <f>HYPERLINK("https://www.boe.es/gazeta/dias/1802/02/26/pdfs/GMD-1802-17.pdf#page=12","Abrir facsímil")</f>
        <v>Abrir facsímil</v>
      </c>
      <c r="K3370" s="15" t="s">
        <v>23</v>
      </c>
    </row>
    <row r="3371" spans="1:11" ht="42" customHeight="1">
      <c r="A3371" s="4" t="s">
        <v>8496</v>
      </c>
      <c r="B3371" s="5" t="s">
        <v>8497</v>
      </c>
      <c r="C3371" s="5" t="s">
        <v>18</v>
      </c>
      <c r="D3371" s="5" t="s">
        <v>19</v>
      </c>
      <c r="E3371" s="5" t="s">
        <v>146</v>
      </c>
      <c r="F3371" s="9">
        <v>42</v>
      </c>
      <c r="G3371" s="9">
        <v>505</v>
      </c>
      <c r="H3371" s="5" t="s">
        <v>21</v>
      </c>
      <c r="I3371" s="5" t="s">
        <v>8498</v>
      </c>
      <c r="J3371" s="12" t="str">
        <f>HYPERLINK("https://www.boe.es/gazeta/dias/1802/05/25/pdfs/GMD-1802-42.pdf#page=9","Abrir facsímil")</f>
        <v>Abrir facsímil</v>
      </c>
      <c r="K3371" s="15" t="s">
        <v>23</v>
      </c>
    </row>
    <row r="3372" spans="1:11" ht="42" customHeight="1">
      <c r="A3372" s="4" t="s">
        <v>8499</v>
      </c>
      <c r="B3372" s="5" t="s">
        <v>8500</v>
      </c>
      <c r="C3372" s="5" t="s">
        <v>29</v>
      </c>
      <c r="D3372" s="5" t="s">
        <v>30</v>
      </c>
      <c r="E3372" s="5" t="s">
        <v>611</v>
      </c>
      <c r="F3372" s="9">
        <v>68</v>
      </c>
      <c r="G3372" s="9">
        <v>834</v>
      </c>
      <c r="H3372" s="5" t="s">
        <v>21</v>
      </c>
      <c r="I3372" s="5" t="s">
        <v>8501</v>
      </c>
      <c r="J3372" s="12" t="str">
        <f>HYPERLINK("https://www.boe.es/gazeta/dias/1802/08/20/pdfs/GMD-1802-68.pdf#page=10","Abrir facsímil")</f>
        <v>Abrir facsímil</v>
      </c>
      <c r="K3372" s="15" t="s">
        <v>23</v>
      </c>
    </row>
    <row r="3373" spans="1:11" ht="42" customHeight="1">
      <c r="A3373" s="4" t="s">
        <v>8502</v>
      </c>
      <c r="B3373" s="5" t="s">
        <v>8503</v>
      </c>
      <c r="C3373" s="5" t="s">
        <v>29</v>
      </c>
      <c r="D3373" s="5" t="s">
        <v>30</v>
      </c>
      <c r="E3373" s="5" t="s">
        <v>907</v>
      </c>
      <c r="F3373" s="9">
        <v>77</v>
      </c>
      <c r="G3373" s="9">
        <v>946</v>
      </c>
      <c r="H3373" s="5" t="s">
        <v>21</v>
      </c>
      <c r="I3373" s="5" t="s">
        <v>8504</v>
      </c>
      <c r="J3373" s="12" t="str">
        <f>HYPERLINK("https://www.boe.es/gazeta/dias/1802/09/21/pdfs/GMD-1802-77.pdf#page=6","Abrir facsímil")</f>
        <v>Abrir facsímil</v>
      </c>
      <c r="K3373" s="15" t="s">
        <v>23</v>
      </c>
    </row>
    <row r="3374" spans="1:11" ht="42" customHeight="1">
      <c r="A3374" s="4" t="s">
        <v>8505</v>
      </c>
      <c r="B3374" s="5" t="s">
        <v>8506</v>
      </c>
      <c r="C3374" s="5" t="s">
        <v>90</v>
      </c>
      <c r="D3374" s="5" t="s">
        <v>91</v>
      </c>
      <c r="E3374" s="5" t="s">
        <v>99</v>
      </c>
      <c r="F3374" s="9">
        <v>86</v>
      </c>
      <c r="G3374" s="9">
        <v>1069</v>
      </c>
      <c r="H3374" s="5" t="s">
        <v>21</v>
      </c>
      <c r="I3374" s="5" t="s">
        <v>8507</v>
      </c>
      <c r="J3374" s="12" t="str">
        <f>HYPERLINK("https://www.boe.es/gazeta/dias/1802/10/22/pdfs/GMD-1802-86.pdf#page=9","Abrir facsímil")</f>
        <v>Abrir facsímil</v>
      </c>
      <c r="K3374" s="15" t="s">
        <v>23</v>
      </c>
    </row>
    <row r="3375" spans="1:11" ht="42" customHeight="1">
      <c r="A3375" s="4" t="s">
        <v>8508</v>
      </c>
      <c r="B3375" s="5" t="s">
        <v>8509</v>
      </c>
      <c r="C3375" s="5" t="s">
        <v>18</v>
      </c>
      <c r="D3375" s="5" t="s">
        <v>19</v>
      </c>
      <c r="E3375" s="5" t="s">
        <v>206</v>
      </c>
      <c r="F3375" s="9">
        <v>22</v>
      </c>
      <c r="G3375" s="9">
        <v>243</v>
      </c>
      <c r="H3375" s="5" t="s">
        <v>21</v>
      </c>
      <c r="I3375" s="5" t="s">
        <v>8510</v>
      </c>
      <c r="J3375" s="12" t="str">
        <f>HYPERLINK("https://www.boe.es/gazeta/dias/1802/03/16/pdfs/GMD-1802-22.pdf#page=11","Abrir facsímil")</f>
        <v>Abrir facsímil</v>
      </c>
      <c r="K3375" s="15" t="s">
        <v>23</v>
      </c>
    </row>
    <row r="3376" spans="1:11" ht="42" customHeight="1">
      <c r="A3376" s="4" t="s">
        <v>8511</v>
      </c>
      <c r="B3376" s="5" t="s">
        <v>8512</v>
      </c>
      <c r="C3376" s="5" t="s">
        <v>29</v>
      </c>
      <c r="D3376" s="5" t="s">
        <v>30</v>
      </c>
      <c r="E3376" s="5" t="s">
        <v>381</v>
      </c>
      <c r="F3376" s="9">
        <v>13</v>
      </c>
      <c r="G3376" s="9">
        <v>131</v>
      </c>
      <c r="H3376" s="5" t="s">
        <v>21</v>
      </c>
      <c r="I3376" s="5" t="s">
        <v>8513</v>
      </c>
      <c r="J3376" s="12" t="str">
        <f>HYPERLINK("https://www.boe.es/gazeta/dias/1802/02/12/pdfs/GMD-1802-13.pdf#page=7","Abrir facsímil")</f>
        <v>Abrir facsímil</v>
      </c>
      <c r="K3376" s="15" t="s">
        <v>23</v>
      </c>
    </row>
    <row r="3377" spans="1:11" ht="42" customHeight="1">
      <c r="A3377" s="4" t="s">
        <v>8514</v>
      </c>
      <c r="B3377" s="5" t="s">
        <v>8515</v>
      </c>
      <c r="C3377" s="5" t="s">
        <v>90</v>
      </c>
      <c r="D3377" s="5" t="s">
        <v>91</v>
      </c>
      <c r="E3377" s="5" t="s">
        <v>183</v>
      </c>
      <c r="F3377" s="9">
        <v>56</v>
      </c>
      <c r="G3377" s="9">
        <v>678</v>
      </c>
      <c r="H3377" s="5" t="s">
        <v>21</v>
      </c>
      <c r="I3377" s="5" t="s">
        <v>8516</v>
      </c>
      <c r="J3377" s="12" t="str">
        <f>HYPERLINK("https://www.boe.es/gazeta/dias/1802/07/13/pdfs/GMD-1802-56.pdf#page=10","Abrir facsímil")</f>
        <v>Abrir facsímil</v>
      </c>
      <c r="K3377" s="15" t="s">
        <v>23</v>
      </c>
    </row>
    <row r="3378" spans="1:11" ht="42" customHeight="1">
      <c r="A3378" s="4" t="s">
        <v>8517</v>
      </c>
      <c r="B3378" s="5" t="s">
        <v>8517</v>
      </c>
      <c r="C3378" s="5" t="s">
        <v>55</v>
      </c>
      <c r="D3378" s="5" t="s">
        <v>56</v>
      </c>
      <c r="E3378" s="5" t="s">
        <v>49</v>
      </c>
      <c r="F3378" s="9">
        <v>83</v>
      </c>
      <c r="G3378" s="9">
        <v>1019</v>
      </c>
      <c r="H3378" s="5" t="s">
        <v>21</v>
      </c>
      <c r="I3378" s="5" t="s">
        <v>8518</v>
      </c>
      <c r="J3378" s="12" t="str">
        <f>HYPERLINK("https://www.boe.es/gazeta/dias/1802/10/12/pdfs/GMD-1802-83.pdf#page=7","Abrir facsímil")</f>
        <v>Abrir facsímil</v>
      </c>
      <c r="K3378" s="15" t="s">
        <v>23</v>
      </c>
    </row>
    <row r="3379" spans="1:11" ht="42" customHeight="1">
      <c r="A3379" s="4" t="s">
        <v>8519</v>
      </c>
      <c r="B3379" s="5" t="s">
        <v>8519</v>
      </c>
      <c r="C3379" s="5" t="s">
        <v>35</v>
      </c>
      <c r="D3379" s="5" t="s">
        <v>36</v>
      </c>
      <c r="E3379" s="5" t="s">
        <v>517</v>
      </c>
      <c r="F3379" s="9">
        <v>61</v>
      </c>
      <c r="G3379" s="9">
        <v>734</v>
      </c>
      <c r="H3379" s="5" t="s">
        <v>21</v>
      </c>
      <c r="I3379" s="5" t="s">
        <v>8520</v>
      </c>
      <c r="J3379" s="12" t="str">
        <f>HYPERLINK("https://www.boe.es/gazeta/dias/1802/07/27/pdfs/GMD-1802-61.pdf#page=2","Abrir facsímil")</f>
        <v>Abrir facsímil</v>
      </c>
      <c r="K3379" s="15" t="s">
        <v>23</v>
      </c>
    </row>
    <row r="3380" spans="1:11" ht="42" customHeight="1">
      <c r="A3380" s="4" t="s">
        <v>8521</v>
      </c>
      <c r="B3380" s="5" t="s">
        <v>8522</v>
      </c>
      <c r="C3380" s="5" t="s">
        <v>18</v>
      </c>
      <c r="D3380" s="5" t="s">
        <v>19</v>
      </c>
      <c r="E3380" s="5" t="s">
        <v>196</v>
      </c>
      <c r="F3380" s="9">
        <v>2</v>
      </c>
      <c r="G3380" s="9">
        <v>12</v>
      </c>
      <c r="H3380" s="5" t="s">
        <v>21</v>
      </c>
      <c r="I3380" s="5" t="s">
        <v>8523</v>
      </c>
      <c r="J3380" s="12" t="str">
        <f>HYPERLINK("https://www.boe.es/gazeta/dias/1802/01/05/pdfs/GMD-1802-2.pdf#page=4","Abrir facsímil")</f>
        <v>Abrir facsímil</v>
      </c>
      <c r="K3380" s="15" t="s">
        <v>23</v>
      </c>
    </row>
    <row r="3381" spans="1:11" ht="42" customHeight="1">
      <c r="A3381" s="4" t="s">
        <v>8524</v>
      </c>
      <c r="B3381" s="5" t="s">
        <v>8525</v>
      </c>
      <c r="C3381" s="5" t="s">
        <v>160</v>
      </c>
      <c r="D3381" s="5" t="s">
        <v>91</v>
      </c>
      <c r="E3381" s="5" t="s">
        <v>206</v>
      </c>
      <c r="F3381" s="9">
        <v>22</v>
      </c>
      <c r="G3381" s="9">
        <v>251</v>
      </c>
      <c r="H3381" s="5" t="s">
        <v>21</v>
      </c>
      <c r="I3381" s="5" t="s">
        <v>8526</v>
      </c>
      <c r="J3381" s="12" t="str">
        <f>HYPERLINK("https://www.boe.es/gazeta/dias/1802/03/16/pdfs/GMD-C-1802-22.pdf#page=7","Abrir facsímil")</f>
        <v>Abrir facsímil</v>
      </c>
      <c r="K3381" s="15" t="s">
        <v>23</v>
      </c>
    </row>
    <row r="3382" spans="1:11" ht="42" customHeight="1">
      <c r="A3382" s="4" t="s">
        <v>8527</v>
      </c>
      <c r="B3382" s="5" t="s">
        <v>8528</v>
      </c>
      <c r="C3382" s="5" t="s">
        <v>55</v>
      </c>
      <c r="D3382" s="5" t="s">
        <v>56</v>
      </c>
      <c r="E3382" s="5" t="s">
        <v>219</v>
      </c>
      <c r="F3382" s="9">
        <v>81</v>
      </c>
      <c r="G3382" s="9">
        <v>989</v>
      </c>
      <c r="H3382" s="5" t="s">
        <v>21</v>
      </c>
      <c r="I3382" s="5" t="s">
        <v>8529</v>
      </c>
      <c r="J3382" s="12" t="str">
        <f>HYPERLINK("https://www.boe.es/gazeta/dias/1802/10/05/pdfs/GMD-1802-81.pdf#page=1","Abrir facsímil")</f>
        <v>Abrir facsímil</v>
      </c>
      <c r="K3382" s="15" t="s">
        <v>23</v>
      </c>
    </row>
    <row r="3383" spans="1:11" ht="42" customHeight="1">
      <c r="A3383" s="4" t="s">
        <v>8527</v>
      </c>
      <c r="B3383" s="5" t="s">
        <v>8528</v>
      </c>
      <c r="C3383" s="5" t="s">
        <v>35</v>
      </c>
      <c r="D3383" s="5" t="s">
        <v>36</v>
      </c>
      <c r="E3383" s="5" t="s">
        <v>714</v>
      </c>
      <c r="F3383" s="9">
        <v>89</v>
      </c>
      <c r="G3383" s="9">
        <v>1097</v>
      </c>
      <c r="H3383" s="5" t="s">
        <v>21</v>
      </c>
      <c r="I3383" s="5" t="s">
        <v>8530</v>
      </c>
      <c r="J3383" s="12" t="str">
        <f>HYPERLINK("https://www.boe.es/gazeta/dias/1802/11/02/pdfs/GMD-1802-89.pdf#page=1","Abrir facsímil")</f>
        <v>Abrir facsímil</v>
      </c>
      <c r="K3383" s="15" t="s">
        <v>23</v>
      </c>
    </row>
    <row r="3384" spans="1:11" ht="42" customHeight="1">
      <c r="A3384" s="4" t="s">
        <v>8531</v>
      </c>
      <c r="B3384" s="5" t="s">
        <v>8532</v>
      </c>
      <c r="C3384" s="5" t="s">
        <v>35</v>
      </c>
      <c r="D3384" s="5" t="s">
        <v>36</v>
      </c>
      <c r="E3384" s="5" t="s">
        <v>73</v>
      </c>
      <c r="F3384" s="9">
        <v>102</v>
      </c>
      <c r="G3384" s="9">
        <v>1245</v>
      </c>
      <c r="H3384" s="5" t="s">
        <v>21</v>
      </c>
      <c r="I3384" s="5" t="s">
        <v>8533</v>
      </c>
      <c r="J3384" s="12" t="str">
        <f>HYPERLINK("https://www.boe.es/gazeta/dias/1802/12/17/pdfs/GMD-1802-102.pdf#page=1","Abrir facsímil")</f>
        <v>Abrir facsímil</v>
      </c>
      <c r="K3384" s="15" t="s">
        <v>23</v>
      </c>
    </row>
    <row r="3385" spans="1:11" ht="42" customHeight="1">
      <c r="A3385" s="4" t="s">
        <v>8534</v>
      </c>
      <c r="B3385" s="5" t="s">
        <v>8534</v>
      </c>
      <c r="C3385" s="5" t="s">
        <v>35</v>
      </c>
      <c r="D3385" s="5" t="s">
        <v>36</v>
      </c>
      <c r="E3385" s="5" t="s">
        <v>332</v>
      </c>
      <c r="F3385" s="9">
        <v>24</v>
      </c>
      <c r="G3385" s="9">
        <v>269</v>
      </c>
      <c r="H3385" s="5" t="s">
        <v>21</v>
      </c>
      <c r="I3385" s="5" t="s">
        <v>8535</v>
      </c>
      <c r="J3385" s="12" t="str">
        <f>HYPERLINK("https://www.boe.es/gazeta/dias/1802/03/23/pdfs/GMD-1802-24.pdf#page=5","Abrir facsímil")</f>
        <v>Abrir facsímil</v>
      </c>
      <c r="K3385" s="15" t="s">
        <v>23</v>
      </c>
    </row>
    <row r="3386" spans="1:11" ht="42" customHeight="1">
      <c r="A3386" s="4" t="s">
        <v>8536</v>
      </c>
      <c r="B3386" s="5" t="s">
        <v>8536</v>
      </c>
      <c r="C3386" s="5" t="s">
        <v>18</v>
      </c>
      <c r="D3386" s="5" t="s">
        <v>19</v>
      </c>
      <c r="E3386" s="5" t="s">
        <v>1113</v>
      </c>
      <c r="F3386" s="9">
        <v>6</v>
      </c>
      <c r="G3386" s="9">
        <v>58</v>
      </c>
      <c r="H3386" s="5" t="s">
        <v>21</v>
      </c>
      <c r="I3386" s="5" t="s">
        <v>8537</v>
      </c>
      <c r="J3386" s="12" t="str">
        <f>HYPERLINK("https://www.boe.es/gazeta/dias/1802/01/19/pdfs/GMD-1802-6.pdf#page=6","Abrir facsímil")</f>
        <v>Abrir facsímil</v>
      </c>
      <c r="K3386" s="15" t="s">
        <v>23</v>
      </c>
    </row>
    <row r="3387" spans="1:11" ht="42" customHeight="1">
      <c r="A3387" s="4" t="s">
        <v>8538</v>
      </c>
      <c r="B3387" s="5" t="s">
        <v>8538</v>
      </c>
      <c r="C3387" s="5" t="s">
        <v>35</v>
      </c>
      <c r="D3387" s="5" t="s">
        <v>36</v>
      </c>
      <c r="E3387" s="5" t="s">
        <v>206</v>
      </c>
      <c r="F3387" s="9">
        <v>22</v>
      </c>
      <c r="G3387" s="9">
        <v>236</v>
      </c>
      <c r="H3387" s="5" t="s">
        <v>21</v>
      </c>
      <c r="I3387" s="5" t="s">
        <v>8539</v>
      </c>
      <c r="J3387" s="12" t="str">
        <f>HYPERLINK("https://www.boe.es/gazeta/dias/1802/03/16/pdfs/GMD-1802-22.pdf#page=4","Abrir facsímil")</f>
        <v>Abrir facsímil</v>
      </c>
      <c r="K3387" s="15" t="s">
        <v>23</v>
      </c>
    </row>
    <row r="3388" spans="1:11" ht="42" customHeight="1">
      <c r="A3388" s="4" t="s">
        <v>8540</v>
      </c>
      <c r="B3388" s="5" t="s">
        <v>8540</v>
      </c>
      <c r="C3388" s="5" t="s">
        <v>35</v>
      </c>
      <c r="D3388" s="5" t="s">
        <v>36</v>
      </c>
      <c r="E3388" s="5" t="s">
        <v>121</v>
      </c>
      <c r="F3388" s="9">
        <v>87</v>
      </c>
      <c r="G3388" s="9">
        <v>1076</v>
      </c>
      <c r="H3388" s="5" t="s">
        <v>21</v>
      </c>
      <c r="I3388" s="5" t="s">
        <v>8541</v>
      </c>
      <c r="J3388" s="12" t="str">
        <f>HYPERLINK("https://www.boe.es/gazeta/dias/1802/10/26/pdfs/GMD-1802-87.pdf#page=4","Abrir facsímil")</f>
        <v>Abrir facsímil</v>
      </c>
      <c r="K3388" s="15" t="s">
        <v>23</v>
      </c>
    </row>
    <row r="3389" spans="1:11" ht="42" customHeight="1">
      <c r="A3389" s="4" t="s">
        <v>8540</v>
      </c>
      <c r="B3389" s="5" t="s">
        <v>8540</v>
      </c>
      <c r="C3389" s="5" t="s">
        <v>160</v>
      </c>
      <c r="D3389" s="5" t="s">
        <v>91</v>
      </c>
      <c r="E3389" s="5" t="s">
        <v>429</v>
      </c>
      <c r="F3389" s="9">
        <v>91</v>
      </c>
      <c r="G3389" s="9">
        <v>1122</v>
      </c>
      <c r="H3389" s="5" t="s">
        <v>21</v>
      </c>
      <c r="I3389" s="5" t="s">
        <v>8542</v>
      </c>
      <c r="J3389" s="12" t="str">
        <f>HYPERLINK("https://www.boe.es/gazeta/dias/1802/11/09/pdfs/GMD-1802-91.pdf#page=2","Abrir facsímil")</f>
        <v>Abrir facsímil</v>
      </c>
      <c r="K3389" s="15" t="s">
        <v>23</v>
      </c>
    </row>
    <row r="3390" spans="1:11" ht="42" customHeight="1">
      <c r="A3390" s="4" t="s">
        <v>8543</v>
      </c>
      <c r="B3390" s="5" t="s">
        <v>8543</v>
      </c>
      <c r="C3390" s="5" t="s">
        <v>35</v>
      </c>
      <c r="D3390" s="5" t="s">
        <v>36</v>
      </c>
      <c r="E3390" s="5" t="s">
        <v>188</v>
      </c>
      <c r="F3390" s="9">
        <v>49</v>
      </c>
      <c r="G3390" s="9">
        <v>597</v>
      </c>
      <c r="H3390" s="5" t="s">
        <v>21</v>
      </c>
      <c r="I3390" s="5" t="s">
        <v>8544</v>
      </c>
      <c r="J3390" s="12" t="str">
        <f>HYPERLINK("https://www.boe.es/gazeta/dias/1802/06/18/pdfs/GMD-1802-49.pdf#page=9","Abrir facsímil")</f>
        <v>Abrir facsímil</v>
      </c>
      <c r="K3390" s="15" t="s">
        <v>23</v>
      </c>
    </row>
    <row r="3391" spans="1:11" ht="42" customHeight="1">
      <c r="A3391" s="4" t="s">
        <v>8545</v>
      </c>
      <c r="B3391" s="5" t="s">
        <v>8546</v>
      </c>
      <c r="C3391" s="5" t="s">
        <v>29</v>
      </c>
      <c r="D3391" s="5" t="s">
        <v>30</v>
      </c>
      <c r="E3391" s="5" t="s">
        <v>192</v>
      </c>
      <c r="F3391" s="9">
        <v>53</v>
      </c>
      <c r="G3391" s="9">
        <v>642</v>
      </c>
      <c r="H3391" s="5" t="s">
        <v>21</v>
      </c>
      <c r="I3391" s="5" t="s">
        <v>8547</v>
      </c>
      <c r="J3391" s="12" t="str">
        <f>HYPERLINK("https://www.boe.es/gazeta/dias/1802/07/02/pdfs/GMD-1802-53.pdf#page=10","Abrir facsímil")</f>
        <v>Abrir facsímil</v>
      </c>
      <c r="K3391" s="15" t="s">
        <v>23</v>
      </c>
    </row>
    <row r="3392" spans="1:11" ht="42" customHeight="1">
      <c r="A3392" s="4" t="s">
        <v>8548</v>
      </c>
      <c r="B3392" s="5" t="s">
        <v>8548</v>
      </c>
      <c r="C3392" s="5" t="s">
        <v>18</v>
      </c>
      <c r="D3392" s="5" t="s">
        <v>19</v>
      </c>
      <c r="E3392" s="5" t="s">
        <v>907</v>
      </c>
      <c r="F3392" s="9">
        <v>77</v>
      </c>
      <c r="G3392" s="9">
        <v>950</v>
      </c>
      <c r="H3392" s="5" t="s">
        <v>21</v>
      </c>
      <c r="I3392" s="5" t="s">
        <v>8549</v>
      </c>
      <c r="J3392" s="12" t="str">
        <f>HYPERLINK("https://www.boe.es/gazeta/dias/1802/09/21/pdfs/GMD-1802-77.pdf#page=10","Abrir facsímil")</f>
        <v>Abrir facsímil</v>
      </c>
      <c r="K3392" s="15" t="s">
        <v>23</v>
      </c>
    </row>
    <row r="3393" spans="1:11" ht="42" customHeight="1">
      <c r="A3393" s="4" t="s">
        <v>8550</v>
      </c>
      <c r="B3393" s="5" t="s">
        <v>8551</v>
      </c>
      <c r="C3393" s="5" t="s">
        <v>55</v>
      </c>
      <c r="D3393" s="5" t="s">
        <v>56</v>
      </c>
      <c r="E3393" s="5" t="s">
        <v>339</v>
      </c>
      <c r="F3393" s="9">
        <v>39</v>
      </c>
      <c r="G3393" s="9">
        <v>472</v>
      </c>
      <c r="H3393" s="5" t="s">
        <v>21</v>
      </c>
      <c r="I3393" s="5" t="s">
        <v>8552</v>
      </c>
      <c r="J3393" s="12" t="str">
        <f>HYPERLINK("https://www.boe.es/gazeta/dias/1802/05/14/pdfs/GMD-1802-39.pdf#page=16","Abrir facsímil")</f>
        <v>Abrir facsímil</v>
      </c>
      <c r="K3393" s="15" t="s">
        <v>23</v>
      </c>
    </row>
    <row r="3394" spans="1:11" ht="42" customHeight="1">
      <c r="A3394" s="4" t="s">
        <v>8553</v>
      </c>
      <c r="B3394" s="5" t="s">
        <v>8554</v>
      </c>
      <c r="C3394" s="5" t="s">
        <v>35</v>
      </c>
      <c r="D3394" s="5" t="s">
        <v>36</v>
      </c>
      <c r="E3394" s="5" t="s">
        <v>82</v>
      </c>
      <c r="F3394" s="9">
        <v>74</v>
      </c>
      <c r="G3394" s="9">
        <v>908</v>
      </c>
      <c r="H3394" s="5" t="s">
        <v>21</v>
      </c>
      <c r="I3394" s="5" t="s">
        <v>8555</v>
      </c>
      <c r="J3394" s="12" t="str">
        <f>HYPERLINK("https://www.boe.es/gazeta/dias/1802/09/10/pdfs/GMD-1802-74.pdf#page=4","Abrir facsímil")</f>
        <v>Abrir facsímil</v>
      </c>
      <c r="K3394" s="15" t="s">
        <v>23</v>
      </c>
    </row>
    <row r="3395" spans="1:11" ht="42" customHeight="1">
      <c r="A3395" s="4" t="s">
        <v>8556</v>
      </c>
      <c r="B3395" s="5" t="s">
        <v>8556</v>
      </c>
      <c r="C3395" s="5" t="s">
        <v>18</v>
      </c>
      <c r="D3395" s="5" t="s">
        <v>19</v>
      </c>
      <c r="E3395" s="5" t="s">
        <v>25</v>
      </c>
      <c r="F3395" s="9">
        <v>44</v>
      </c>
      <c r="G3395" s="9">
        <v>532</v>
      </c>
      <c r="H3395" s="5" t="s">
        <v>21</v>
      </c>
      <c r="I3395" s="5" t="s">
        <v>8557</v>
      </c>
      <c r="J3395" s="12" t="str">
        <f>HYPERLINK("https://www.boe.es/gazeta/dias/1802/06/01/pdfs/GMD-1802-44.pdf#page=8","Abrir facsímil")</f>
        <v>Abrir facsímil</v>
      </c>
      <c r="K3395" s="15" t="s">
        <v>23</v>
      </c>
    </row>
    <row r="3396" spans="1:11" ht="42" customHeight="1">
      <c r="A3396" s="4" t="s">
        <v>8558</v>
      </c>
      <c r="B3396" s="5" t="s">
        <v>8559</v>
      </c>
      <c r="C3396" s="5" t="s">
        <v>42</v>
      </c>
      <c r="D3396" s="5" t="s">
        <v>43</v>
      </c>
      <c r="E3396" s="5" t="s">
        <v>44</v>
      </c>
      <c r="F3396" s="9">
        <v>99</v>
      </c>
      <c r="G3396" s="9" t="s">
        <v>779</v>
      </c>
      <c r="H3396" s="5" t="s">
        <v>21</v>
      </c>
      <c r="I3396" s="5" t="s">
        <v>8560</v>
      </c>
      <c r="J3396" s="12" t="str">
        <f>HYPERLINK("https://www.boe.es/gazeta/dias/1802/12/07/pdfs/GMD-D-1802-99.pdf#page=13","Abrir facsímil")</f>
        <v>Abrir facsímil</v>
      </c>
      <c r="K3396" s="15" t="s">
        <v>23</v>
      </c>
    </row>
    <row r="3397" spans="1:11" ht="42" customHeight="1">
      <c r="A3397" s="4" t="s">
        <v>8561</v>
      </c>
      <c r="B3397" s="5" t="s">
        <v>8562</v>
      </c>
      <c r="C3397" s="5" t="s">
        <v>90</v>
      </c>
      <c r="D3397" s="5" t="s">
        <v>91</v>
      </c>
      <c r="E3397" s="5" t="s">
        <v>188</v>
      </c>
      <c r="F3397" s="9">
        <v>49</v>
      </c>
      <c r="G3397" s="9">
        <v>589</v>
      </c>
      <c r="H3397" s="5" t="s">
        <v>21</v>
      </c>
      <c r="I3397" s="5" t="s">
        <v>8563</v>
      </c>
      <c r="J3397" s="12" t="str">
        <f>HYPERLINK("https://www.boe.es/gazeta/dias/1802/06/18/pdfs/GMD-1802-49.pdf#page=1","Abrir facsímil")</f>
        <v>Abrir facsímil</v>
      </c>
      <c r="K3397" s="15" t="s">
        <v>23</v>
      </c>
    </row>
    <row r="3398" spans="1:11" ht="42" customHeight="1">
      <c r="A3398" s="4" t="s">
        <v>8564</v>
      </c>
      <c r="B3398" s="5" t="s">
        <v>8565</v>
      </c>
      <c r="C3398" s="5" t="s">
        <v>29</v>
      </c>
      <c r="D3398" s="5" t="s">
        <v>30</v>
      </c>
      <c r="E3398" s="5" t="s">
        <v>232</v>
      </c>
      <c r="F3398" s="9">
        <v>30</v>
      </c>
      <c r="G3398" s="9">
        <v>351</v>
      </c>
      <c r="H3398" s="5" t="s">
        <v>21</v>
      </c>
      <c r="I3398" s="5" t="s">
        <v>8566</v>
      </c>
      <c r="J3398" s="12" t="str">
        <f>HYPERLINK("https://www.boe.es/gazeta/dias/1802/04/13/pdfs/GMD-1802-30.pdf#page=7","Abrir facsímil")</f>
        <v>Abrir facsímil</v>
      </c>
      <c r="K3398" s="15" t="s">
        <v>23</v>
      </c>
    </row>
    <row r="3399" spans="1:11" ht="42" customHeight="1">
      <c r="A3399" s="4" t="s">
        <v>8567</v>
      </c>
      <c r="B3399" s="5" t="s">
        <v>8568</v>
      </c>
      <c r="C3399" s="5" t="s">
        <v>18</v>
      </c>
      <c r="D3399" s="5" t="s">
        <v>19</v>
      </c>
      <c r="E3399" s="5" t="s">
        <v>20</v>
      </c>
      <c r="F3399" s="9">
        <v>84</v>
      </c>
      <c r="G3399" s="9">
        <v>1040</v>
      </c>
      <c r="H3399" s="5" t="s">
        <v>21</v>
      </c>
      <c r="I3399" s="5" t="s">
        <v>8569</v>
      </c>
      <c r="J3399" s="12" t="str">
        <f>HYPERLINK("https://www.boe.es/gazeta/dias/1802/10/15/pdfs/GMD-1802-84.pdf#page=8","Abrir facsímil")</f>
        <v>Abrir facsímil</v>
      </c>
      <c r="K3399" s="15" t="s">
        <v>23</v>
      </c>
    </row>
    <row r="3400" spans="1:11" ht="42" customHeight="1">
      <c r="A3400" s="4" t="s">
        <v>8570</v>
      </c>
      <c r="B3400" s="5" t="s">
        <v>8571</v>
      </c>
      <c r="C3400" s="5" t="s">
        <v>29</v>
      </c>
      <c r="D3400" s="5" t="s">
        <v>30</v>
      </c>
      <c r="E3400" s="5" t="s">
        <v>175</v>
      </c>
      <c r="F3400" s="9">
        <v>37</v>
      </c>
      <c r="G3400" s="9">
        <v>442</v>
      </c>
      <c r="H3400" s="5" t="s">
        <v>21</v>
      </c>
      <c r="I3400" s="5" t="s">
        <v>8572</v>
      </c>
      <c r="J3400" s="12" t="str">
        <f>HYPERLINK("https://www.boe.es/gazeta/dias/1802/05/07/pdfs/GMD-1802-37.pdf#page=10","Abrir facsímil")</f>
        <v>Abrir facsímil</v>
      </c>
      <c r="K3400" s="15" t="s">
        <v>23</v>
      </c>
    </row>
    <row r="3401" spans="1:11" ht="42" customHeight="1">
      <c r="A3401" s="4" t="s">
        <v>8573</v>
      </c>
      <c r="B3401" s="5" t="s">
        <v>8574</v>
      </c>
      <c r="C3401" s="5" t="s">
        <v>29</v>
      </c>
      <c r="D3401" s="5" t="s">
        <v>30</v>
      </c>
      <c r="E3401" s="5" t="s">
        <v>71</v>
      </c>
      <c r="F3401" s="9">
        <v>21</v>
      </c>
      <c r="G3401" s="9">
        <v>233</v>
      </c>
      <c r="H3401" s="5" t="s">
        <v>21</v>
      </c>
      <c r="I3401" s="5" t="s">
        <v>8575</v>
      </c>
      <c r="J3401" s="12" t="str">
        <f>HYPERLINK("https://www.boe.es/gazeta/dias/1802/03/12/pdfs/GMD-1802-21.pdf#page=9","Abrir facsímil")</f>
        <v>Abrir facsímil</v>
      </c>
      <c r="K3401" s="15" t="s">
        <v>23</v>
      </c>
    </row>
    <row r="3402" spans="1:11" ht="42" customHeight="1">
      <c r="A3402" s="4" t="s">
        <v>8576</v>
      </c>
      <c r="B3402" s="5" t="s">
        <v>8577</v>
      </c>
      <c r="C3402" s="5" t="s">
        <v>18</v>
      </c>
      <c r="D3402" s="5" t="s">
        <v>19</v>
      </c>
      <c r="E3402" s="5" t="s">
        <v>635</v>
      </c>
      <c r="F3402" s="9">
        <v>47</v>
      </c>
      <c r="G3402" s="9">
        <v>575</v>
      </c>
      <c r="H3402" s="5" t="s">
        <v>21</v>
      </c>
      <c r="I3402" s="5" t="s">
        <v>8578</v>
      </c>
      <c r="J3402" s="12" t="str">
        <f>HYPERLINK("https://www.boe.es/gazeta/dias/1802/06/11/pdfs/GMD-1802-47.pdf#page=11","Abrir facsímil")</f>
        <v>Abrir facsímil</v>
      </c>
      <c r="K3402" s="15" t="s">
        <v>23</v>
      </c>
    </row>
    <row r="3403" spans="1:11" ht="42" customHeight="1">
      <c r="A3403" s="4" t="s">
        <v>8579</v>
      </c>
      <c r="B3403" s="5" t="s">
        <v>8580</v>
      </c>
      <c r="C3403" s="5" t="s">
        <v>90</v>
      </c>
      <c r="D3403" s="5" t="s">
        <v>91</v>
      </c>
      <c r="E3403" s="5" t="s">
        <v>92</v>
      </c>
      <c r="F3403" s="9">
        <v>29</v>
      </c>
      <c r="G3403" s="9">
        <v>342</v>
      </c>
      <c r="H3403" s="5" t="s">
        <v>21</v>
      </c>
      <c r="I3403" s="5" t="s">
        <v>8581</v>
      </c>
      <c r="J3403" s="12" t="str">
        <f>HYPERLINK("https://www.boe.es/gazeta/dias/1802/04/09/pdfs/GMD-1802-29.pdf#page=10","Abrir facsímil")</f>
        <v>Abrir facsímil</v>
      </c>
      <c r="K3403" s="15" t="s">
        <v>23</v>
      </c>
    </row>
    <row r="3404" spans="1:11" ht="42" customHeight="1">
      <c r="A3404" s="4" t="s">
        <v>8582</v>
      </c>
      <c r="B3404" s="5" t="s">
        <v>8583</v>
      </c>
      <c r="C3404" s="5" t="s">
        <v>29</v>
      </c>
      <c r="D3404" s="5" t="s">
        <v>30</v>
      </c>
      <c r="E3404" s="5" t="s">
        <v>146</v>
      </c>
      <c r="F3404" s="9">
        <v>42</v>
      </c>
      <c r="G3404" s="9">
        <v>503</v>
      </c>
      <c r="H3404" s="5" t="s">
        <v>21</v>
      </c>
      <c r="I3404" s="5" t="s">
        <v>8584</v>
      </c>
      <c r="J3404" s="12" t="str">
        <f>HYPERLINK("https://www.boe.es/gazeta/dias/1802/05/25/pdfs/GMD-1802-42.pdf#page=7","Abrir facsímil")</f>
        <v>Abrir facsímil</v>
      </c>
      <c r="K3404" s="15" t="s">
        <v>23</v>
      </c>
    </row>
    <row r="3405" spans="1:11" ht="42" customHeight="1">
      <c r="A3405" s="4" t="s">
        <v>8585</v>
      </c>
      <c r="B3405" s="5" t="s">
        <v>8586</v>
      </c>
      <c r="C3405" s="5" t="s">
        <v>18</v>
      </c>
      <c r="D3405" s="5" t="s">
        <v>19</v>
      </c>
      <c r="E3405" s="5" t="s">
        <v>20</v>
      </c>
      <c r="F3405" s="9">
        <v>84</v>
      </c>
      <c r="G3405" s="9">
        <v>1041</v>
      </c>
      <c r="H3405" s="5" t="s">
        <v>21</v>
      </c>
      <c r="I3405" s="5" t="s">
        <v>8587</v>
      </c>
      <c r="J3405" s="12" t="str">
        <f>HYPERLINK("https://www.boe.es/gazeta/dias/1802/10/15/pdfs/GMD-1802-84.pdf#page=9","Abrir facsímil")</f>
        <v>Abrir facsímil</v>
      </c>
      <c r="K3405" s="15" t="s">
        <v>23</v>
      </c>
    </row>
    <row r="3406" spans="1:11" ht="42" customHeight="1">
      <c r="A3406" s="4" t="s">
        <v>8588</v>
      </c>
      <c r="B3406" s="5" t="s">
        <v>8589</v>
      </c>
      <c r="C3406" s="5" t="s">
        <v>90</v>
      </c>
      <c r="D3406" s="5" t="s">
        <v>91</v>
      </c>
      <c r="E3406" s="5" t="s">
        <v>670</v>
      </c>
      <c r="F3406" s="9">
        <v>40</v>
      </c>
      <c r="G3406" s="9">
        <v>480</v>
      </c>
      <c r="H3406" s="5" t="s">
        <v>21</v>
      </c>
      <c r="I3406" s="5" t="s">
        <v>8590</v>
      </c>
      <c r="J3406" s="12" t="str">
        <f>HYPERLINK("https://www.boe.es/gazeta/dias/1802/05/18/pdfs/GMD-1802-40.pdf#page=8","Abrir facsímil")</f>
        <v>Abrir facsímil</v>
      </c>
      <c r="K3406" s="15" t="s">
        <v>23</v>
      </c>
    </row>
    <row r="3407" spans="1:11" ht="42" customHeight="1">
      <c r="A3407" s="4" t="s">
        <v>8591</v>
      </c>
      <c r="B3407" s="5" t="s">
        <v>8592</v>
      </c>
      <c r="C3407" s="5" t="s">
        <v>29</v>
      </c>
      <c r="D3407" s="5" t="s">
        <v>30</v>
      </c>
      <c r="E3407" s="5" t="s">
        <v>754</v>
      </c>
      <c r="F3407" s="9">
        <v>101</v>
      </c>
      <c r="G3407" s="9">
        <v>1244</v>
      </c>
      <c r="H3407" s="5" t="s">
        <v>21</v>
      </c>
      <c r="I3407" s="5" t="s">
        <v>8593</v>
      </c>
      <c r="J3407" s="12" t="str">
        <f>HYPERLINK("https://www.boe.es/gazeta/dias/1802/12/14/pdfs/GMD-1802-101.pdf#page=8","Abrir facsímil")</f>
        <v>Abrir facsímil</v>
      </c>
      <c r="K3407" s="15" t="s">
        <v>23</v>
      </c>
    </row>
    <row r="3408" spans="1:11" ht="42" customHeight="1">
      <c r="A3408" s="4" t="s">
        <v>8594</v>
      </c>
      <c r="B3408" s="5" t="s">
        <v>8595</v>
      </c>
      <c r="C3408" s="5" t="s">
        <v>29</v>
      </c>
      <c r="D3408" s="5" t="s">
        <v>30</v>
      </c>
      <c r="E3408" s="5" t="s">
        <v>1381</v>
      </c>
      <c r="F3408" s="9">
        <v>17</v>
      </c>
      <c r="G3408" s="9">
        <v>185</v>
      </c>
      <c r="H3408" s="5" t="s">
        <v>21</v>
      </c>
      <c r="I3408" s="5" t="s">
        <v>8596</v>
      </c>
      <c r="J3408" s="12" t="str">
        <f>HYPERLINK("https://www.boe.es/gazeta/dias/1802/02/26/pdfs/GMD-1802-17.pdf#page=9","Abrir facsímil")</f>
        <v>Abrir facsímil</v>
      </c>
      <c r="K3408" s="15" t="s">
        <v>23</v>
      </c>
    </row>
    <row r="3409" spans="1:11" ht="42" customHeight="1">
      <c r="A3409" s="4" t="s">
        <v>8597</v>
      </c>
      <c r="B3409" s="5" t="s">
        <v>8598</v>
      </c>
      <c r="C3409" s="5" t="s">
        <v>42</v>
      </c>
      <c r="D3409" s="5" t="s">
        <v>43</v>
      </c>
      <c r="E3409" s="5" t="s">
        <v>44</v>
      </c>
      <c r="F3409" s="9">
        <v>99</v>
      </c>
      <c r="G3409" s="9" t="s">
        <v>550</v>
      </c>
      <c r="H3409" s="5" t="s">
        <v>21</v>
      </c>
      <c r="I3409" s="5" t="s">
        <v>8599</v>
      </c>
      <c r="J3409" s="12" t="str">
        <f>HYPERLINK("https://www.boe.es/gazeta/dias/1802/12/07/pdfs/GMD-D-1802-99.pdf#page=16","Abrir facsímil")</f>
        <v>Abrir facsímil</v>
      </c>
      <c r="K3409" s="15" t="s">
        <v>23</v>
      </c>
    </row>
    <row r="3410" spans="1:11" ht="42" customHeight="1">
      <c r="A3410" s="4" t="s">
        <v>8600</v>
      </c>
      <c r="B3410" s="5" t="s">
        <v>8601</v>
      </c>
      <c r="C3410" s="5" t="s">
        <v>42</v>
      </c>
      <c r="D3410" s="5" t="s">
        <v>43</v>
      </c>
      <c r="E3410" s="5" t="s">
        <v>44</v>
      </c>
      <c r="F3410" s="9">
        <v>99</v>
      </c>
      <c r="G3410" s="9" t="s">
        <v>314</v>
      </c>
      <c r="H3410" s="5" t="s">
        <v>21</v>
      </c>
      <c r="I3410" s="5" t="s">
        <v>8602</v>
      </c>
      <c r="J3410" s="12" t="str">
        <f>HYPERLINK("https://www.boe.es/gazeta/dias/1802/12/07/pdfs/GMD-D-1802-99.pdf#page=2","Abrir facsímil")</f>
        <v>Abrir facsímil</v>
      </c>
      <c r="K3410" s="15" t="s">
        <v>23</v>
      </c>
    </row>
    <row r="3411" spans="1:11" ht="42" customHeight="1">
      <c r="A3411" s="4" t="s">
        <v>8603</v>
      </c>
      <c r="B3411" s="5" t="s">
        <v>8604</v>
      </c>
      <c r="C3411" s="5" t="s">
        <v>42</v>
      </c>
      <c r="D3411" s="5" t="s">
        <v>43</v>
      </c>
      <c r="E3411" s="5" t="s">
        <v>44</v>
      </c>
      <c r="F3411" s="9">
        <v>99</v>
      </c>
      <c r="G3411" s="9" t="s">
        <v>295</v>
      </c>
      <c r="H3411" s="5" t="s">
        <v>21</v>
      </c>
      <c r="I3411" s="5" t="s">
        <v>8605</v>
      </c>
      <c r="J3411" s="12" t="str">
        <f>HYPERLINK("https://www.boe.es/gazeta/dias/1802/12/07/pdfs/GMD-D-1802-99.pdf#page=7","Abrir facsímil")</f>
        <v>Abrir facsímil</v>
      </c>
      <c r="K3411" s="15" t="s">
        <v>23</v>
      </c>
    </row>
    <row r="3412" spans="1:11" ht="42" customHeight="1">
      <c r="A3412" s="4" t="s">
        <v>8606</v>
      </c>
      <c r="B3412" s="5" t="s">
        <v>8607</v>
      </c>
      <c r="C3412" s="5" t="s">
        <v>42</v>
      </c>
      <c r="D3412" s="5" t="s">
        <v>43</v>
      </c>
      <c r="E3412" s="5" t="s">
        <v>44</v>
      </c>
      <c r="F3412" s="9">
        <v>99</v>
      </c>
      <c r="G3412" s="9" t="s">
        <v>251</v>
      </c>
      <c r="H3412" s="5" t="s">
        <v>21</v>
      </c>
      <c r="I3412" s="5" t="s">
        <v>8608</v>
      </c>
      <c r="J3412" s="12" t="str">
        <f>HYPERLINK("https://www.boe.es/gazeta/dias/1802/12/07/pdfs/GMD-D-1802-99.pdf#page=6","Abrir facsímil")</f>
        <v>Abrir facsímil</v>
      </c>
      <c r="K3412" s="15" t="s">
        <v>23</v>
      </c>
    </row>
    <row r="3413" spans="1:11" ht="42" customHeight="1">
      <c r="A3413" s="4" t="s">
        <v>8609</v>
      </c>
      <c r="B3413" s="5" t="s">
        <v>8610</v>
      </c>
      <c r="C3413" s="5" t="s">
        <v>42</v>
      </c>
      <c r="D3413" s="5" t="s">
        <v>43</v>
      </c>
      <c r="E3413" s="5" t="s">
        <v>44</v>
      </c>
      <c r="F3413" s="9">
        <v>99</v>
      </c>
      <c r="G3413" s="9" t="s">
        <v>45</v>
      </c>
      <c r="H3413" s="5" t="s">
        <v>21</v>
      </c>
      <c r="I3413" s="5" t="s">
        <v>8611</v>
      </c>
      <c r="J3413" s="12" t="str">
        <f>HYPERLINK("https://www.boe.es/gazeta/dias/1802/12/07/pdfs/GMD-D-1802-99.pdf#page=14","Abrir facsímil")</f>
        <v>Abrir facsímil</v>
      </c>
      <c r="K3413" s="15" t="s">
        <v>23</v>
      </c>
    </row>
    <row r="3414" spans="1:11" ht="42" customHeight="1">
      <c r="A3414" s="4" t="s">
        <v>8612</v>
      </c>
      <c r="B3414" s="5" t="s">
        <v>8613</v>
      </c>
      <c r="C3414" s="5" t="s">
        <v>18</v>
      </c>
      <c r="D3414" s="5" t="s">
        <v>19</v>
      </c>
      <c r="E3414" s="5" t="s">
        <v>49</v>
      </c>
      <c r="F3414" s="9">
        <v>83</v>
      </c>
      <c r="G3414" s="9">
        <v>1024</v>
      </c>
      <c r="H3414" s="5" t="s">
        <v>21</v>
      </c>
      <c r="I3414" s="5" t="s">
        <v>8614</v>
      </c>
      <c r="J3414" s="12" t="str">
        <f>HYPERLINK("https://www.boe.es/gazeta/dias/1802/10/12/pdfs/GMD-1802-83.pdf#page=12","Abrir facsímil")</f>
        <v>Abrir facsímil</v>
      </c>
      <c r="K3414" s="15" t="s">
        <v>23</v>
      </c>
    </row>
    <row r="3415" spans="1:11" ht="42" customHeight="1">
      <c r="A3415" s="4" t="s">
        <v>8612</v>
      </c>
      <c r="B3415" s="5" t="s">
        <v>8613</v>
      </c>
      <c r="C3415" s="5" t="s">
        <v>18</v>
      </c>
      <c r="D3415" s="5" t="s">
        <v>19</v>
      </c>
      <c r="E3415" s="5" t="s">
        <v>751</v>
      </c>
      <c r="F3415" s="9">
        <v>98</v>
      </c>
      <c r="G3415" s="9">
        <v>1213</v>
      </c>
      <c r="H3415" s="5" t="s">
        <v>21</v>
      </c>
      <c r="I3415" s="5" t="s">
        <v>8615</v>
      </c>
      <c r="J3415" s="12" t="str">
        <f>HYPERLINK("https://www.boe.es/gazeta/dias/1802/12/03/pdfs/GMD-1802-98.pdf#page=9","Abrir facsímil")</f>
        <v>Abrir facsímil</v>
      </c>
      <c r="K3415" s="15" t="s">
        <v>23</v>
      </c>
    </row>
    <row r="3416" spans="1:11" ht="42" customHeight="1">
      <c r="A3416" s="4" t="s">
        <v>8616</v>
      </c>
      <c r="B3416" s="5" t="s">
        <v>8617</v>
      </c>
      <c r="C3416" s="5" t="s">
        <v>2417</v>
      </c>
      <c r="D3416" s="5" t="s">
        <v>2418</v>
      </c>
      <c r="E3416" s="5" t="s">
        <v>206</v>
      </c>
      <c r="F3416" s="9">
        <v>22</v>
      </c>
      <c r="G3416" s="9">
        <v>246</v>
      </c>
      <c r="H3416" s="5" t="s">
        <v>21</v>
      </c>
      <c r="I3416" s="5" t="s">
        <v>8618</v>
      </c>
      <c r="J3416" s="12" t="str">
        <f>HYPERLINK("https://www.boe.es/gazeta/dias/1802/03/16/pdfs/GMD-C-1802-22.pdf#page=2","Abrir facsímil")</f>
        <v>Abrir facsímil</v>
      </c>
      <c r="K3416" s="15" t="s">
        <v>23</v>
      </c>
    </row>
    <row r="3417" spans="1:11" ht="42" customHeight="1">
      <c r="A3417" s="4" t="s">
        <v>8616</v>
      </c>
      <c r="B3417" s="5" t="s">
        <v>8617</v>
      </c>
      <c r="C3417" s="5" t="s">
        <v>18</v>
      </c>
      <c r="D3417" s="5" t="s">
        <v>19</v>
      </c>
      <c r="E3417" s="5" t="s">
        <v>167</v>
      </c>
      <c r="F3417" s="9">
        <v>23</v>
      </c>
      <c r="G3417" s="9">
        <v>260</v>
      </c>
      <c r="H3417" s="5" t="s">
        <v>21</v>
      </c>
      <c r="I3417" s="5" t="s">
        <v>8619</v>
      </c>
      <c r="J3417" s="12" t="str">
        <f>HYPERLINK("https://www.boe.es/gazeta/dias/1802/03/19/pdfs/GMD-1802-23.pdf#page=8","Abrir facsímil")</f>
        <v>Abrir facsímil</v>
      </c>
      <c r="K3417" s="15" t="s">
        <v>23</v>
      </c>
    </row>
    <row r="3418" spans="1:11" ht="42" customHeight="1">
      <c r="A3418" s="4" t="s">
        <v>8616</v>
      </c>
      <c r="B3418" s="5" t="s">
        <v>8617</v>
      </c>
      <c r="C3418" s="5" t="s">
        <v>160</v>
      </c>
      <c r="D3418" s="5" t="s">
        <v>91</v>
      </c>
      <c r="E3418" s="5" t="s">
        <v>332</v>
      </c>
      <c r="F3418" s="9">
        <v>24</v>
      </c>
      <c r="G3418" s="9">
        <v>273</v>
      </c>
      <c r="H3418" s="5" t="s">
        <v>21</v>
      </c>
      <c r="I3418" s="5" t="s">
        <v>8620</v>
      </c>
      <c r="J3418" s="12" t="str">
        <f>HYPERLINK("https://www.boe.es/gazeta/dias/1802/03/23/pdfs/GMD-1802-24.pdf#page=9","Abrir facsímil")</f>
        <v>Abrir facsímil</v>
      </c>
      <c r="K3418" s="15" t="s">
        <v>23</v>
      </c>
    </row>
    <row r="3419" spans="1:11" ht="42" customHeight="1">
      <c r="A3419" s="4" t="s">
        <v>8616</v>
      </c>
      <c r="B3419" s="5" t="s">
        <v>8617</v>
      </c>
      <c r="C3419" s="5" t="s">
        <v>160</v>
      </c>
      <c r="D3419" s="5" t="s">
        <v>91</v>
      </c>
      <c r="E3419" s="5" t="s">
        <v>1749</v>
      </c>
      <c r="F3419" s="9">
        <v>60</v>
      </c>
      <c r="G3419" s="9">
        <v>730</v>
      </c>
      <c r="H3419" s="5" t="s">
        <v>21</v>
      </c>
      <c r="I3419" s="5" t="s">
        <v>8621</v>
      </c>
      <c r="J3419" s="12" t="str">
        <f>HYPERLINK("https://www.boe.es/gazeta/dias/1802/07/23/pdfs/GMD-1802-60.pdf#page=14","Abrir facsímil")</f>
        <v>Abrir facsímil</v>
      </c>
      <c r="K3419" s="15" t="s">
        <v>23</v>
      </c>
    </row>
    <row r="3420" spans="1:11" ht="42" customHeight="1">
      <c r="A3420" s="4" t="s">
        <v>8616</v>
      </c>
      <c r="B3420" s="5" t="s">
        <v>8617</v>
      </c>
      <c r="C3420" s="5" t="s">
        <v>160</v>
      </c>
      <c r="D3420" s="5" t="s">
        <v>91</v>
      </c>
      <c r="E3420" s="5" t="s">
        <v>517</v>
      </c>
      <c r="F3420" s="9">
        <v>61</v>
      </c>
      <c r="G3420" s="9">
        <v>742</v>
      </c>
      <c r="H3420" s="5" t="s">
        <v>21</v>
      </c>
      <c r="I3420" s="5" t="s">
        <v>8622</v>
      </c>
      <c r="J3420" s="12" t="str">
        <f>HYPERLINK("https://www.boe.es/gazeta/dias/1802/07/27/pdfs/GMD-1802-61.pdf#page=10","Abrir facsímil")</f>
        <v>Abrir facsímil</v>
      </c>
      <c r="K3420" s="15" t="s">
        <v>23</v>
      </c>
    </row>
    <row r="3421" spans="1:11" ht="42" customHeight="1">
      <c r="A3421" s="4" t="s">
        <v>8616</v>
      </c>
      <c r="B3421" s="5" t="s">
        <v>8617</v>
      </c>
      <c r="C3421" s="5" t="s">
        <v>160</v>
      </c>
      <c r="D3421" s="5" t="s">
        <v>91</v>
      </c>
      <c r="E3421" s="5" t="s">
        <v>1185</v>
      </c>
      <c r="F3421" s="9">
        <v>93</v>
      </c>
      <c r="G3421" s="9">
        <v>1151</v>
      </c>
      <c r="H3421" s="5" t="s">
        <v>21</v>
      </c>
      <c r="I3421" s="5" t="s">
        <v>8623</v>
      </c>
      <c r="J3421" s="12" t="str">
        <f>HYPERLINK("https://www.boe.es/gazeta/dias/1802/11/16/pdfs/GMD-1802-93.pdf#page=11","Abrir facsímil")</f>
        <v>Abrir facsímil</v>
      </c>
      <c r="K3421" s="15" t="s">
        <v>23</v>
      </c>
    </row>
    <row r="3422" spans="1:11" ht="42" customHeight="1">
      <c r="A3422" s="4" t="s">
        <v>8616</v>
      </c>
      <c r="B3422" s="5" t="s">
        <v>8617</v>
      </c>
      <c r="C3422" s="5" t="s">
        <v>160</v>
      </c>
      <c r="D3422" s="5" t="s">
        <v>91</v>
      </c>
      <c r="E3422" s="5" t="s">
        <v>823</v>
      </c>
      <c r="F3422" s="9">
        <v>94</v>
      </c>
      <c r="G3422" s="9">
        <v>1163</v>
      </c>
      <c r="H3422" s="5" t="s">
        <v>21</v>
      </c>
      <c r="I3422" s="5" t="s">
        <v>8624</v>
      </c>
      <c r="J3422" s="12" t="str">
        <f>HYPERLINK("https://www.boe.es/gazeta/dias/1802/11/19/pdfs/GMD-1802-94.pdf#page=11","Abrir facsímil")</f>
        <v>Abrir facsímil</v>
      </c>
      <c r="K3422" s="15" t="s">
        <v>23</v>
      </c>
    </row>
    <row r="3423" spans="1:11" ht="42" customHeight="1">
      <c r="A3423" s="4" t="s">
        <v>8625</v>
      </c>
      <c r="B3423" s="5" t="s">
        <v>8626</v>
      </c>
      <c r="C3423" s="5" t="s">
        <v>29</v>
      </c>
      <c r="D3423" s="5" t="s">
        <v>30</v>
      </c>
      <c r="E3423" s="5" t="s">
        <v>167</v>
      </c>
      <c r="F3423" s="9">
        <v>23</v>
      </c>
      <c r="G3423" s="9">
        <v>259</v>
      </c>
      <c r="H3423" s="5" t="s">
        <v>21</v>
      </c>
      <c r="I3423" s="5" t="s">
        <v>8627</v>
      </c>
      <c r="J3423" s="12" t="str">
        <f>HYPERLINK("https://www.boe.es/gazeta/dias/1802/03/19/pdfs/GMD-1802-23.pdf#page=7","Abrir facsímil")</f>
        <v>Abrir facsímil</v>
      </c>
      <c r="K3423" s="15" t="s">
        <v>23</v>
      </c>
    </row>
    <row r="3424" spans="1:11" ht="42" customHeight="1">
      <c r="A3424" s="4" t="s">
        <v>8628</v>
      </c>
      <c r="B3424" s="5" t="s">
        <v>8629</v>
      </c>
      <c r="C3424" s="5" t="s">
        <v>160</v>
      </c>
      <c r="D3424" s="5" t="s">
        <v>91</v>
      </c>
      <c r="E3424" s="5" t="s">
        <v>128</v>
      </c>
      <c r="F3424" s="9">
        <v>9</v>
      </c>
      <c r="G3424" s="9">
        <v>90</v>
      </c>
      <c r="H3424" s="5" t="s">
        <v>21</v>
      </c>
      <c r="I3424" s="5" t="s">
        <v>8630</v>
      </c>
      <c r="J3424" s="12" t="str">
        <f>HYPERLINK("https://www.boe.es/gazeta/dias/1802/01/29/pdfs/GMD-1802-9.pdf#page=10","Abrir facsímil")</f>
        <v>Abrir facsímil</v>
      </c>
      <c r="K3424" s="15" t="s">
        <v>23</v>
      </c>
    </row>
    <row r="3425" spans="1:11" ht="42" customHeight="1">
      <c r="A3425" s="4" t="s">
        <v>8631</v>
      </c>
      <c r="B3425" s="5" t="s">
        <v>8632</v>
      </c>
      <c r="C3425" s="5" t="s">
        <v>42</v>
      </c>
      <c r="D3425" s="5" t="s">
        <v>43</v>
      </c>
      <c r="E3425" s="5" t="s">
        <v>44</v>
      </c>
      <c r="F3425" s="9">
        <v>99</v>
      </c>
      <c r="G3425" s="9" t="s">
        <v>779</v>
      </c>
      <c r="H3425" s="5" t="s">
        <v>21</v>
      </c>
      <c r="I3425" s="5" t="s">
        <v>8633</v>
      </c>
      <c r="J3425" s="12" t="str">
        <f>HYPERLINK("https://www.boe.es/gazeta/dias/1802/12/07/pdfs/GMD-D-1802-99.pdf#page=13","Abrir facsímil")</f>
        <v>Abrir facsímil</v>
      </c>
      <c r="K3425" s="15" t="s">
        <v>23</v>
      </c>
    </row>
    <row r="3426" spans="1:11" ht="42" customHeight="1">
      <c r="A3426" s="4" t="s">
        <v>8634</v>
      </c>
      <c r="B3426" s="5" t="s">
        <v>8635</v>
      </c>
      <c r="C3426" s="5" t="s">
        <v>18</v>
      </c>
      <c r="D3426" s="5" t="s">
        <v>19</v>
      </c>
      <c r="E3426" s="5" t="s">
        <v>82</v>
      </c>
      <c r="F3426" s="9">
        <v>74</v>
      </c>
      <c r="G3426" s="9">
        <v>914</v>
      </c>
      <c r="H3426" s="5" t="s">
        <v>21</v>
      </c>
      <c r="I3426" s="5" t="s">
        <v>8636</v>
      </c>
      <c r="J3426" s="12" t="str">
        <f>HYPERLINK("https://www.boe.es/gazeta/dias/1802/09/10/pdfs/GMD-1802-74.pdf#page=10","Abrir facsímil")</f>
        <v>Abrir facsímil</v>
      </c>
      <c r="K3426" s="15" t="s">
        <v>23</v>
      </c>
    </row>
    <row r="3427" spans="1:11" ht="42" customHeight="1">
      <c r="A3427" s="4" t="s">
        <v>8637</v>
      </c>
      <c r="B3427" s="5" t="s">
        <v>8638</v>
      </c>
      <c r="C3427" s="5" t="s">
        <v>42</v>
      </c>
      <c r="D3427" s="5" t="s">
        <v>43</v>
      </c>
      <c r="E3427" s="5" t="s">
        <v>44</v>
      </c>
      <c r="F3427" s="9">
        <v>99</v>
      </c>
      <c r="G3427" s="9" t="s">
        <v>537</v>
      </c>
      <c r="H3427" s="5" t="s">
        <v>21</v>
      </c>
      <c r="I3427" s="5" t="s">
        <v>8639</v>
      </c>
      <c r="J3427" s="12" t="str">
        <f>HYPERLINK("https://www.boe.es/gazeta/dias/1802/12/07/pdfs/GMD-D-1802-99.pdf#page=9","Abrir facsímil")</f>
        <v>Abrir facsímil</v>
      </c>
      <c r="K3427" s="15" t="s">
        <v>23</v>
      </c>
    </row>
    <row r="3428" spans="1:11" ht="42" customHeight="1">
      <c r="A3428" s="4" t="s">
        <v>8640</v>
      </c>
      <c r="B3428" s="5" t="s">
        <v>8641</v>
      </c>
      <c r="C3428" s="5" t="s">
        <v>18</v>
      </c>
      <c r="D3428" s="5" t="s">
        <v>19</v>
      </c>
      <c r="E3428" s="5" t="s">
        <v>49</v>
      </c>
      <c r="F3428" s="9">
        <v>83</v>
      </c>
      <c r="G3428" s="9">
        <v>1024</v>
      </c>
      <c r="H3428" s="5" t="s">
        <v>21</v>
      </c>
      <c r="I3428" s="5" t="s">
        <v>8642</v>
      </c>
      <c r="J3428" s="12" t="str">
        <f>HYPERLINK("https://www.boe.es/gazeta/dias/1802/10/12/pdfs/GMD-1802-83.pdf#page=12","Abrir facsímil")</f>
        <v>Abrir facsímil</v>
      </c>
      <c r="K3428" s="15" t="s">
        <v>23</v>
      </c>
    </row>
    <row r="3429" spans="1:11" ht="42" customHeight="1">
      <c r="A3429" s="4" t="s">
        <v>8640</v>
      </c>
      <c r="B3429" s="5" t="s">
        <v>8641</v>
      </c>
      <c r="C3429" s="5" t="s">
        <v>42</v>
      </c>
      <c r="D3429" s="5" t="s">
        <v>43</v>
      </c>
      <c r="E3429" s="5" t="s">
        <v>44</v>
      </c>
      <c r="F3429" s="9">
        <v>99</v>
      </c>
      <c r="G3429" s="9" t="s">
        <v>222</v>
      </c>
      <c r="H3429" s="5" t="s">
        <v>21</v>
      </c>
      <c r="I3429" s="5" t="s">
        <v>8643</v>
      </c>
      <c r="J3429" s="12" t="str">
        <f>HYPERLINK("https://www.boe.es/gazeta/dias/1802/12/07/pdfs/GMD-D-1802-99.pdf#page=5","Abrir facsímil")</f>
        <v>Abrir facsímil</v>
      </c>
      <c r="K3429" s="15" t="s">
        <v>23</v>
      </c>
    </row>
    <row r="3430" spans="1:11" ht="42" customHeight="1">
      <c r="A3430" s="4" t="s">
        <v>8640</v>
      </c>
      <c r="B3430" s="5" t="s">
        <v>8641</v>
      </c>
      <c r="C3430" s="5" t="s">
        <v>42</v>
      </c>
      <c r="D3430" s="5" t="s">
        <v>43</v>
      </c>
      <c r="E3430" s="5" t="s">
        <v>44</v>
      </c>
      <c r="F3430" s="9">
        <v>99</v>
      </c>
      <c r="G3430" s="9" t="s">
        <v>537</v>
      </c>
      <c r="H3430" s="5" t="s">
        <v>21</v>
      </c>
      <c r="I3430" s="5" t="s">
        <v>8644</v>
      </c>
      <c r="J3430" s="12" t="str">
        <f>HYPERLINK("https://www.boe.es/gazeta/dias/1802/12/07/pdfs/GMD-D-1802-99.pdf#page=9","Abrir facsímil")</f>
        <v>Abrir facsímil</v>
      </c>
      <c r="K3430" s="15" t="s">
        <v>23</v>
      </c>
    </row>
    <row r="3431" spans="1:11" ht="42" customHeight="1">
      <c r="A3431" s="4" t="s">
        <v>8645</v>
      </c>
      <c r="B3431" s="5" t="s">
        <v>8646</v>
      </c>
      <c r="C3431" s="5" t="s">
        <v>42</v>
      </c>
      <c r="D3431" s="5" t="s">
        <v>43</v>
      </c>
      <c r="E3431" s="5" t="s">
        <v>44</v>
      </c>
      <c r="F3431" s="9">
        <v>99</v>
      </c>
      <c r="G3431" s="9" t="s">
        <v>558</v>
      </c>
      <c r="H3431" s="5" t="s">
        <v>21</v>
      </c>
      <c r="I3431" s="5" t="s">
        <v>8647</v>
      </c>
      <c r="J3431" s="12" t="str">
        <f>HYPERLINK("https://www.boe.es/gazeta/dias/1802/12/07/pdfs/GMD-D-1802-99.pdf#page=1","Abrir facsímil")</f>
        <v>Abrir facsímil</v>
      </c>
      <c r="K3431" s="15" t="s">
        <v>23</v>
      </c>
    </row>
    <row r="3432" spans="1:11" ht="42" customHeight="1">
      <c r="A3432" s="4" t="s">
        <v>8648</v>
      </c>
      <c r="B3432" s="5" t="s">
        <v>8649</v>
      </c>
      <c r="C3432" s="5" t="s">
        <v>18</v>
      </c>
      <c r="D3432" s="5" t="s">
        <v>19</v>
      </c>
      <c r="E3432" s="5" t="s">
        <v>1381</v>
      </c>
      <c r="F3432" s="9">
        <v>17</v>
      </c>
      <c r="G3432" s="9">
        <v>181</v>
      </c>
      <c r="H3432" s="5" t="s">
        <v>21</v>
      </c>
      <c r="I3432" s="5" t="s">
        <v>8650</v>
      </c>
      <c r="J3432" s="12" t="str">
        <f>HYPERLINK("https://www.boe.es/gazeta/dias/1802/02/26/pdfs/GMD-1802-17.pdf#page=5","Abrir facsímil")</f>
        <v>Abrir facsímil</v>
      </c>
      <c r="K3432" s="15" t="s">
        <v>23</v>
      </c>
    </row>
    <row r="3433" spans="1:11" ht="42" customHeight="1">
      <c r="A3433" s="4" t="s">
        <v>8651</v>
      </c>
      <c r="B3433" s="5" t="s">
        <v>8652</v>
      </c>
      <c r="C3433" s="5" t="s">
        <v>18</v>
      </c>
      <c r="D3433" s="5" t="s">
        <v>19</v>
      </c>
      <c r="E3433" s="5" t="s">
        <v>20</v>
      </c>
      <c r="F3433" s="9">
        <v>84</v>
      </c>
      <c r="G3433" s="9">
        <v>1041</v>
      </c>
      <c r="H3433" s="5" t="s">
        <v>21</v>
      </c>
      <c r="I3433" s="5" t="s">
        <v>8653</v>
      </c>
      <c r="J3433" s="12" t="str">
        <f>HYPERLINK("https://www.boe.es/gazeta/dias/1802/10/15/pdfs/GMD-1802-84.pdf#page=9","Abrir facsímil")</f>
        <v>Abrir facsímil</v>
      </c>
      <c r="K3433" s="15" t="s">
        <v>23</v>
      </c>
    </row>
    <row r="3434" spans="1:11" ht="42" customHeight="1">
      <c r="A3434" s="4" t="s">
        <v>8654</v>
      </c>
      <c r="B3434" s="5" t="s">
        <v>8655</v>
      </c>
      <c r="C3434" s="5" t="s">
        <v>160</v>
      </c>
      <c r="D3434" s="5" t="s">
        <v>91</v>
      </c>
      <c r="E3434" s="5" t="s">
        <v>710</v>
      </c>
      <c r="F3434" s="9">
        <v>85</v>
      </c>
      <c r="G3434" s="9">
        <v>1058</v>
      </c>
      <c r="H3434" s="5" t="s">
        <v>21</v>
      </c>
      <c r="I3434" s="5" t="s">
        <v>8656</v>
      </c>
      <c r="J3434" s="12" t="str">
        <f>HYPERLINK("https://www.boe.es/gazeta/dias/1802/10/19/pdfs/GMD-1802-85.pdf#page=10","Abrir facsímil")</f>
        <v>Abrir facsímil</v>
      </c>
      <c r="K3434" s="15" t="s">
        <v>23</v>
      </c>
    </row>
    <row r="3435" spans="1:11" ht="42" customHeight="1">
      <c r="A3435" s="4" t="s">
        <v>8657</v>
      </c>
      <c r="B3435" s="5" t="s">
        <v>8658</v>
      </c>
      <c r="C3435" s="5" t="s">
        <v>29</v>
      </c>
      <c r="D3435" s="5" t="s">
        <v>30</v>
      </c>
      <c r="E3435" s="5" t="s">
        <v>670</v>
      </c>
      <c r="F3435" s="9">
        <v>40</v>
      </c>
      <c r="G3435" s="9">
        <v>481</v>
      </c>
      <c r="H3435" s="5" t="s">
        <v>21</v>
      </c>
      <c r="I3435" s="5" t="s">
        <v>8659</v>
      </c>
      <c r="J3435" s="12" t="str">
        <f>HYPERLINK("https://www.boe.es/gazeta/dias/1802/05/18/pdfs/GMD-1802-40.pdf#page=9","Abrir facsímil")</f>
        <v>Abrir facsímil</v>
      </c>
      <c r="K3435" s="15" t="s">
        <v>23</v>
      </c>
    </row>
    <row r="3436" spans="1:11" ht="42" customHeight="1">
      <c r="A3436" s="4" t="s">
        <v>8660</v>
      </c>
      <c r="B3436" s="5" t="s">
        <v>8661</v>
      </c>
      <c r="C3436" s="5" t="s">
        <v>160</v>
      </c>
      <c r="D3436" s="5" t="s">
        <v>91</v>
      </c>
      <c r="E3436" s="5" t="s">
        <v>20</v>
      </c>
      <c r="F3436" s="9">
        <v>84</v>
      </c>
      <c r="G3436" s="9">
        <v>1042</v>
      </c>
      <c r="H3436" s="5" t="s">
        <v>21</v>
      </c>
      <c r="I3436" s="5" t="s">
        <v>8662</v>
      </c>
      <c r="J3436" s="12" t="str">
        <f>HYPERLINK("https://www.boe.es/gazeta/dias/1802/10/15/pdfs/GMD-1802-84.pdf#page=10","Abrir facsímil")</f>
        <v>Abrir facsímil</v>
      </c>
      <c r="K3436" s="15" t="s">
        <v>23</v>
      </c>
    </row>
    <row r="3437" spans="1:11" ht="42" customHeight="1">
      <c r="A3437" s="4" t="s">
        <v>8663</v>
      </c>
      <c r="B3437" s="5" t="s">
        <v>8664</v>
      </c>
      <c r="C3437" s="5" t="s">
        <v>18</v>
      </c>
      <c r="D3437" s="5" t="s">
        <v>19</v>
      </c>
      <c r="E3437" s="5" t="s">
        <v>710</v>
      </c>
      <c r="F3437" s="9">
        <v>85</v>
      </c>
      <c r="G3437" s="9">
        <v>1058</v>
      </c>
      <c r="H3437" s="5" t="s">
        <v>21</v>
      </c>
      <c r="I3437" s="5" t="s">
        <v>8665</v>
      </c>
      <c r="J3437" s="12" t="str">
        <f>HYPERLINK("https://www.boe.es/gazeta/dias/1802/10/19/pdfs/GMD-1802-85.pdf#page=10","Abrir facsímil")</f>
        <v>Abrir facsímil</v>
      </c>
      <c r="K3437" s="15" t="s">
        <v>23</v>
      </c>
    </row>
    <row r="3438" spans="1:11" ht="42" customHeight="1">
      <c r="A3438" s="4" t="s">
        <v>8666</v>
      </c>
      <c r="B3438" s="5" t="s">
        <v>8667</v>
      </c>
      <c r="C3438" s="5" t="s">
        <v>29</v>
      </c>
      <c r="D3438" s="5" t="s">
        <v>30</v>
      </c>
      <c r="E3438" s="5" t="s">
        <v>175</v>
      </c>
      <c r="F3438" s="9">
        <v>37</v>
      </c>
      <c r="G3438" s="9">
        <v>442</v>
      </c>
      <c r="H3438" s="5" t="s">
        <v>21</v>
      </c>
      <c r="I3438" s="5" t="s">
        <v>8668</v>
      </c>
      <c r="J3438" s="12" t="str">
        <f>HYPERLINK("https://www.boe.es/gazeta/dias/1802/05/07/pdfs/GMD-1802-37.pdf#page=10","Abrir facsímil")</f>
        <v>Abrir facsímil</v>
      </c>
      <c r="K3438" s="15" t="s">
        <v>23</v>
      </c>
    </row>
    <row r="3439" spans="1:11" ht="42" customHeight="1">
      <c r="A3439" s="4" t="s">
        <v>8669</v>
      </c>
      <c r="B3439" s="5" t="s">
        <v>8670</v>
      </c>
      <c r="C3439" s="5" t="s">
        <v>160</v>
      </c>
      <c r="D3439" s="5" t="s">
        <v>91</v>
      </c>
      <c r="E3439" s="5" t="s">
        <v>20</v>
      </c>
      <c r="F3439" s="9">
        <v>84</v>
      </c>
      <c r="G3439" s="9">
        <v>1044</v>
      </c>
      <c r="H3439" s="5" t="s">
        <v>21</v>
      </c>
      <c r="I3439" s="5" t="s">
        <v>8671</v>
      </c>
      <c r="J3439" s="12" t="str">
        <f>HYPERLINK("https://www.boe.es/gazeta/dias/1802/10/15/pdfs/GMD-1802-84.pdf#page=12","Abrir facsímil")</f>
        <v>Abrir facsímil</v>
      </c>
      <c r="K3439" s="15" t="s">
        <v>23</v>
      </c>
    </row>
    <row r="3440" spans="1:11" ht="42" customHeight="1">
      <c r="A3440" s="4" t="s">
        <v>8672</v>
      </c>
      <c r="B3440" s="5" t="s">
        <v>8673</v>
      </c>
      <c r="C3440" s="5" t="s">
        <v>18</v>
      </c>
      <c r="D3440" s="5" t="s">
        <v>19</v>
      </c>
      <c r="E3440" s="5" t="s">
        <v>49</v>
      </c>
      <c r="F3440" s="9">
        <v>83</v>
      </c>
      <c r="G3440" s="9">
        <v>1025</v>
      </c>
      <c r="H3440" s="5" t="s">
        <v>21</v>
      </c>
      <c r="I3440" s="5" t="s">
        <v>8674</v>
      </c>
      <c r="J3440" s="12" t="str">
        <f>HYPERLINK("https://www.boe.es/gazeta/dias/1802/10/12/pdfs/GMD-1802-83.pdf#page=13","Abrir facsímil")</f>
        <v>Abrir facsímil</v>
      </c>
      <c r="K3440" s="15" t="s">
        <v>23</v>
      </c>
    </row>
    <row r="3441" spans="1:11" ht="42" customHeight="1">
      <c r="A3441" s="4" t="s">
        <v>8675</v>
      </c>
      <c r="B3441" s="5" t="s">
        <v>8676</v>
      </c>
      <c r="C3441" s="5" t="s">
        <v>29</v>
      </c>
      <c r="D3441" s="5" t="s">
        <v>30</v>
      </c>
      <c r="E3441" s="5" t="s">
        <v>1749</v>
      </c>
      <c r="F3441" s="9">
        <v>60</v>
      </c>
      <c r="G3441" s="9">
        <v>728</v>
      </c>
      <c r="H3441" s="5" t="s">
        <v>21</v>
      </c>
      <c r="I3441" s="5" t="s">
        <v>8677</v>
      </c>
      <c r="J3441" s="12" t="str">
        <f>HYPERLINK("https://www.boe.es/gazeta/dias/1802/07/23/pdfs/GMD-1802-60.pdf#page=12","Abrir facsímil")</f>
        <v>Abrir facsímil</v>
      </c>
      <c r="K3441" s="15" t="s">
        <v>23</v>
      </c>
    </row>
    <row r="3442" spans="1:11" ht="42" customHeight="1">
      <c r="A3442" s="4" t="s">
        <v>8678</v>
      </c>
      <c r="B3442" s="5" t="s">
        <v>8679</v>
      </c>
      <c r="C3442" s="5" t="s">
        <v>55</v>
      </c>
      <c r="D3442" s="5" t="s">
        <v>56</v>
      </c>
      <c r="E3442" s="5" t="s">
        <v>152</v>
      </c>
      <c r="F3442" s="9">
        <v>25</v>
      </c>
      <c r="G3442" s="9">
        <v>287</v>
      </c>
      <c r="H3442" s="5" t="s">
        <v>21</v>
      </c>
      <c r="I3442" s="5" t="s">
        <v>8680</v>
      </c>
      <c r="J3442" s="12" t="str">
        <f>HYPERLINK("https://www.boe.es/gazeta/dias/1802/03/26/pdfs/GMD-1802-25.pdf#page=11","Abrir facsímil")</f>
        <v>Abrir facsímil</v>
      </c>
      <c r="K3442" s="15" t="s">
        <v>23</v>
      </c>
    </row>
    <row r="3443" spans="1:11" ht="42" customHeight="1">
      <c r="A3443" s="4" t="s">
        <v>8681</v>
      </c>
      <c r="B3443" s="5" t="s">
        <v>8682</v>
      </c>
      <c r="C3443" s="5" t="s">
        <v>29</v>
      </c>
      <c r="D3443" s="5" t="s">
        <v>30</v>
      </c>
      <c r="E3443" s="5" t="s">
        <v>146</v>
      </c>
      <c r="F3443" s="9">
        <v>42</v>
      </c>
      <c r="G3443" s="9">
        <v>505</v>
      </c>
      <c r="H3443" s="5" t="s">
        <v>21</v>
      </c>
      <c r="I3443" s="5" t="s">
        <v>8683</v>
      </c>
      <c r="J3443" s="12" t="str">
        <f>HYPERLINK("https://www.boe.es/gazeta/dias/1802/05/25/pdfs/GMD-1802-42.pdf#page=9","Abrir facsímil")</f>
        <v>Abrir facsímil</v>
      </c>
      <c r="K3443" s="15" t="s">
        <v>23</v>
      </c>
    </row>
    <row r="3444" spans="1:11" ht="42" customHeight="1">
      <c r="A3444" s="4" t="s">
        <v>8684</v>
      </c>
      <c r="B3444" s="5" t="s">
        <v>8685</v>
      </c>
      <c r="C3444" s="5" t="s">
        <v>18</v>
      </c>
      <c r="D3444" s="5" t="s">
        <v>19</v>
      </c>
      <c r="E3444" s="5" t="s">
        <v>146</v>
      </c>
      <c r="F3444" s="9">
        <v>42</v>
      </c>
      <c r="G3444" s="9">
        <v>505</v>
      </c>
      <c r="H3444" s="5" t="s">
        <v>21</v>
      </c>
      <c r="I3444" s="5" t="s">
        <v>8686</v>
      </c>
      <c r="J3444" s="12" t="str">
        <f>HYPERLINK("https://www.boe.es/gazeta/dias/1802/05/25/pdfs/GMD-1802-42.pdf#page=9","Abrir facsímil")</f>
        <v>Abrir facsímil</v>
      </c>
      <c r="K3444" s="15" t="s">
        <v>23</v>
      </c>
    </row>
    <row r="3445" spans="1:11" ht="42" customHeight="1">
      <c r="A3445" s="4" t="s">
        <v>8687</v>
      </c>
      <c r="B3445" s="5" t="s">
        <v>8688</v>
      </c>
      <c r="C3445" s="5" t="s">
        <v>18</v>
      </c>
      <c r="D3445" s="5" t="s">
        <v>19</v>
      </c>
      <c r="E3445" s="5" t="s">
        <v>31</v>
      </c>
      <c r="F3445" s="9">
        <v>27</v>
      </c>
      <c r="G3445" s="9">
        <v>318</v>
      </c>
      <c r="H3445" s="5" t="s">
        <v>21</v>
      </c>
      <c r="I3445" s="5" t="s">
        <v>8689</v>
      </c>
      <c r="J3445" s="12" t="str">
        <f>HYPERLINK("https://www.boe.es/gazeta/dias/1802/04/02/pdfs/GMD-1802-27.pdf#page=14","Abrir facsímil")</f>
        <v>Abrir facsímil</v>
      </c>
      <c r="K3445" s="15" t="s">
        <v>23</v>
      </c>
    </row>
    <row r="3446" spans="1:11" ht="42" customHeight="1">
      <c r="A3446" s="4" t="s">
        <v>8690</v>
      </c>
      <c r="B3446" s="5" t="s">
        <v>8691</v>
      </c>
      <c r="C3446" s="5" t="s">
        <v>55</v>
      </c>
      <c r="D3446" s="5" t="s">
        <v>56</v>
      </c>
      <c r="E3446" s="5" t="s">
        <v>167</v>
      </c>
      <c r="F3446" s="9">
        <v>23</v>
      </c>
      <c r="G3446" s="9">
        <v>263</v>
      </c>
      <c r="H3446" s="5" t="s">
        <v>21</v>
      </c>
      <c r="I3446" s="5" t="s">
        <v>8692</v>
      </c>
      <c r="J3446" s="12" t="str">
        <f>HYPERLINK("https://www.boe.es/gazeta/dias/1802/03/19/pdfs/GMD-1802-23.pdf#page=11","Abrir facsímil")</f>
        <v>Abrir facsímil</v>
      </c>
      <c r="K3446" s="15" t="s">
        <v>23</v>
      </c>
    </row>
    <row r="3447" spans="1:11" ht="42" customHeight="1">
      <c r="A3447" s="4" t="s">
        <v>8693</v>
      </c>
      <c r="B3447" s="5" t="s">
        <v>8694</v>
      </c>
      <c r="C3447" s="5" t="s">
        <v>160</v>
      </c>
      <c r="D3447" s="5" t="s">
        <v>91</v>
      </c>
      <c r="E3447" s="5" t="s">
        <v>20</v>
      </c>
      <c r="F3447" s="9">
        <v>84</v>
      </c>
      <c r="G3447" s="9">
        <v>1040</v>
      </c>
      <c r="H3447" s="5" t="s">
        <v>21</v>
      </c>
      <c r="I3447" s="5" t="s">
        <v>8695</v>
      </c>
      <c r="J3447" s="12" t="str">
        <f>HYPERLINK("https://www.boe.es/gazeta/dias/1802/10/15/pdfs/GMD-1802-84.pdf#page=8","Abrir facsímil")</f>
        <v>Abrir facsímil</v>
      </c>
      <c r="K3447" s="15" t="s">
        <v>23</v>
      </c>
    </row>
    <row r="3448" spans="1:11" ht="42" customHeight="1">
      <c r="A3448" s="4" t="s">
        <v>8696</v>
      </c>
      <c r="B3448" s="5" t="s">
        <v>8697</v>
      </c>
      <c r="C3448" s="5" t="s">
        <v>42</v>
      </c>
      <c r="D3448" s="5" t="s">
        <v>43</v>
      </c>
      <c r="E3448" s="5" t="s">
        <v>44</v>
      </c>
      <c r="F3448" s="9">
        <v>99</v>
      </c>
      <c r="G3448" s="9" t="s">
        <v>548</v>
      </c>
      <c r="H3448" s="5" t="s">
        <v>21</v>
      </c>
      <c r="I3448" s="5" t="s">
        <v>8698</v>
      </c>
      <c r="J3448" s="12" t="str">
        <f>HYPERLINK("https://www.boe.es/gazeta/dias/1802/12/07/pdfs/GMD-D-1802-99.pdf#page=12","Abrir facsímil")</f>
        <v>Abrir facsímil</v>
      </c>
      <c r="K3448" s="15" t="s">
        <v>23</v>
      </c>
    </row>
    <row r="3449" spans="1:11" ht="42" customHeight="1">
      <c r="A3449" s="4" t="s">
        <v>8699</v>
      </c>
      <c r="B3449" s="5" t="s">
        <v>8700</v>
      </c>
      <c r="C3449" s="5" t="s">
        <v>42</v>
      </c>
      <c r="D3449" s="5" t="s">
        <v>43</v>
      </c>
      <c r="E3449" s="5" t="s">
        <v>44</v>
      </c>
      <c r="F3449" s="9">
        <v>99</v>
      </c>
      <c r="G3449" s="9" t="s">
        <v>544</v>
      </c>
      <c r="H3449" s="5" t="s">
        <v>21</v>
      </c>
      <c r="I3449" s="5" t="s">
        <v>8701</v>
      </c>
      <c r="J3449" s="12" t="str">
        <f>HYPERLINK("https://www.boe.es/gazeta/dias/1802/12/07/pdfs/GMD-D-1802-99.pdf#page=11","Abrir facsímil")</f>
        <v>Abrir facsímil</v>
      </c>
      <c r="K3449" s="15" t="s">
        <v>23</v>
      </c>
    </row>
    <row r="3450" spans="1:11" ht="42" customHeight="1">
      <c r="A3450" s="4" t="s">
        <v>8702</v>
      </c>
      <c r="B3450" s="5" t="s">
        <v>8703</v>
      </c>
      <c r="C3450" s="5" t="s">
        <v>42</v>
      </c>
      <c r="D3450" s="5" t="s">
        <v>43</v>
      </c>
      <c r="E3450" s="5" t="s">
        <v>44</v>
      </c>
      <c r="F3450" s="9">
        <v>99</v>
      </c>
      <c r="G3450" s="9" t="s">
        <v>537</v>
      </c>
      <c r="H3450" s="5" t="s">
        <v>21</v>
      </c>
      <c r="I3450" s="5" t="s">
        <v>8704</v>
      </c>
      <c r="J3450" s="12" t="str">
        <f>HYPERLINK("https://www.boe.es/gazeta/dias/1802/12/07/pdfs/GMD-D-1802-99.pdf#page=9","Abrir facsímil")</f>
        <v>Abrir facsímil</v>
      </c>
      <c r="K3450" s="15" t="s">
        <v>23</v>
      </c>
    </row>
    <row r="3451" spans="1:11" ht="42" customHeight="1">
      <c r="A3451" s="4" t="s">
        <v>8705</v>
      </c>
      <c r="B3451" s="5" t="s">
        <v>8706</v>
      </c>
      <c r="C3451" s="5" t="s">
        <v>42</v>
      </c>
      <c r="D3451" s="5" t="s">
        <v>43</v>
      </c>
      <c r="E3451" s="5" t="s">
        <v>44</v>
      </c>
      <c r="F3451" s="9">
        <v>99</v>
      </c>
      <c r="G3451" s="9" t="s">
        <v>550</v>
      </c>
      <c r="H3451" s="5" t="s">
        <v>21</v>
      </c>
      <c r="I3451" s="5" t="s">
        <v>8707</v>
      </c>
      <c r="J3451" s="12" t="str">
        <f>HYPERLINK("https://www.boe.es/gazeta/dias/1802/12/07/pdfs/GMD-D-1802-99.pdf#page=16","Abrir facsímil")</f>
        <v>Abrir facsímil</v>
      </c>
      <c r="K3451" s="15" t="s">
        <v>23</v>
      </c>
    </row>
    <row r="3452" spans="1:11" ht="42" customHeight="1">
      <c r="A3452" s="4" t="s">
        <v>8708</v>
      </c>
      <c r="B3452" s="5" t="s">
        <v>8709</v>
      </c>
      <c r="C3452" s="5" t="s">
        <v>18</v>
      </c>
      <c r="D3452" s="5" t="s">
        <v>19</v>
      </c>
      <c r="E3452" s="5" t="s">
        <v>49</v>
      </c>
      <c r="F3452" s="9">
        <v>83</v>
      </c>
      <c r="G3452" s="9">
        <v>1023</v>
      </c>
      <c r="H3452" s="5" t="s">
        <v>21</v>
      </c>
      <c r="I3452" s="5" t="s">
        <v>8710</v>
      </c>
      <c r="J3452" s="12" t="str">
        <f>HYPERLINK("https://www.boe.es/gazeta/dias/1802/10/12/pdfs/GMD-1802-83.pdf#page=11","Abrir facsímil")</f>
        <v>Abrir facsímil</v>
      </c>
      <c r="K3452" s="15" t="s">
        <v>23</v>
      </c>
    </row>
    <row r="3453" spans="1:11" ht="42" customHeight="1">
      <c r="A3453" s="4" t="s">
        <v>8711</v>
      </c>
      <c r="B3453" s="5" t="s">
        <v>8712</v>
      </c>
      <c r="C3453" s="5" t="s">
        <v>29</v>
      </c>
      <c r="D3453" s="5" t="s">
        <v>30</v>
      </c>
      <c r="E3453" s="5" t="s">
        <v>1097</v>
      </c>
      <c r="F3453" s="9">
        <v>20</v>
      </c>
      <c r="G3453" s="9">
        <v>223</v>
      </c>
      <c r="H3453" s="5" t="s">
        <v>21</v>
      </c>
      <c r="I3453" s="5" t="s">
        <v>8713</v>
      </c>
      <c r="J3453" s="12" t="str">
        <f>HYPERLINK("https://www.boe.es/gazeta/dias/1802/03/09/pdfs/GMD-1802-20.pdf#page=11","Abrir facsímil")</f>
        <v>Abrir facsímil</v>
      </c>
      <c r="K3453" s="15" t="s">
        <v>23</v>
      </c>
    </row>
    <row r="3454" spans="1:11" ht="42" customHeight="1">
      <c r="A3454" s="4" t="s">
        <v>8711</v>
      </c>
      <c r="B3454" s="5" t="s">
        <v>8712</v>
      </c>
      <c r="C3454" s="5" t="s">
        <v>55</v>
      </c>
      <c r="D3454" s="5" t="s">
        <v>56</v>
      </c>
      <c r="E3454" s="5" t="s">
        <v>258</v>
      </c>
      <c r="F3454" s="9">
        <v>63</v>
      </c>
      <c r="G3454" s="9">
        <v>771</v>
      </c>
      <c r="H3454" s="5" t="s">
        <v>21</v>
      </c>
      <c r="I3454" s="5" t="s">
        <v>8714</v>
      </c>
      <c r="J3454" s="12" t="str">
        <f>HYPERLINK("https://www.boe.es/gazeta/dias/1802/08/03/pdfs/GMD-1802-63.pdf#page=11","Abrir facsímil")</f>
        <v>Abrir facsímil</v>
      </c>
      <c r="K3454" s="15" t="s">
        <v>23</v>
      </c>
    </row>
    <row r="3455" spans="1:11" ht="42" customHeight="1">
      <c r="A3455" s="4" t="s">
        <v>8711</v>
      </c>
      <c r="B3455" s="5" t="s">
        <v>8712</v>
      </c>
      <c r="C3455" s="5" t="s">
        <v>29</v>
      </c>
      <c r="D3455" s="5" t="s">
        <v>30</v>
      </c>
      <c r="E3455" s="5" t="s">
        <v>44</v>
      </c>
      <c r="F3455" s="9">
        <v>99</v>
      </c>
      <c r="G3455" s="9">
        <v>1223</v>
      </c>
      <c r="H3455" s="5" t="s">
        <v>21</v>
      </c>
      <c r="I3455" s="5" t="s">
        <v>8715</v>
      </c>
      <c r="J3455" s="12" t="str">
        <f>HYPERLINK("https://www.boe.es/gazeta/dias/1802/12/07/pdfs/GMD-1802-99.pdf#page=7","Abrir facsímil")</f>
        <v>Abrir facsímil</v>
      </c>
      <c r="K3455" s="15" t="s">
        <v>23</v>
      </c>
    </row>
    <row r="3456" spans="1:11" ht="42" customHeight="1">
      <c r="A3456" s="4" t="s">
        <v>8716</v>
      </c>
      <c r="B3456" s="5" t="s">
        <v>8717</v>
      </c>
      <c r="C3456" s="5" t="s">
        <v>29</v>
      </c>
      <c r="D3456" s="5" t="s">
        <v>30</v>
      </c>
      <c r="E3456" s="5" t="s">
        <v>128</v>
      </c>
      <c r="F3456" s="9">
        <v>9</v>
      </c>
      <c r="G3456" s="9">
        <v>90</v>
      </c>
      <c r="H3456" s="5" t="s">
        <v>21</v>
      </c>
      <c r="I3456" s="5" t="s">
        <v>8718</v>
      </c>
      <c r="J3456" s="12" t="str">
        <f>HYPERLINK("https://www.boe.es/gazeta/dias/1802/01/29/pdfs/GMD-1802-9.pdf#page=10","Abrir facsímil")</f>
        <v>Abrir facsímil</v>
      </c>
      <c r="K3456" s="15" t="s">
        <v>23</v>
      </c>
    </row>
    <row r="3457" spans="1:11" ht="42" customHeight="1">
      <c r="A3457" s="4" t="s">
        <v>8719</v>
      </c>
      <c r="B3457" s="5" t="s">
        <v>8720</v>
      </c>
      <c r="C3457" s="5" t="s">
        <v>29</v>
      </c>
      <c r="D3457" s="5" t="s">
        <v>30</v>
      </c>
      <c r="E3457" s="5" t="s">
        <v>128</v>
      </c>
      <c r="F3457" s="9">
        <v>9</v>
      </c>
      <c r="G3457" s="9">
        <v>90</v>
      </c>
      <c r="H3457" s="5" t="s">
        <v>21</v>
      </c>
      <c r="I3457" s="5" t="s">
        <v>8721</v>
      </c>
      <c r="J3457" s="12" t="str">
        <f>HYPERLINK("https://www.boe.es/gazeta/dias/1802/01/29/pdfs/GMD-1802-9.pdf#page=10","Abrir facsímil")</f>
        <v>Abrir facsímil</v>
      </c>
      <c r="K3457" s="15" t="s">
        <v>23</v>
      </c>
    </row>
    <row r="3458" spans="1:11" ht="42" customHeight="1">
      <c r="A3458" s="4" t="s">
        <v>8719</v>
      </c>
      <c r="B3458" s="5" t="s">
        <v>8720</v>
      </c>
      <c r="C3458" s="5" t="s">
        <v>29</v>
      </c>
      <c r="D3458" s="5" t="s">
        <v>30</v>
      </c>
      <c r="E3458" s="5" t="s">
        <v>247</v>
      </c>
      <c r="F3458" s="9">
        <v>14</v>
      </c>
      <c r="G3458" s="9">
        <v>145</v>
      </c>
      <c r="H3458" s="5" t="s">
        <v>21</v>
      </c>
      <c r="I3458" s="5" t="s">
        <v>8722</v>
      </c>
      <c r="J3458" s="12" t="str">
        <f>HYPERLINK("https://www.boe.es/gazeta/dias/1802/02/16/pdfs/GMD-1802-14.pdf#page=9","Abrir facsímil")</f>
        <v>Abrir facsímil</v>
      </c>
      <c r="K3458" s="15" t="s">
        <v>23</v>
      </c>
    </row>
    <row r="3459" spans="1:11" ht="42" customHeight="1">
      <c r="A3459" s="4" t="s">
        <v>8719</v>
      </c>
      <c r="B3459" s="5" t="s">
        <v>8720</v>
      </c>
      <c r="C3459" s="5" t="s">
        <v>29</v>
      </c>
      <c r="D3459" s="5" t="s">
        <v>30</v>
      </c>
      <c r="E3459" s="5" t="s">
        <v>86</v>
      </c>
      <c r="F3459" s="9">
        <v>26</v>
      </c>
      <c r="G3459" s="9">
        <v>298</v>
      </c>
      <c r="H3459" s="5" t="s">
        <v>21</v>
      </c>
      <c r="I3459" s="5" t="s">
        <v>8723</v>
      </c>
      <c r="J3459" s="12" t="str">
        <f>HYPERLINK("https://www.boe.es/gazeta/dias/1802/03/30/pdfs/GMD-1802-26.pdf#page=10","Abrir facsímil")</f>
        <v>Abrir facsímil</v>
      </c>
      <c r="K3459" s="15" t="s">
        <v>23</v>
      </c>
    </row>
    <row r="3460" spans="1:11" ht="42" customHeight="1">
      <c r="A3460" s="4" t="s">
        <v>8719</v>
      </c>
      <c r="B3460" s="5" t="s">
        <v>8720</v>
      </c>
      <c r="C3460" s="5" t="s">
        <v>42</v>
      </c>
      <c r="D3460" s="5" t="s">
        <v>43</v>
      </c>
      <c r="E3460" s="5" t="s">
        <v>44</v>
      </c>
      <c r="F3460" s="9">
        <v>99</v>
      </c>
      <c r="G3460" s="9" t="s">
        <v>537</v>
      </c>
      <c r="H3460" s="5" t="s">
        <v>21</v>
      </c>
      <c r="I3460" s="5" t="s">
        <v>8724</v>
      </c>
      <c r="J3460" s="12" t="str">
        <f>HYPERLINK("https://www.boe.es/gazeta/dias/1802/12/07/pdfs/GMD-D-1802-99.pdf#page=9","Abrir facsímil")</f>
        <v>Abrir facsímil</v>
      </c>
      <c r="K3460" s="15" t="s">
        <v>23</v>
      </c>
    </row>
    <row r="3461" spans="1:11" ht="42" customHeight="1">
      <c r="A3461" s="4" t="s">
        <v>8725</v>
      </c>
      <c r="B3461" s="5" t="s">
        <v>8726</v>
      </c>
      <c r="C3461" s="5" t="s">
        <v>29</v>
      </c>
      <c r="D3461" s="5" t="s">
        <v>30</v>
      </c>
      <c r="E3461" s="5" t="s">
        <v>146</v>
      </c>
      <c r="F3461" s="9">
        <v>42</v>
      </c>
      <c r="G3461" s="9">
        <v>504</v>
      </c>
      <c r="H3461" s="5" t="s">
        <v>21</v>
      </c>
      <c r="I3461" s="5" t="s">
        <v>8727</v>
      </c>
      <c r="J3461" s="12" t="str">
        <f>HYPERLINK("https://www.boe.es/gazeta/dias/1802/05/25/pdfs/GMD-1802-42.pdf#page=8","Abrir facsímil")</f>
        <v>Abrir facsímil</v>
      </c>
      <c r="K3461" s="15" t="s">
        <v>23</v>
      </c>
    </row>
    <row r="3462" spans="1:11" ht="42" customHeight="1">
      <c r="A3462" s="4" t="s">
        <v>8728</v>
      </c>
      <c r="B3462" s="5" t="s">
        <v>8729</v>
      </c>
      <c r="C3462" s="5" t="s">
        <v>29</v>
      </c>
      <c r="D3462" s="5" t="s">
        <v>30</v>
      </c>
      <c r="E3462" s="5" t="s">
        <v>181</v>
      </c>
      <c r="F3462" s="9">
        <v>55</v>
      </c>
      <c r="G3462" s="9">
        <v>667</v>
      </c>
      <c r="H3462" s="5" t="s">
        <v>21</v>
      </c>
      <c r="I3462" s="5" t="s">
        <v>8730</v>
      </c>
      <c r="J3462" s="12" t="str">
        <f>HYPERLINK("https://www.boe.es/gazeta/dias/1802/07/09/pdfs/GMD-1802-55.pdf#page=11","Abrir facsímil")</f>
        <v>Abrir facsímil</v>
      </c>
      <c r="K3462" s="15" t="s">
        <v>23</v>
      </c>
    </row>
    <row r="3463" spans="1:11" ht="42" customHeight="1">
      <c r="A3463" s="4" t="s">
        <v>8731</v>
      </c>
      <c r="B3463" s="5" t="s">
        <v>8732</v>
      </c>
      <c r="C3463" s="5" t="s">
        <v>42</v>
      </c>
      <c r="D3463" s="5" t="s">
        <v>43</v>
      </c>
      <c r="E3463" s="5" t="s">
        <v>44</v>
      </c>
      <c r="F3463" s="9">
        <v>99</v>
      </c>
      <c r="G3463" s="9" t="s">
        <v>322</v>
      </c>
      <c r="H3463" s="5" t="s">
        <v>21</v>
      </c>
      <c r="I3463" s="5" t="s">
        <v>8733</v>
      </c>
      <c r="J3463" s="12" t="str">
        <f>HYPERLINK("https://www.boe.es/gazeta/dias/1802/12/07/pdfs/GMD-D-1802-99.pdf#page=10","Abrir facsímil")</f>
        <v>Abrir facsímil</v>
      </c>
      <c r="K3463" s="15" t="s">
        <v>23</v>
      </c>
    </row>
    <row r="3464" spans="1:11" ht="42" customHeight="1">
      <c r="A3464" s="4" t="s">
        <v>8734</v>
      </c>
      <c r="B3464" s="5" t="s">
        <v>8735</v>
      </c>
      <c r="C3464" s="5" t="s">
        <v>55</v>
      </c>
      <c r="D3464" s="5" t="s">
        <v>56</v>
      </c>
      <c r="E3464" s="5" t="s">
        <v>192</v>
      </c>
      <c r="F3464" s="9">
        <v>53</v>
      </c>
      <c r="G3464" s="9">
        <v>644</v>
      </c>
      <c r="H3464" s="5" t="s">
        <v>21</v>
      </c>
      <c r="I3464" s="5" t="s">
        <v>8736</v>
      </c>
      <c r="J3464" s="12" t="str">
        <f>HYPERLINK("https://www.boe.es/gazeta/dias/1802/07/02/pdfs/GMD-1802-53.pdf#page=12","Abrir facsímil")</f>
        <v>Abrir facsímil</v>
      </c>
      <c r="K3464" s="15" t="s">
        <v>23</v>
      </c>
    </row>
    <row r="3465" spans="1:11" ht="42" customHeight="1">
      <c r="A3465" s="4" t="s">
        <v>8737</v>
      </c>
      <c r="B3465" s="5" t="s">
        <v>8738</v>
      </c>
      <c r="C3465" s="5" t="s">
        <v>42</v>
      </c>
      <c r="D3465" s="5" t="s">
        <v>43</v>
      </c>
      <c r="E3465" s="5" t="s">
        <v>44</v>
      </c>
      <c r="F3465" s="9">
        <v>99</v>
      </c>
      <c r="G3465" s="9" t="s">
        <v>550</v>
      </c>
      <c r="H3465" s="5" t="s">
        <v>21</v>
      </c>
      <c r="I3465" s="5" t="s">
        <v>8739</v>
      </c>
      <c r="J3465" s="12" t="str">
        <f>HYPERLINK("https://www.boe.es/gazeta/dias/1802/12/07/pdfs/GMD-D-1802-99.pdf#page=16","Abrir facsímil")</f>
        <v>Abrir facsímil</v>
      </c>
      <c r="K3465" s="15" t="s">
        <v>23</v>
      </c>
    </row>
    <row r="3466" spans="1:11" ht="42" customHeight="1">
      <c r="A3466" s="4" t="s">
        <v>8740</v>
      </c>
      <c r="B3466" s="5" t="s">
        <v>8741</v>
      </c>
      <c r="C3466" s="5" t="s">
        <v>29</v>
      </c>
      <c r="D3466" s="5" t="s">
        <v>30</v>
      </c>
      <c r="E3466" s="5" t="s">
        <v>172</v>
      </c>
      <c r="F3466" s="9">
        <v>35</v>
      </c>
      <c r="G3466" s="9">
        <v>413</v>
      </c>
      <c r="H3466" s="5" t="s">
        <v>21</v>
      </c>
      <c r="I3466" s="5" t="s">
        <v>8742</v>
      </c>
      <c r="J3466" s="12" t="str">
        <f>HYPERLINK("https://www.boe.es/gazeta/dias/1802/04/30/pdfs/GMD-1802-35.pdf#page=13","Abrir facsímil")</f>
        <v>Abrir facsímil</v>
      </c>
      <c r="K3466" s="15" t="s">
        <v>23</v>
      </c>
    </row>
    <row r="3467" spans="1:11" ht="42" customHeight="1">
      <c r="A3467" s="4" t="s">
        <v>8740</v>
      </c>
      <c r="B3467" s="5" t="s">
        <v>8741</v>
      </c>
      <c r="C3467" s="5" t="s">
        <v>18</v>
      </c>
      <c r="D3467" s="5" t="s">
        <v>19</v>
      </c>
      <c r="E3467" s="5" t="s">
        <v>49</v>
      </c>
      <c r="F3467" s="9">
        <v>83</v>
      </c>
      <c r="G3467" s="9">
        <v>1023</v>
      </c>
      <c r="H3467" s="5" t="s">
        <v>21</v>
      </c>
      <c r="I3467" s="5" t="s">
        <v>8743</v>
      </c>
      <c r="J3467" s="12" t="str">
        <f>HYPERLINK("https://www.boe.es/gazeta/dias/1802/10/12/pdfs/GMD-1802-83.pdf#page=11","Abrir facsímil")</f>
        <v>Abrir facsímil</v>
      </c>
      <c r="K3467" s="15" t="s">
        <v>23</v>
      </c>
    </row>
    <row r="3468" spans="1:11" ht="42" customHeight="1">
      <c r="A3468" s="4" t="s">
        <v>8740</v>
      </c>
      <c r="B3468" s="5" t="s">
        <v>8741</v>
      </c>
      <c r="C3468" s="5" t="s">
        <v>42</v>
      </c>
      <c r="D3468" s="5" t="s">
        <v>43</v>
      </c>
      <c r="E3468" s="5" t="s">
        <v>44</v>
      </c>
      <c r="F3468" s="9">
        <v>99</v>
      </c>
      <c r="G3468" s="9" t="s">
        <v>222</v>
      </c>
      <c r="H3468" s="5" t="s">
        <v>21</v>
      </c>
      <c r="I3468" s="5" t="s">
        <v>8744</v>
      </c>
      <c r="J3468" s="12" t="str">
        <f>HYPERLINK("https://www.boe.es/gazeta/dias/1802/12/07/pdfs/GMD-D-1802-99.pdf#page=5","Abrir facsímil")</f>
        <v>Abrir facsímil</v>
      </c>
      <c r="K3468" s="15" t="s">
        <v>23</v>
      </c>
    </row>
    <row r="3469" spans="1:11" ht="42" customHeight="1">
      <c r="A3469" s="4" t="s">
        <v>8740</v>
      </c>
      <c r="B3469" s="5" t="s">
        <v>8741</v>
      </c>
      <c r="C3469" s="5" t="s">
        <v>42</v>
      </c>
      <c r="D3469" s="5" t="s">
        <v>43</v>
      </c>
      <c r="E3469" s="5" t="s">
        <v>44</v>
      </c>
      <c r="F3469" s="9">
        <v>99</v>
      </c>
      <c r="G3469" s="9" t="s">
        <v>295</v>
      </c>
      <c r="H3469" s="5" t="s">
        <v>21</v>
      </c>
      <c r="I3469" s="5" t="s">
        <v>8745</v>
      </c>
      <c r="J3469" s="12" t="str">
        <f>HYPERLINK("https://www.boe.es/gazeta/dias/1802/12/07/pdfs/GMD-D-1802-99.pdf#page=7","Abrir facsímil")</f>
        <v>Abrir facsímil</v>
      </c>
      <c r="K3469" s="15" t="s">
        <v>23</v>
      </c>
    </row>
    <row r="3470" spans="1:11" ht="42" customHeight="1">
      <c r="A3470" s="4" t="s">
        <v>8746</v>
      </c>
      <c r="B3470" s="5" t="s">
        <v>8747</v>
      </c>
      <c r="C3470" s="5" t="s">
        <v>18</v>
      </c>
      <c r="D3470" s="5" t="s">
        <v>19</v>
      </c>
      <c r="E3470" s="5" t="s">
        <v>31</v>
      </c>
      <c r="F3470" s="9">
        <v>27</v>
      </c>
      <c r="G3470" s="9">
        <v>318</v>
      </c>
      <c r="H3470" s="5" t="s">
        <v>21</v>
      </c>
      <c r="I3470" s="5" t="s">
        <v>8748</v>
      </c>
      <c r="J3470" s="12" t="str">
        <f>HYPERLINK("https://www.boe.es/gazeta/dias/1802/04/02/pdfs/GMD-1802-27.pdf#page=14","Abrir facsímil")</f>
        <v>Abrir facsímil</v>
      </c>
      <c r="K3470" s="15" t="s">
        <v>23</v>
      </c>
    </row>
    <row r="3471" spans="1:11" ht="42" customHeight="1">
      <c r="A3471" s="4" t="s">
        <v>8746</v>
      </c>
      <c r="B3471" s="5" t="s">
        <v>8747</v>
      </c>
      <c r="C3471" s="5" t="s">
        <v>42</v>
      </c>
      <c r="D3471" s="5" t="s">
        <v>43</v>
      </c>
      <c r="E3471" s="5" t="s">
        <v>44</v>
      </c>
      <c r="F3471" s="9">
        <v>99</v>
      </c>
      <c r="G3471" s="9" t="s">
        <v>322</v>
      </c>
      <c r="H3471" s="5" t="s">
        <v>21</v>
      </c>
      <c r="I3471" s="5" t="s">
        <v>8749</v>
      </c>
      <c r="J3471" s="12" t="str">
        <f>HYPERLINK("https://www.boe.es/gazeta/dias/1802/12/07/pdfs/GMD-D-1802-99.pdf#page=10","Abrir facsímil")</f>
        <v>Abrir facsímil</v>
      </c>
      <c r="K3471" s="15" t="s">
        <v>23</v>
      </c>
    </row>
    <row r="3472" spans="1:11" ht="42" customHeight="1">
      <c r="A3472" s="4" t="s">
        <v>8750</v>
      </c>
      <c r="B3472" s="5" t="s">
        <v>8751</v>
      </c>
      <c r="C3472" s="5" t="s">
        <v>42</v>
      </c>
      <c r="D3472" s="5" t="s">
        <v>43</v>
      </c>
      <c r="E3472" s="5" t="s">
        <v>44</v>
      </c>
      <c r="F3472" s="9">
        <v>99</v>
      </c>
      <c r="G3472" s="9" t="s">
        <v>322</v>
      </c>
      <c r="H3472" s="5" t="s">
        <v>21</v>
      </c>
      <c r="I3472" s="5" t="s">
        <v>8752</v>
      </c>
      <c r="J3472" s="12" t="str">
        <f>HYPERLINK("https://www.boe.es/gazeta/dias/1802/12/07/pdfs/GMD-D-1802-99.pdf#page=10","Abrir facsímil")</f>
        <v>Abrir facsímil</v>
      </c>
      <c r="K3472" s="15" t="s">
        <v>23</v>
      </c>
    </row>
    <row r="3473" spans="1:11" ht="42" customHeight="1">
      <c r="A3473" s="4" t="s">
        <v>8750</v>
      </c>
      <c r="B3473" s="5" t="s">
        <v>8751</v>
      </c>
      <c r="C3473" s="5" t="s">
        <v>42</v>
      </c>
      <c r="D3473" s="5" t="s">
        <v>43</v>
      </c>
      <c r="E3473" s="5" t="s">
        <v>44</v>
      </c>
      <c r="F3473" s="9">
        <v>99</v>
      </c>
      <c r="G3473" s="9" t="s">
        <v>779</v>
      </c>
      <c r="H3473" s="5" t="s">
        <v>21</v>
      </c>
      <c r="I3473" s="5" t="s">
        <v>8753</v>
      </c>
      <c r="J3473" s="12" t="str">
        <f>HYPERLINK("https://www.boe.es/gazeta/dias/1802/12/07/pdfs/GMD-D-1802-99.pdf#page=13","Abrir facsímil")</f>
        <v>Abrir facsímil</v>
      </c>
      <c r="K3473" s="15" t="s">
        <v>23</v>
      </c>
    </row>
    <row r="3474" spans="1:11" ht="42" customHeight="1">
      <c r="A3474" s="4" t="s">
        <v>8750</v>
      </c>
      <c r="B3474" s="5" t="s">
        <v>8751</v>
      </c>
      <c r="C3474" s="5" t="s">
        <v>42</v>
      </c>
      <c r="D3474" s="5" t="s">
        <v>43</v>
      </c>
      <c r="E3474" s="5" t="s">
        <v>44</v>
      </c>
      <c r="F3474" s="9">
        <v>99</v>
      </c>
      <c r="G3474" s="9" t="s">
        <v>314</v>
      </c>
      <c r="H3474" s="5" t="s">
        <v>21</v>
      </c>
      <c r="I3474" s="5" t="s">
        <v>8754</v>
      </c>
      <c r="J3474" s="12" t="str">
        <f>HYPERLINK("https://www.boe.es/gazeta/dias/1802/12/07/pdfs/GMD-D-1802-99.pdf#page=2","Abrir facsímil")</f>
        <v>Abrir facsímil</v>
      </c>
      <c r="K3474" s="15" t="s">
        <v>23</v>
      </c>
    </row>
    <row r="3475" spans="1:11" ht="42" customHeight="1">
      <c r="A3475" s="4" t="s">
        <v>8750</v>
      </c>
      <c r="B3475" s="5" t="s">
        <v>8751</v>
      </c>
      <c r="C3475" s="5" t="s">
        <v>42</v>
      </c>
      <c r="D3475" s="5" t="s">
        <v>43</v>
      </c>
      <c r="E3475" s="5" t="s">
        <v>44</v>
      </c>
      <c r="F3475" s="9">
        <v>99</v>
      </c>
      <c r="G3475" s="9" t="s">
        <v>251</v>
      </c>
      <c r="H3475" s="5" t="s">
        <v>21</v>
      </c>
      <c r="I3475" s="5" t="s">
        <v>8755</v>
      </c>
      <c r="J3475" s="12" t="str">
        <f>HYPERLINK("https://www.boe.es/gazeta/dias/1802/12/07/pdfs/GMD-D-1802-99.pdf#page=6","Abrir facsímil")</f>
        <v>Abrir facsímil</v>
      </c>
      <c r="K3475" s="15" t="s">
        <v>23</v>
      </c>
    </row>
    <row r="3476" spans="1:11" ht="42" customHeight="1">
      <c r="A3476" s="4" t="s">
        <v>8750</v>
      </c>
      <c r="B3476" s="5" t="s">
        <v>8751</v>
      </c>
      <c r="C3476" s="5" t="s">
        <v>42</v>
      </c>
      <c r="D3476" s="5" t="s">
        <v>43</v>
      </c>
      <c r="E3476" s="5" t="s">
        <v>44</v>
      </c>
      <c r="F3476" s="9">
        <v>99</v>
      </c>
      <c r="G3476" s="9" t="s">
        <v>262</v>
      </c>
      <c r="H3476" s="5" t="s">
        <v>21</v>
      </c>
      <c r="I3476" s="5" t="s">
        <v>8756</v>
      </c>
      <c r="J3476" s="12" t="str">
        <f>HYPERLINK("https://www.boe.es/gazeta/dias/1802/12/07/pdfs/GMD-D-1802-99.pdf#page=8","Abrir facsímil")</f>
        <v>Abrir facsímil</v>
      </c>
      <c r="K3476" s="15" t="s">
        <v>23</v>
      </c>
    </row>
    <row r="3477" spans="1:11" ht="42" customHeight="1">
      <c r="A3477" s="4" t="s">
        <v>8757</v>
      </c>
      <c r="B3477" s="5" t="s">
        <v>8758</v>
      </c>
      <c r="C3477" s="5" t="s">
        <v>42</v>
      </c>
      <c r="D3477" s="5" t="s">
        <v>43</v>
      </c>
      <c r="E3477" s="5" t="s">
        <v>44</v>
      </c>
      <c r="F3477" s="9">
        <v>99</v>
      </c>
      <c r="G3477" s="9" t="s">
        <v>550</v>
      </c>
      <c r="H3477" s="5" t="s">
        <v>21</v>
      </c>
      <c r="I3477" s="5" t="s">
        <v>8759</v>
      </c>
      <c r="J3477" s="12" t="str">
        <f>HYPERLINK("https://www.boe.es/gazeta/dias/1802/12/07/pdfs/GMD-D-1802-99.pdf#page=16","Abrir facsímil")</f>
        <v>Abrir facsímil</v>
      </c>
      <c r="K3477" s="15" t="s">
        <v>23</v>
      </c>
    </row>
    <row r="3478" spans="1:11" ht="42" customHeight="1">
      <c r="A3478" s="4" t="s">
        <v>8760</v>
      </c>
      <c r="B3478" s="5" t="s">
        <v>8761</v>
      </c>
      <c r="C3478" s="5" t="s">
        <v>42</v>
      </c>
      <c r="D3478" s="5" t="s">
        <v>43</v>
      </c>
      <c r="E3478" s="5" t="s">
        <v>44</v>
      </c>
      <c r="F3478" s="9">
        <v>99</v>
      </c>
      <c r="G3478" s="9" t="s">
        <v>78</v>
      </c>
      <c r="H3478" s="5" t="s">
        <v>21</v>
      </c>
      <c r="I3478" s="5" t="s">
        <v>8762</v>
      </c>
      <c r="J3478" s="12" t="str">
        <f>HYPERLINK("https://www.boe.es/gazeta/dias/1802/12/07/pdfs/GMD-D-1802-99.pdf#page=15","Abrir facsímil")</f>
        <v>Abrir facsímil</v>
      </c>
      <c r="K3478" s="15" t="s">
        <v>23</v>
      </c>
    </row>
    <row r="3479" spans="1:11" ht="42" customHeight="1">
      <c r="A3479" s="4" t="s">
        <v>8760</v>
      </c>
      <c r="B3479" s="5" t="s">
        <v>8761</v>
      </c>
      <c r="C3479" s="5" t="s">
        <v>42</v>
      </c>
      <c r="D3479" s="5" t="s">
        <v>43</v>
      </c>
      <c r="E3479" s="5" t="s">
        <v>44</v>
      </c>
      <c r="F3479" s="9">
        <v>99</v>
      </c>
      <c r="G3479" s="9" t="s">
        <v>251</v>
      </c>
      <c r="H3479" s="5" t="s">
        <v>21</v>
      </c>
      <c r="I3479" s="5" t="s">
        <v>8763</v>
      </c>
      <c r="J3479" s="12" t="str">
        <f>HYPERLINK("https://www.boe.es/gazeta/dias/1802/12/07/pdfs/GMD-D-1802-99.pdf#page=6","Abrir facsímil")</f>
        <v>Abrir facsímil</v>
      </c>
      <c r="K3479" s="15" t="s">
        <v>23</v>
      </c>
    </row>
    <row r="3480" spans="1:11" ht="42" customHeight="1">
      <c r="A3480" s="4" t="s">
        <v>8764</v>
      </c>
      <c r="B3480" s="5" t="s">
        <v>8765</v>
      </c>
      <c r="C3480" s="5" t="s">
        <v>42</v>
      </c>
      <c r="D3480" s="5" t="s">
        <v>43</v>
      </c>
      <c r="E3480" s="5" t="s">
        <v>44</v>
      </c>
      <c r="F3480" s="9">
        <v>99</v>
      </c>
      <c r="G3480" s="9" t="s">
        <v>548</v>
      </c>
      <c r="H3480" s="5" t="s">
        <v>21</v>
      </c>
      <c r="I3480" s="5" t="s">
        <v>8766</v>
      </c>
      <c r="J3480" s="12" t="str">
        <f>HYPERLINK("https://www.boe.es/gazeta/dias/1802/12/07/pdfs/GMD-D-1802-99.pdf#page=12","Abrir facsímil")</f>
        <v>Abrir facsímil</v>
      </c>
      <c r="K3480" s="15" t="s">
        <v>23</v>
      </c>
    </row>
    <row r="3481" spans="1:11" ht="42" customHeight="1">
      <c r="A3481" s="4" t="s">
        <v>8764</v>
      </c>
      <c r="B3481" s="5" t="s">
        <v>8765</v>
      </c>
      <c r="C3481" s="5" t="s">
        <v>42</v>
      </c>
      <c r="D3481" s="5" t="s">
        <v>43</v>
      </c>
      <c r="E3481" s="5" t="s">
        <v>44</v>
      </c>
      <c r="F3481" s="9">
        <v>99</v>
      </c>
      <c r="G3481" s="9" t="s">
        <v>314</v>
      </c>
      <c r="H3481" s="5" t="s">
        <v>21</v>
      </c>
      <c r="I3481" s="5" t="s">
        <v>8767</v>
      </c>
      <c r="J3481" s="12" t="str">
        <f>HYPERLINK("https://www.boe.es/gazeta/dias/1802/12/07/pdfs/GMD-D-1802-99.pdf#page=2","Abrir facsímil")</f>
        <v>Abrir facsímil</v>
      </c>
      <c r="K3481" s="15" t="s">
        <v>23</v>
      </c>
    </row>
    <row r="3482" spans="1:11" ht="42" customHeight="1">
      <c r="A3482" s="4" t="s">
        <v>8768</v>
      </c>
      <c r="B3482" s="5" t="s">
        <v>8769</v>
      </c>
      <c r="C3482" s="5" t="s">
        <v>42</v>
      </c>
      <c r="D3482" s="5" t="s">
        <v>43</v>
      </c>
      <c r="E3482" s="5" t="s">
        <v>44</v>
      </c>
      <c r="F3482" s="9">
        <v>99</v>
      </c>
      <c r="G3482" s="9" t="s">
        <v>322</v>
      </c>
      <c r="H3482" s="5" t="s">
        <v>21</v>
      </c>
      <c r="I3482" s="5" t="s">
        <v>8770</v>
      </c>
      <c r="J3482" s="12" t="str">
        <f>HYPERLINK("https://www.boe.es/gazeta/dias/1802/12/07/pdfs/GMD-D-1802-99.pdf#page=10","Abrir facsímil")</f>
        <v>Abrir facsímil</v>
      </c>
      <c r="K3482" s="15" t="s">
        <v>23</v>
      </c>
    </row>
    <row r="3483" spans="1:11" ht="42" customHeight="1">
      <c r="A3483" s="4" t="s">
        <v>8771</v>
      </c>
      <c r="B3483" s="5" t="s">
        <v>8772</v>
      </c>
      <c r="C3483" s="5" t="s">
        <v>42</v>
      </c>
      <c r="D3483" s="5" t="s">
        <v>43</v>
      </c>
      <c r="E3483" s="5" t="s">
        <v>44</v>
      </c>
      <c r="F3483" s="9">
        <v>99</v>
      </c>
      <c r="G3483" s="9" t="s">
        <v>550</v>
      </c>
      <c r="H3483" s="5" t="s">
        <v>21</v>
      </c>
      <c r="I3483" s="5" t="s">
        <v>8773</v>
      </c>
      <c r="J3483" s="12" t="str">
        <f>HYPERLINK("https://www.boe.es/gazeta/dias/1802/12/07/pdfs/GMD-D-1802-99.pdf#page=16","Abrir facsímil")</f>
        <v>Abrir facsímil</v>
      </c>
      <c r="K3483" s="15" t="s">
        <v>23</v>
      </c>
    </row>
    <row r="3484" spans="1:11" ht="42" customHeight="1">
      <c r="A3484" s="4" t="s">
        <v>8774</v>
      </c>
      <c r="B3484" s="5" t="s">
        <v>8775</v>
      </c>
      <c r="C3484" s="5" t="s">
        <v>35</v>
      </c>
      <c r="D3484" s="5" t="s">
        <v>36</v>
      </c>
      <c r="E3484" s="5" t="s">
        <v>148</v>
      </c>
      <c r="F3484" s="9">
        <v>66</v>
      </c>
      <c r="G3484" s="9">
        <v>808</v>
      </c>
      <c r="H3484" s="5" t="s">
        <v>21</v>
      </c>
      <c r="I3484" s="5" t="s">
        <v>8776</v>
      </c>
      <c r="J3484" s="12" t="str">
        <f>HYPERLINK("https://www.boe.es/gazeta/dias/1802/08/13/pdfs/GMD-1802-66.pdf#page=12","Abrir facsímil")</f>
        <v>Abrir facsímil</v>
      </c>
      <c r="K3484" s="15" t="s">
        <v>23</v>
      </c>
    </row>
    <row r="3485" spans="1:11" ht="42" customHeight="1">
      <c r="A3485" s="4" t="s">
        <v>8777</v>
      </c>
      <c r="B3485" s="5" t="s">
        <v>8778</v>
      </c>
      <c r="C3485" s="5" t="s">
        <v>18</v>
      </c>
      <c r="D3485" s="5" t="s">
        <v>19</v>
      </c>
      <c r="E3485" s="5" t="s">
        <v>152</v>
      </c>
      <c r="F3485" s="9">
        <v>25</v>
      </c>
      <c r="G3485" s="9">
        <v>284</v>
      </c>
      <c r="H3485" s="5" t="s">
        <v>21</v>
      </c>
      <c r="I3485" s="5" t="s">
        <v>8779</v>
      </c>
      <c r="J3485" s="12" t="str">
        <f>HYPERLINK("https://www.boe.es/gazeta/dias/1802/03/26/pdfs/GMD-1802-25.pdf#page=8","Abrir facsímil")</f>
        <v>Abrir facsímil</v>
      </c>
      <c r="K3485" s="15" t="s">
        <v>23</v>
      </c>
    </row>
    <row r="3486" spans="1:11" ht="42" customHeight="1">
      <c r="A3486" s="4" t="s">
        <v>8780</v>
      </c>
      <c r="B3486" s="5" t="s">
        <v>8781</v>
      </c>
      <c r="C3486" s="5" t="s">
        <v>42</v>
      </c>
      <c r="D3486" s="5" t="s">
        <v>43</v>
      </c>
      <c r="E3486" s="5" t="s">
        <v>44</v>
      </c>
      <c r="F3486" s="9">
        <v>99</v>
      </c>
      <c r="G3486" s="9" t="s">
        <v>251</v>
      </c>
      <c r="H3486" s="5" t="s">
        <v>21</v>
      </c>
      <c r="I3486" s="5" t="s">
        <v>8782</v>
      </c>
      <c r="J3486" s="12" t="str">
        <f>HYPERLINK("https://www.boe.es/gazeta/dias/1802/12/07/pdfs/GMD-D-1802-99.pdf#page=6","Abrir facsímil")</f>
        <v>Abrir facsímil</v>
      </c>
      <c r="K3486" s="15" t="s">
        <v>23</v>
      </c>
    </row>
    <row r="3487" spans="1:11" ht="42" customHeight="1">
      <c r="A3487" s="4" t="s">
        <v>8783</v>
      </c>
      <c r="B3487" s="5" t="s">
        <v>8784</v>
      </c>
      <c r="C3487" s="5" t="s">
        <v>29</v>
      </c>
      <c r="D3487" s="5" t="s">
        <v>30</v>
      </c>
      <c r="E3487" s="5" t="s">
        <v>655</v>
      </c>
      <c r="F3487" s="9">
        <v>46</v>
      </c>
      <c r="G3487" s="9">
        <v>558</v>
      </c>
      <c r="H3487" s="5" t="s">
        <v>21</v>
      </c>
      <c r="I3487" s="5" t="s">
        <v>8785</v>
      </c>
      <c r="J3487" s="12" t="str">
        <f>HYPERLINK("https://www.boe.es/gazeta/dias/1802/06/08/pdfs/GMD-1802-46.pdf#page=10","Abrir facsímil")</f>
        <v>Abrir facsímil</v>
      </c>
      <c r="K3487" s="15" t="s">
        <v>23</v>
      </c>
    </row>
    <row r="3488" spans="1:11" ht="42" customHeight="1">
      <c r="A3488" s="4" t="s">
        <v>8786</v>
      </c>
      <c r="B3488" s="5" t="s">
        <v>8786</v>
      </c>
      <c r="C3488" s="5" t="s">
        <v>55</v>
      </c>
      <c r="D3488" s="5" t="s">
        <v>56</v>
      </c>
      <c r="E3488" s="5" t="s">
        <v>175</v>
      </c>
      <c r="F3488" s="9">
        <v>37</v>
      </c>
      <c r="G3488" s="9">
        <v>444</v>
      </c>
      <c r="H3488" s="5" t="s">
        <v>21</v>
      </c>
      <c r="I3488" s="5" t="s">
        <v>8787</v>
      </c>
      <c r="J3488" s="12" t="str">
        <f>HYPERLINK("https://www.boe.es/gazeta/dias/1802/05/07/pdfs/GMD-1802-37.pdf#page=12","Abrir facsímil")</f>
        <v>Abrir facsímil</v>
      </c>
      <c r="K3488" s="15" t="s">
        <v>23</v>
      </c>
    </row>
    <row r="3489" spans="1:11" ht="42" customHeight="1">
      <c r="A3489" s="4" t="s">
        <v>8788</v>
      </c>
      <c r="B3489" s="5" t="s">
        <v>8789</v>
      </c>
      <c r="C3489" s="5" t="s">
        <v>29</v>
      </c>
      <c r="D3489" s="5" t="s">
        <v>30</v>
      </c>
      <c r="E3489" s="5" t="s">
        <v>642</v>
      </c>
      <c r="F3489" s="9">
        <v>51</v>
      </c>
      <c r="G3489" s="9">
        <v>623</v>
      </c>
      <c r="H3489" s="5" t="s">
        <v>21</v>
      </c>
      <c r="I3489" s="5" t="s">
        <v>8790</v>
      </c>
      <c r="J3489" s="12" t="str">
        <f>HYPERLINK("https://www.boe.es/gazeta/dias/1802/06/25/pdfs/GMD-1802-51.pdf#page=11","Abrir facsímil")</f>
        <v>Abrir facsímil</v>
      </c>
      <c r="K3489" s="15" t="s">
        <v>23</v>
      </c>
    </row>
    <row r="3490" spans="1:11" ht="42" customHeight="1">
      <c r="A3490" s="4" t="s">
        <v>8791</v>
      </c>
      <c r="B3490" s="5" t="s">
        <v>8792</v>
      </c>
      <c r="C3490" s="5" t="s">
        <v>29</v>
      </c>
      <c r="D3490" s="5" t="s">
        <v>30</v>
      </c>
      <c r="E3490" s="5" t="s">
        <v>1618</v>
      </c>
      <c r="F3490" s="9">
        <v>31</v>
      </c>
      <c r="G3490" s="9">
        <v>358</v>
      </c>
      <c r="H3490" s="5" t="s">
        <v>21</v>
      </c>
      <c r="I3490" s="5" t="s">
        <v>8793</v>
      </c>
      <c r="J3490" s="12" t="str">
        <f>HYPERLINK("https://www.boe.es/gazeta/dias/1802/04/16/pdfs/GMD-1802-31.pdf#page=2","Abrir facsímil")</f>
        <v>Abrir facsímil</v>
      </c>
      <c r="K3490" s="15" t="s">
        <v>23</v>
      </c>
    </row>
    <row r="3491" spans="1:11" ht="42" customHeight="1">
      <c r="A3491" s="4" t="s">
        <v>8794</v>
      </c>
      <c r="B3491" s="5" t="s">
        <v>8795</v>
      </c>
      <c r="C3491" s="5" t="s">
        <v>29</v>
      </c>
      <c r="D3491" s="5" t="s">
        <v>30</v>
      </c>
      <c r="E3491" s="5" t="s">
        <v>31</v>
      </c>
      <c r="F3491" s="9">
        <v>27</v>
      </c>
      <c r="G3491" s="9">
        <v>318</v>
      </c>
      <c r="H3491" s="5" t="s">
        <v>21</v>
      </c>
      <c r="I3491" s="5" t="s">
        <v>8796</v>
      </c>
      <c r="J3491" s="12" t="str">
        <f>HYPERLINK("https://www.boe.es/gazeta/dias/1802/04/02/pdfs/GMD-1802-27.pdf#page=14","Abrir facsímil")</f>
        <v>Abrir facsímil</v>
      </c>
      <c r="K3491" s="15" t="s">
        <v>23</v>
      </c>
    </row>
    <row r="3492" spans="1:11" ht="42" customHeight="1">
      <c r="A3492" s="4" t="s">
        <v>8797</v>
      </c>
      <c r="B3492" s="5" t="s">
        <v>8798</v>
      </c>
      <c r="C3492" s="5" t="s">
        <v>29</v>
      </c>
      <c r="D3492" s="5" t="s">
        <v>30</v>
      </c>
      <c r="E3492" s="5" t="s">
        <v>60</v>
      </c>
      <c r="F3492" s="9">
        <v>5</v>
      </c>
      <c r="G3492" s="9">
        <v>50</v>
      </c>
      <c r="H3492" s="5" t="s">
        <v>21</v>
      </c>
      <c r="I3492" s="5" t="s">
        <v>8799</v>
      </c>
      <c r="J3492" s="12" t="str">
        <f>HYPERLINK("https://www.boe.es/gazeta/dias/1802/01/15/pdfs/GMD-1802-5.pdf#page=6","Abrir facsímil")</f>
        <v>Abrir facsímil</v>
      </c>
      <c r="K3492" s="15" t="s">
        <v>23</v>
      </c>
    </row>
    <row r="3493" spans="1:11" ht="42" customHeight="1">
      <c r="A3493" s="4" t="s">
        <v>8800</v>
      </c>
      <c r="B3493" s="5" t="s">
        <v>8801</v>
      </c>
      <c r="C3493" s="5" t="s">
        <v>160</v>
      </c>
      <c r="D3493" s="5" t="s">
        <v>91</v>
      </c>
      <c r="E3493" s="5" t="s">
        <v>1618</v>
      </c>
      <c r="F3493" s="9">
        <v>31</v>
      </c>
      <c r="G3493" s="9">
        <v>363</v>
      </c>
      <c r="H3493" s="5" t="s">
        <v>21</v>
      </c>
      <c r="I3493" s="5" t="s">
        <v>8802</v>
      </c>
      <c r="J3493" s="12" t="str">
        <f>HYPERLINK("https://www.boe.es/gazeta/dias/1802/04/16/pdfs/GMD-1802-31.pdf#page=7","Abrir facsímil")</f>
        <v>Abrir facsímil</v>
      </c>
      <c r="K3493" s="15" t="s">
        <v>23</v>
      </c>
    </row>
    <row r="3494" spans="1:11" ht="42" customHeight="1">
      <c r="A3494" s="4" t="s">
        <v>8803</v>
      </c>
      <c r="B3494" s="5" t="s">
        <v>8804</v>
      </c>
      <c r="C3494" s="5" t="s">
        <v>160</v>
      </c>
      <c r="D3494" s="5" t="s">
        <v>91</v>
      </c>
      <c r="E3494" s="5" t="s">
        <v>1618</v>
      </c>
      <c r="F3494" s="9">
        <v>31</v>
      </c>
      <c r="G3494" s="9">
        <v>363</v>
      </c>
      <c r="H3494" s="5" t="s">
        <v>21</v>
      </c>
      <c r="I3494" s="5" t="s">
        <v>8805</v>
      </c>
      <c r="J3494" s="12" t="str">
        <f>HYPERLINK("https://www.boe.es/gazeta/dias/1802/04/16/pdfs/GMD-1802-31.pdf#page=7","Abrir facsímil")</f>
        <v>Abrir facsímil</v>
      </c>
      <c r="K3494" s="15" t="s">
        <v>23</v>
      </c>
    </row>
    <row r="3495" spans="1:11" ht="42" customHeight="1">
      <c r="A3495" s="4" t="s">
        <v>8806</v>
      </c>
      <c r="B3495" s="5" t="s">
        <v>8807</v>
      </c>
      <c r="C3495" s="5" t="s">
        <v>18</v>
      </c>
      <c r="D3495" s="5" t="s">
        <v>19</v>
      </c>
      <c r="E3495" s="5" t="s">
        <v>20</v>
      </c>
      <c r="F3495" s="9">
        <v>84</v>
      </c>
      <c r="G3495" s="9">
        <v>1043</v>
      </c>
      <c r="H3495" s="5" t="s">
        <v>21</v>
      </c>
      <c r="I3495" s="5" t="s">
        <v>8808</v>
      </c>
      <c r="J3495" s="12" t="str">
        <f>HYPERLINK("https://www.boe.es/gazeta/dias/1802/10/15/pdfs/GMD-1802-84.pdf#page=11","Abrir facsímil")</f>
        <v>Abrir facsímil</v>
      </c>
      <c r="K3495" s="15" t="s">
        <v>23</v>
      </c>
    </row>
    <row r="3496" spans="1:11" ht="42" customHeight="1">
      <c r="A3496" s="4" t="s">
        <v>8809</v>
      </c>
      <c r="B3496" s="5" t="s">
        <v>8810</v>
      </c>
      <c r="C3496" s="5" t="s">
        <v>29</v>
      </c>
      <c r="D3496" s="5" t="s">
        <v>30</v>
      </c>
      <c r="E3496" s="5" t="s">
        <v>299</v>
      </c>
      <c r="F3496" s="9">
        <v>19</v>
      </c>
      <c r="G3496" s="9">
        <v>210</v>
      </c>
      <c r="H3496" s="5" t="s">
        <v>21</v>
      </c>
      <c r="I3496" s="5" t="s">
        <v>8811</v>
      </c>
      <c r="J3496" s="12" t="str">
        <f>HYPERLINK("https://www.boe.es/gazeta/dias/1802/03/05/pdfs/GMD-1802-19.pdf#page=10","Abrir facsímil")</f>
        <v>Abrir facsímil</v>
      </c>
      <c r="K3496" s="15" t="s">
        <v>23</v>
      </c>
    </row>
    <row r="3497" spans="1:11" ht="42" customHeight="1">
      <c r="A3497" s="4" t="s">
        <v>8812</v>
      </c>
      <c r="B3497" s="5" t="s">
        <v>8813</v>
      </c>
      <c r="C3497" s="5" t="s">
        <v>18</v>
      </c>
      <c r="D3497" s="5" t="s">
        <v>19</v>
      </c>
      <c r="E3497" s="5" t="s">
        <v>1374</v>
      </c>
      <c r="F3497" s="9">
        <v>71</v>
      </c>
      <c r="G3497" s="9">
        <v>876</v>
      </c>
      <c r="H3497" s="5" t="s">
        <v>21</v>
      </c>
      <c r="I3497" s="5" t="s">
        <v>8814</v>
      </c>
      <c r="J3497" s="12" t="str">
        <f>HYPERLINK("https://www.boe.es/gazeta/dias/1802/08/31/pdfs/GMD-1802-71.pdf#page=12","Abrir facsímil")</f>
        <v>Abrir facsímil</v>
      </c>
      <c r="K3497" s="15" t="s">
        <v>23</v>
      </c>
    </row>
    <row r="3498" spans="1:11" ht="42" customHeight="1">
      <c r="A3498" s="4" t="s">
        <v>8815</v>
      </c>
      <c r="B3498" s="5" t="s">
        <v>8816</v>
      </c>
      <c r="C3498" s="5" t="s">
        <v>18</v>
      </c>
      <c r="D3498" s="5" t="s">
        <v>19</v>
      </c>
      <c r="E3498" s="5" t="s">
        <v>49</v>
      </c>
      <c r="F3498" s="9">
        <v>83</v>
      </c>
      <c r="G3498" s="9">
        <v>1024</v>
      </c>
      <c r="H3498" s="5" t="s">
        <v>21</v>
      </c>
      <c r="I3498" s="5" t="s">
        <v>8817</v>
      </c>
      <c r="J3498" s="12" t="str">
        <f>HYPERLINK("https://www.boe.es/gazeta/dias/1802/10/12/pdfs/GMD-1802-83.pdf#page=12","Abrir facsímil")</f>
        <v>Abrir facsímil</v>
      </c>
      <c r="K3498" s="15" t="s">
        <v>23</v>
      </c>
    </row>
    <row r="3499" spans="1:11" ht="42" customHeight="1">
      <c r="A3499" s="4" t="s">
        <v>8818</v>
      </c>
      <c r="B3499" s="5" t="s">
        <v>8819</v>
      </c>
      <c r="C3499" s="5" t="s">
        <v>55</v>
      </c>
      <c r="D3499" s="5" t="s">
        <v>56</v>
      </c>
      <c r="E3499" s="5" t="s">
        <v>706</v>
      </c>
      <c r="F3499" s="9">
        <v>80</v>
      </c>
      <c r="G3499" s="9">
        <v>979</v>
      </c>
      <c r="H3499" s="5" t="s">
        <v>21</v>
      </c>
      <c r="I3499" s="5" t="s">
        <v>8820</v>
      </c>
      <c r="J3499" s="12" t="str">
        <f>HYPERLINK("https://www.boe.es/gazeta/dias/1802/10/01/pdfs/GMD-1802-80.pdf#page=3","Abrir facsímil")</f>
        <v>Abrir facsímil</v>
      </c>
      <c r="K3499" s="15" t="s">
        <v>23</v>
      </c>
    </row>
    <row r="3500" spans="1:11" ht="42" customHeight="1">
      <c r="A3500" s="4" t="s">
        <v>8821</v>
      </c>
      <c r="B3500" s="5" t="s">
        <v>8822</v>
      </c>
      <c r="C3500" s="5" t="s">
        <v>29</v>
      </c>
      <c r="D3500" s="5" t="s">
        <v>30</v>
      </c>
      <c r="E3500" s="5" t="s">
        <v>31</v>
      </c>
      <c r="F3500" s="9">
        <v>27</v>
      </c>
      <c r="G3500" s="9">
        <v>318</v>
      </c>
      <c r="H3500" s="5" t="s">
        <v>21</v>
      </c>
      <c r="I3500" s="5" t="s">
        <v>8823</v>
      </c>
      <c r="J3500" s="12" t="str">
        <f>HYPERLINK("https://www.boe.es/gazeta/dias/1802/04/02/pdfs/GMD-1802-27.pdf#page=14","Abrir facsímil")</f>
        <v>Abrir facsímil</v>
      </c>
      <c r="K3500" s="15" t="s">
        <v>23</v>
      </c>
    </row>
    <row r="3501" spans="1:11" ht="42" customHeight="1">
      <c r="A3501" s="4" t="s">
        <v>8824</v>
      </c>
      <c r="B3501" s="5" t="s">
        <v>8825</v>
      </c>
      <c r="C3501" s="5" t="s">
        <v>90</v>
      </c>
      <c r="D3501" s="5" t="s">
        <v>91</v>
      </c>
      <c r="E3501" s="5" t="s">
        <v>1097</v>
      </c>
      <c r="F3501" s="9">
        <v>20</v>
      </c>
      <c r="G3501" s="9">
        <v>222</v>
      </c>
      <c r="H3501" s="5" t="s">
        <v>21</v>
      </c>
      <c r="I3501" s="5" t="s">
        <v>8826</v>
      </c>
      <c r="J3501" s="12" t="str">
        <f>HYPERLINK("https://www.boe.es/gazeta/dias/1802/03/09/pdfs/GMD-1802-20.pdf#page=10","Abrir facsímil")</f>
        <v>Abrir facsímil</v>
      </c>
      <c r="K3501" s="15" t="s">
        <v>23</v>
      </c>
    </row>
    <row r="3502" spans="1:11" ht="42" customHeight="1">
      <c r="A3502" s="4" t="s">
        <v>8827</v>
      </c>
      <c r="B3502" s="5" t="s">
        <v>8828</v>
      </c>
      <c r="C3502" s="5" t="s">
        <v>29</v>
      </c>
      <c r="D3502" s="5" t="s">
        <v>30</v>
      </c>
      <c r="E3502" s="5" t="s">
        <v>385</v>
      </c>
      <c r="F3502" s="9">
        <v>70</v>
      </c>
      <c r="G3502" s="9">
        <v>854</v>
      </c>
      <c r="H3502" s="5" t="s">
        <v>21</v>
      </c>
      <c r="I3502" s="5" t="s">
        <v>8829</v>
      </c>
      <c r="J3502" s="12" t="str">
        <f>HYPERLINK("https://www.boe.es/gazeta/dias/1802/08/27/pdfs/GMD-1802-70.pdf#page=2","Abrir facsímil")</f>
        <v>Abrir facsímil</v>
      </c>
      <c r="K3502" s="15" t="s">
        <v>23</v>
      </c>
    </row>
    <row r="3503" spans="1:11" ht="42" customHeight="1">
      <c r="A3503" s="4" t="s">
        <v>8830</v>
      </c>
      <c r="B3503" s="5" t="s">
        <v>8831</v>
      </c>
      <c r="C3503" s="5" t="s">
        <v>18</v>
      </c>
      <c r="D3503" s="5" t="s">
        <v>19</v>
      </c>
      <c r="E3503" s="5" t="s">
        <v>678</v>
      </c>
      <c r="F3503" s="9">
        <v>15</v>
      </c>
      <c r="G3503" s="9">
        <v>151</v>
      </c>
      <c r="H3503" s="5" t="s">
        <v>21</v>
      </c>
      <c r="I3503" s="5" t="s">
        <v>8832</v>
      </c>
      <c r="J3503" s="12" t="str">
        <f>HYPERLINK("https://www.boe.es/gazeta/dias/1802/02/19/pdfs/GMD-1802-15.pdf#page=3","Abrir facsímil")</f>
        <v>Abrir facsímil</v>
      </c>
      <c r="K3503" s="15" t="s">
        <v>23</v>
      </c>
    </row>
    <row r="3504" spans="1:11" ht="42" customHeight="1">
      <c r="A3504" s="4" t="s">
        <v>8833</v>
      </c>
      <c r="B3504" s="5" t="s">
        <v>8834</v>
      </c>
      <c r="C3504" s="5" t="s">
        <v>29</v>
      </c>
      <c r="D3504" s="5" t="s">
        <v>30</v>
      </c>
      <c r="E3504" s="5" t="s">
        <v>146</v>
      </c>
      <c r="F3504" s="9">
        <v>42</v>
      </c>
      <c r="G3504" s="9">
        <v>504</v>
      </c>
      <c r="H3504" s="5" t="s">
        <v>21</v>
      </c>
      <c r="I3504" s="5" t="s">
        <v>8835</v>
      </c>
      <c r="J3504" s="12" t="str">
        <f>HYPERLINK("https://www.boe.es/gazeta/dias/1802/05/25/pdfs/GMD-1802-42.pdf#page=8","Abrir facsímil")</f>
        <v>Abrir facsímil</v>
      </c>
      <c r="K3504" s="15" t="s">
        <v>23</v>
      </c>
    </row>
    <row r="3505" spans="1:11" ht="42" customHeight="1">
      <c r="A3505" s="4" t="s">
        <v>8836</v>
      </c>
      <c r="B3505" s="5" t="s">
        <v>8837</v>
      </c>
      <c r="C3505" s="5" t="s">
        <v>29</v>
      </c>
      <c r="D3505" s="5" t="s">
        <v>30</v>
      </c>
      <c r="E3505" s="5" t="s">
        <v>670</v>
      </c>
      <c r="F3505" s="9">
        <v>40</v>
      </c>
      <c r="G3505" s="9">
        <v>481</v>
      </c>
      <c r="H3505" s="5" t="s">
        <v>21</v>
      </c>
      <c r="I3505" s="5" t="s">
        <v>8838</v>
      </c>
      <c r="J3505" s="12" t="str">
        <f>HYPERLINK("https://www.boe.es/gazeta/dias/1802/05/18/pdfs/GMD-1802-40.pdf#page=9","Abrir facsímil")</f>
        <v>Abrir facsímil</v>
      </c>
      <c r="K3505" s="15" t="s">
        <v>23</v>
      </c>
    </row>
    <row r="3506" spans="1:11" ht="42" customHeight="1">
      <c r="A3506" s="4" t="s">
        <v>8839</v>
      </c>
      <c r="B3506" s="5" t="s">
        <v>8840</v>
      </c>
      <c r="C3506" s="5" t="s">
        <v>29</v>
      </c>
      <c r="D3506" s="5" t="s">
        <v>30</v>
      </c>
      <c r="E3506" s="5" t="s">
        <v>1749</v>
      </c>
      <c r="F3506" s="9">
        <v>60</v>
      </c>
      <c r="G3506" s="9">
        <v>728</v>
      </c>
      <c r="H3506" s="5" t="s">
        <v>21</v>
      </c>
      <c r="I3506" s="5" t="s">
        <v>8841</v>
      </c>
      <c r="J3506" s="12" t="str">
        <f>HYPERLINK("https://www.boe.es/gazeta/dias/1802/07/23/pdfs/GMD-1802-60.pdf#page=12","Abrir facsímil")</f>
        <v>Abrir facsímil</v>
      </c>
      <c r="K3506" s="15" t="s">
        <v>23</v>
      </c>
    </row>
    <row r="3507" spans="1:11" ht="42" customHeight="1">
      <c r="A3507" s="4" t="s">
        <v>8842</v>
      </c>
      <c r="B3507" s="5" t="s">
        <v>8843</v>
      </c>
      <c r="C3507" s="5" t="s">
        <v>18</v>
      </c>
      <c r="D3507" s="5" t="s">
        <v>19</v>
      </c>
      <c r="E3507" s="5" t="s">
        <v>170</v>
      </c>
      <c r="F3507" s="9">
        <v>28</v>
      </c>
      <c r="G3507" s="9">
        <v>329</v>
      </c>
      <c r="H3507" s="5" t="s">
        <v>21</v>
      </c>
      <c r="I3507" s="5" t="s">
        <v>8844</v>
      </c>
      <c r="J3507" s="12" t="str">
        <f>HYPERLINK("https://www.boe.es/gazeta/dias/1802/04/06/pdfs/GMD-1802-28.pdf#page=9","Abrir facsímil")</f>
        <v>Abrir facsímil</v>
      </c>
      <c r="K3507" s="15" t="s">
        <v>23</v>
      </c>
    </row>
    <row r="3508" spans="1:11" ht="42" customHeight="1">
      <c r="A3508" s="4" t="s">
        <v>8842</v>
      </c>
      <c r="B3508" s="5" t="s">
        <v>8843</v>
      </c>
      <c r="C3508" s="5" t="s">
        <v>29</v>
      </c>
      <c r="D3508" s="5" t="s">
        <v>30</v>
      </c>
      <c r="E3508" s="5" t="s">
        <v>1829</v>
      </c>
      <c r="F3508" s="9">
        <v>32</v>
      </c>
      <c r="G3508" s="9">
        <v>378</v>
      </c>
      <c r="H3508" s="5" t="s">
        <v>21</v>
      </c>
      <c r="I3508" s="5" t="s">
        <v>8845</v>
      </c>
      <c r="J3508" s="12" t="str">
        <f>HYPERLINK("https://www.boe.es/gazeta/dias/1802/04/20/pdfs/GMD-1802-32.pdf#page=10","Abrir facsímil")</f>
        <v>Abrir facsímil</v>
      </c>
      <c r="K3508" s="15" t="s">
        <v>23</v>
      </c>
    </row>
    <row r="3509" spans="1:11" ht="42" customHeight="1">
      <c r="A3509" s="4" t="s">
        <v>8842</v>
      </c>
      <c r="B3509" s="5" t="s">
        <v>8843</v>
      </c>
      <c r="C3509" s="5" t="s">
        <v>29</v>
      </c>
      <c r="D3509" s="5" t="s">
        <v>30</v>
      </c>
      <c r="E3509" s="5" t="s">
        <v>175</v>
      </c>
      <c r="F3509" s="9">
        <v>37</v>
      </c>
      <c r="G3509" s="9">
        <v>442</v>
      </c>
      <c r="H3509" s="5" t="s">
        <v>21</v>
      </c>
      <c r="I3509" s="5" t="s">
        <v>8846</v>
      </c>
      <c r="J3509" s="12" t="str">
        <f>HYPERLINK("https://www.boe.es/gazeta/dias/1802/05/07/pdfs/GMD-1802-37.pdf#page=10","Abrir facsímil")</f>
        <v>Abrir facsímil</v>
      </c>
      <c r="K3509" s="15" t="s">
        <v>23</v>
      </c>
    </row>
    <row r="3510" spans="1:11" ht="42" customHeight="1">
      <c r="A3510" s="4" t="s">
        <v>8842</v>
      </c>
      <c r="B3510" s="5" t="s">
        <v>8843</v>
      </c>
      <c r="C3510" s="5" t="s">
        <v>572</v>
      </c>
      <c r="D3510" s="5" t="s">
        <v>573</v>
      </c>
      <c r="E3510" s="5" t="s">
        <v>574</v>
      </c>
      <c r="F3510" s="9" t="s">
        <v>575</v>
      </c>
      <c r="G3510" s="9">
        <v>710</v>
      </c>
      <c r="H3510" s="5" t="s">
        <v>21</v>
      </c>
      <c r="I3510" s="5" t="s">
        <v>8847</v>
      </c>
      <c r="J3510" s="12" t="str">
        <f>HYPERLINK("https://www.boe.es/gazeta/dias/1802/07/21/pdfs/GMD-1802-59E.pdf#page=6","Abrir facsímil")</f>
        <v>Abrir facsímil</v>
      </c>
      <c r="K3510" s="15" t="s">
        <v>23</v>
      </c>
    </row>
    <row r="3511" spans="1:11" ht="42" customHeight="1">
      <c r="A3511" s="4" t="s">
        <v>8848</v>
      </c>
      <c r="B3511" s="5" t="s">
        <v>8849</v>
      </c>
      <c r="C3511" s="5" t="s">
        <v>35</v>
      </c>
      <c r="D3511" s="5" t="s">
        <v>36</v>
      </c>
      <c r="E3511" s="5" t="s">
        <v>642</v>
      </c>
      <c r="F3511" s="9">
        <v>51</v>
      </c>
      <c r="G3511" s="9">
        <v>617</v>
      </c>
      <c r="H3511" s="5" t="s">
        <v>21</v>
      </c>
      <c r="I3511" s="5" t="s">
        <v>8850</v>
      </c>
      <c r="J3511" s="12" t="str">
        <f>HYPERLINK("https://www.boe.es/gazeta/dias/1802/06/25/pdfs/GMD-1802-51.pdf#page=5","Abrir facsímil")</f>
        <v>Abrir facsímil</v>
      </c>
      <c r="K3511" s="15" t="s">
        <v>23</v>
      </c>
    </row>
    <row r="3512" spans="1:11" ht="42" customHeight="1">
      <c r="A3512" s="4" t="s">
        <v>8851</v>
      </c>
      <c r="B3512" s="5" t="s">
        <v>8851</v>
      </c>
      <c r="C3512" s="5" t="s">
        <v>18</v>
      </c>
      <c r="D3512" s="5" t="s">
        <v>19</v>
      </c>
      <c r="E3512" s="5" t="s">
        <v>814</v>
      </c>
      <c r="F3512" s="9">
        <v>41</v>
      </c>
      <c r="G3512" s="9">
        <v>489</v>
      </c>
      <c r="H3512" s="5" t="s">
        <v>21</v>
      </c>
      <c r="I3512" s="5" t="s">
        <v>8852</v>
      </c>
      <c r="J3512" s="12" t="str">
        <f>HYPERLINK("https://www.boe.es/gazeta/dias/1802/05/21/pdfs/GMD-1802-41.pdf#page=5","Abrir facsímil")</f>
        <v>Abrir facsímil</v>
      </c>
      <c r="K3512" s="15" t="s">
        <v>23</v>
      </c>
    </row>
    <row r="3513" spans="1:11" ht="42" customHeight="1">
      <c r="A3513" s="4" t="s">
        <v>8853</v>
      </c>
      <c r="B3513" s="5" t="s">
        <v>8853</v>
      </c>
      <c r="C3513" s="5" t="s">
        <v>18</v>
      </c>
      <c r="D3513" s="5" t="s">
        <v>19</v>
      </c>
      <c r="E3513" s="5" t="s">
        <v>814</v>
      </c>
      <c r="F3513" s="9">
        <v>41</v>
      </c>
      <c r="G3513" s="9">
        <v>490</v>
      </c>
      <c r="H3513" s="5" t="s">
        <v>21</v>
      </c>
      <c r="I3513" s="5" t="s">
        <v>8854</v>
      </c>
      <c r="J3513" s="12" t="str">
        <f>HYPERLINK("https://www.boe.es/gazeta/dias/1802/05/21/pdfs/GMD-1802-41.pdf#page=6","Abrir facsímil")</f>
        <v>Abrir facsímil</v>
      </c>
      <c r="K3513" s="15" t="s">
        <v>23</v>
      </c>
    </row>
    <row r="3514" spans="1:11" ht="42" customHeight="1">
      <c r="A3514" s="4" t="s">
        <v>8855</v>
      </c>
      <c r="B3514" s="5" t="s">
        <v>8855</v>
      </c>
      <c r="C3514" s="5" t="s">
        <v>35</v>
      </c>
      <c r="D3514" s="5" t="s">
        <v>36</v>
      </c>
      <c r="E3514" s="5" t="s">
        <v>590</v>
      </c>
      <c r="F3514" s="9">
        <v>38</v>
      </c>
      <c r="G3514" s="9">
        <v>447</v>
      </c>
      <c r="H3514" s="5" t="s">
        <v>21</v>
      </c>
      <c r="I3514" s="5" t="s">
        <v>8856</v>
      </c>
      <c r="J3514" s="12" t="str">
        <f>HYPERLINK("https://www.boe.es/gazeta/dias/1802/05/11/pdfs/GMD-1802-38.pdf#page=3","Abrir facsímil")</f>
        <v>Abrir facsímil</v>
      </c>
      <c r="K3514" s="15" t="s">
        <v>23</v>
      </c>
    </row>
    <row r="3515" spans="1:11" ht="42" customHeight="1">
      <c r="A3515" s="4" t="s">
        <v>8857</v>
      </c>
      <c r="B3515" s="5" t="s">
        <v>8857</v>
      </c>
      <c r="C3515" s="5" t="s">
        <v>35</v>
      </c>
      <c r="D3515" s="5" t="s">
        <v>36</v>
      </c>
      <c r="E3515" s="5" t="s">
        <v>1829</v>
      </c>
      <c r="F3515" s="9">
        <v>32</v>
      </c>
      <c r="G3515" s="9">
        <v>374</v>
      </c>
      <c r="H3515" s="5" t="s">
        <v>21</v>
      </c>
      <c r="I3515" s="5" t="s">
        <v>8858</v>
      </c>
      <c r="J3515" s="12" t="str">
        <f>HYPERLINK("https://www.boe.es/gazeta/dias/1802/04/20/pdfs/GMD-1802-32.pdf#page=6","Abrir facsímil")</f>
        <v>Abrir facsímil</v>
      </c>
      <c r="K3515" s="15" t="s">
        <v>23</v>
      </c>
    </row>
    <row r="3516" spans="1:11" ht="42" customHeight="1">
      <c r="A3516" s="4" t="s">
        <v>8859</v>
      </c>
      <c r="B3516" s="5" t="s">
        <v>8860</v>
      </c>
      <c r="C3516" s="5" t="s">
        <v>18</v>
      </c>
      <c r="D3516" s="5" t="s">
        <v>19</v>
      </c>
      <c r="E3516" s="5" t="s">
        <v>49</v>
      </c>
      <c r="F3516" s="9">
        <v>83</v>
      </c>
      <c r="G3516" s="9">
        <v>1024</v>
      </c>
      <c r="H3516" s="5" t="s">
        <v>21</v>
      </c>
      <c r="I3516" s="5" t="s">
        <v>8861</v>
      </c>
      <c r="J3516" s="12" t="str">
        <f>HYPERLINK("https://www.boe.es/gazeta/dias/1802/10/12/pdfs/GMD-1802-83.pdf#page=12","Abrir facsímil")</f>
        <v>Abrir facsímil</v>
      </c>
      <c r="K3516" s="15" t="s">
        <v>23</v>
      </c>
    </row>
    <row r="3517" spans="1:11" ht="42" customHeight="1">
      <c r="A3517" s="4" t="s">
        <v>8862</v>
      </c>
      <c r="B3517" s="5" t="s">
        <v>8863</v>
      </c>
      <c r="C3517" s="5" t="s">
        <v>18</v>
      </c>
      <c r="D3517" s="5" t="s">
        <v>19</v>
      </c>
      <c r="E3517" s="5" t="s">
        <v>170</v>
      </c>
      <c r="F3517" s="9">
        <v>28</v>
      </c>
      <c r="G3517" s="9">
        <v>328</v>
      </c>
      <c r="H3517" s="5" t="s">
        <v>21</v>
      </c>
      <c r="I3517" s="5" t="s">
        <v>8864</v>
      </c>
      <c r="J3517" s="12" t="str">
        <f>HYPERLINK("https://www.boe.es/gazeta/dias/1802/04/06/pdfs/GMD-1802-28.pdf#page=8","Abrir facsímil")</f>
        <v>Abrir facsímil</v>
      </c>
      <c r="K3517" s="15" t="s">
        <v>23</v>
      </c>
    </row>
    <row r="3518" spans="1:11" ht="42" customHeight="1">
      <c r="A3518" s="4" t="s">
        <v>8862</v>
      </c>
      <c r="B3518" s="5" t="s">
        <v>8863</v>
      </c>
      <c r="C3518" s="5" t="s">
        <v>35</v>
      </c>
      <c r="D3518" s="5" t="s">
        <v>36</v>
      </c>
      <c r="E3518" s="5" t="s">
        <v>92</v>
      </c>
      <c r="F3518" s="9">
        <v>29</v>
      </c>
      <c r="G3518" s="9">
        <v>341</v>
      </c>
      <c r="H3518" s="5" t="s">
        <v>21</v>
      </c>
      <c r="I3518" s="5" t="s">
        <v>8865</v>
      </c>
      <c r="J3518" s="12" t="str">
        <f>HYPERLINK("https://www.boe.es/gazeta/dias/1802/04/09/pdfs/GMD-1802-29.pdf#page=9","Abrir facsímil")</f>
        <v>Abrir facsímil</v>
      </c>
      <c r="K3518" s="15" t="s">
        <v>23</v>
      </c>
    </row>
    <row r="3519" spans="1:11" ht="42" customHeight="1">
      <c r="A3519" s="4" t="s">
        <v>8862</v>
      </c>
      <c r="B3519" s="5" t="s">
        <v>8863</v>
      </c>
      <c r="C3519" s="5" t="s">
        <v>18</v>
      </c>
      <c r="D3519" s="5" t="s">
        <v>19</v>
      </c>
      <c r="E3519" s="5" t="s">
        <v>530</v>
      </c>
      <c r="F3519" s="9">
        <v>48</v>
      </c>
      <c r="G3519" s="9">
        <v>584</v>
      </c>
      <c r="H3519" s="5" t="s">
        <v>21</v>
      </c>
      <c r="I3519" s="5" t="s">
        <v>8866</v>
      </c>
      <c r="J3519" s="12" t="str">
        <f>HYPERLINK("https://www.boe.es/gazeta/dias/1802/06/15/pdfs/GMD-1802-48.pdf#page=8","Abrir facsímil")</f>
        <v>Abrir facsímil</v>
      </c>
      <c r="K3519" s="15" t="s">
        <v>23</v>
      </c>
    </row>
    <row r="3520" spans="1:11" ht="42" customHeight="1">
      <c r="A3520" s="4" t="s">
        <v>8867</v>
      </c>
      <c r="B3520" s="5" t="s">
        <v>8868</v>
      </c>
      <c r="C3520" s="5" t="s">
        <v>29</v>
      </c>
      <c r="D3520" s="5" t="s">
        <v>30</v>
      </c>
      <c r="E3520" s="5" t="s">
        <v>92</v>
      </c>
      <c r="F3520" s="9">
        <v>29</v>
      </c>
      <c r="G3520" s="9">
        <v>338</v>
      </c>
      <c r="H3520" s="5" t="s">
        <v>21</v>
      </c>
      <c r="I3520" s="5" t="s">
        <v>8869</v>
      </c>
      <c r="J3520" s="12" t="str">
        <f>HYPERLINK("https://www.boe.es/gazeta/dias/1802/04/09/pdfs/GMD-1802-29.pdf#page=6","Abrir facsímil")</f>
        <v>Abrir facsímil</v>
      </c>
      <c r="K3520" s="15" t="s">
        <v>23</v>
      </c>
    </row>
    <row r="3521" spans="1:11" ht="42" customHeight="1">
      <c r="A3521" s="4" t="s">
        <v>8870</v>
      </c>
      <c r="B3521" s="5" t="s">
        <v>8870</v>
      </c>
      <c r="C3521" s="5" t="s">
        <v>160</v>
      </c>
      <c r="D3521" s="5" t="s">
        <v>91</v>
      </c>
      <c r="E3521" s="5" t="s">
        <v>311</v>
      </c>
      <c r="F3521" s="9">
        <v>88</v>
      </c>
      <c r="G3521" s="9">
        <v>1088</v>
      </c>
      <c r="H3521" s="5" t="s">
        <v>21</v>
      </c>
      <c r="I3521" s="5" t="s">
        <v>8871</v>
      </c>
      <c r="J3521" s="12" t="str">
        <f>HYPERLINK("https://www.boe.es/gazeta/dias/1802/10/29/pdfs/GMD-1802-88.pdf#page=4","Abrir facsímil")</f>
        <v>Abrir facsímil</v>
      </c>
      <c r="K3521" s="15" t="s">
        <v>23</v>
      </c>
    </row>
    <row r="3522" spans="1:11" ht="42" customHeight="1">
      <c r="A3522" s="4" t="s">
        <v>8872</v>
      </c>
      <c r="B3522" s="5" t="s">
        <v>8873</v>
      </c>
      <c r="C3522" s="5" t="s">
        <v>35</v>
      </c>
      <c r="D3522" s="5" t="s">
        <v>36</v>
      </c>
      <c r="E3522" s="5" t="s">
        <v>192</v>
      </c>
      <c r="F3522" s="9">
        <v>53</v>
      </c>
      <c r="G3522" s="9">
        <v>633</v>
      </c>
      <c r="H3522" s="5" t="s">
        <v>21</v>
      </c>
      <c r="I3522" s="5" t="s">
        <v>8874</v>
      </c>
      <c r="J3522" s="12" t="str">
        <f>HYPERLINK("https://www.boe.es/gazeta/dias/1802/07/02/pdfs/GMD-1802-53.pdf#page=1","Abrir facsímil")</f>
        <v>Abrir facsímil</v>
      </c>
      <c r="K3522" s="15" t="s">
        <v>23</v>
      </c>
    </row>
    <row r="3523" spans="1:11" ht="42" customHeight="1">
      <c r="A3523" s="4" t="s">
        <v>8875</v>
      </c>
      <c r="B3523" s="5" t="s">
        <v>8876</v>
      </c>
      <c r="C3523" s="5" t="s">
        <v>35</v>
      </c>
      <c r="D3523" s="5" t="s">
        <v>36</v>
      </c>
      <c r="E3523" s="5" t="s">
        <v>192</v>
      </c>
      <c r="F3523" s="9">
        <v>53</v>
      </c>
      <c r="G3523" s="9">
        <v>640</v>
      </c>
      <c r="H3523" s="5" t="s">
        <v>21</v>
      </c>
      <c r="I3523" s="5" t="s">
        <v>8877</v>
      </c>
      <c r="J3523" s="12" t="str">
        <f>HYPERLINK("https://www.boe.es/gazeta/dias/1802/07/02/pdfs/GMD-1802-53.pdf#page=8","Abrir facsímil")</f>
        <v>Abrir facsímil</v>
      </c>
      <c r="K3523" s="15" t="s">
        <v>23</v>
      </c>
    </row>
    <row r="3524" spans="1:11" ht="42" customHeight="1">
      <c r="A3524" s="4" t="s">
        <v>8878</v>
      </c>
      <c r="B3524" s="5" t="s">
        <v>8879</v>
      </c>
      <c r="C3524" s="5" t="s">
        <v>29</v>
      </c>
      <c r="D3524" s="5" t="s">
        <v>30</v>
      </c>
      <c r="E3524" s="5" t="s">
        <v>152</v>
      </c>
      <c r="F3524" s="9">
        <v>25</v>
      </c>
      <c r="G3524" s="9">
        <v>281</v>
      </c>
      <c r="H3524" s="5" t="s">
        <v>21</v>
      </c>
      <c r="I3524" s="5" t="s">
        <v>8880</v>
      </c>
      <c r="J3524" s="12" t="str">
        <f>HYPERLINK("https://www.boe.es/gazeta/dias/1802/03/26/pdfs/GMD-1802-25.pdf#page=5","Abrir facsímil")</f>
        <v>Abrir facsímil</v>
      </c>
      <c r="K3524" s="15" t="s">
        <v>23</v>
      </c>
    </row>
    <row r="3525" spans="1:11" ht="42" customHeight="1">
      <c r="A3525" s="4" t="s">
        <v>8881</v>
      </c>
      <c r="B3525" s="5" t="s">
        <v>8881</v>
      </c>
      <c r="C3525" s="5" t="s">
        <v>18</v>
      </c>
      <c r="D3525" s="5" t="s">
        <v>19</v>
      </c>
      <c r="E3525" s="5" t="s">
        <v>128</v>
      </c>
      <c r="F3525" s="9">
        <v>9</v>
      </c>
      <c r="G3525" s="9">
        <v>84</v>
      </c>
      <c r="H3525" s="5" t="s">
        <v>21</v>
      </c>
      <c r="I3525" s="5" t="s">
        <v>8882</v>
      </c>
      <c r="J3525" s="12" t="str">
        <f>HYPERLINK("https://www.boe.es/gazeta/dias/1802/01/29/pdfs/GMD-1802-9.pdf#page=4","Abrir facsímil")</f>
        <v>Abrir facsímil</v>
      </c>
      <c r="K3525" s="15" t="s">
        <v>23</v>
      </c>
    </row>
    <row r="3526" spans="1:11" ht="42" customHeight="1">
      <c r="A3526" s="4" t="s">
        <v>8883</v>
      </c>
      <c r="B3526" s="5" t="s">
        <v>8884</v>
      </c>
      <c r="C3526" s="5" t="s">
        <v>35</v>
      </c>
      <c r="D3526" s="5" t="s">
        <v>36</v>
      </c>
      <c r="E3526" s="5" t="s">
        <v>175</v>
      </c>
      <c r="F3526" s="9">
        <v>37</v>
      </c>
      <c r="G3526" s="9">
        <v>435</v>
      </c>
      <c r="H3526" s="5" t="s">
        <v>21</v>
      </c>
      <c r="I3526" s="5" t="s">
        <v>8885</v>
      </c>
      <c r="J3526" s="12" t="str">
        <f>HYPERLINK("https://www.boe.es/gazeta/dias/1802/05/07/pdfs/GMD-1802-37.pdf#page=3","Abrir facsímil")</f>
        <v>Abrir facsímil</v>
      </c>
      <c r="K3526" s="15" t="s">
        <v>23</v>
      </c>
    </row>
    <row r="3527" spans="1:11" ht="42" customHeight="1">
      <c r="A3527" s="4" t="s">
        <v>8883</v>
      </c>
      <c r="B3527" s="5" t="s">
        <v>8884</v>
      </c>
      <c r="C3527" s="5" t="s">
        <v>18</v>
      </c>
      <c r="D3527" s="5" t="s">
        <v>19</v>
      </c>
      <c r="E3527" s="5" t="s">
        <v>635</v>
      </c>
      <c r="F3527" s="9">
        <v>47</v>
      </c>
      <c r="G3527" s="9">
        <v>567</v>
      </c>
      <c r="H3527" s="5" t="s">
        <v>21</v>
      </c>
      <c r="I3527" s="5" t="s">
        <v>8886</v>
      </c>
      <c r="J3527" s="12" t="str">
        <f>HYPERLINK("https://www.boe.es/gazeta/dias/1802/06/11/pdfs/GMD-1802-47.pdf#page=3","Abrir facsímil")</f>
        <v>Abrir facsímil</v>
      </c>
      <c r="K3527" s="15" t="s">
        <v>23</v>
      </c>
    </row>
    <row r="3528" spans="1:11" ht="42" customHeight="1">
      <c r="A3528" s="4" t="s">
        <v>8883</v>
      </c>
      <c r="B3528" s="5" t="s">
        <v>8884</v>
      </c>
      <c r="C3528" s="5" t="s">
        <v>35</v>
      </c>
      <c r="D3528" s="5" t="s">
        <v>36</v>
      </c>
      <c r="E3528" s="5" t="s">
        <v>75</v>
      </c>
      <c r="F3528" s="9">
        <v>103</v>
      </c>
      <c r="G3528" s="9">
        <v>1259</v>
      </c>
      <c r="H3528" s="5" t="s">
        <v>21</v>
      </c>
      <c r="I3528" s="5" t="s">
        <v>8887</v>
      </c>
      <c r="J3528" s="12" t="str">
        <f>HYPERLINK("https://www.boe.es/gazeta/dias/1802/12/21/pdfs/GMD-1802-103.pdf#page=3","Abrir facsímil")</f>
        <v>Abrir facsímil</v>
      </c>
      <c r="K3528" s="15" t="s">
        <v>23</v>
      </c>
    </row>
    <row r="3529" spans="1:11" ht="42" customHeight="1">
      <c r="A3529" s="4" t="s">
        <v>8888</v>
      </c>
      <c r="B3529" s="5" t="s">
        <v>8889</v>
      </c>
      <c r="C3529" s="5" t="s">
        <v>18</v>
      </c>
      <c r="D3529" s="5" t="s">
        <v>19</v>
      </c>
      <c r="E3529" s="5" t="s">
        <v>1185</v>
      </c>
      <c r="F3529" s="9">
        <v>93</v>
      </c>
      <c r="G3529" s="9">
        <v>1148</v>
      </c>
      <c r="H3529" s="5" t="s">
        <v>21</v>
      </c>
      <c r="I3529" s="5" t="s">
        <v>8890</v>
      </c>
      <c r="J3529" s="12" t="str">
        <f>HYPERLINK("https://www.boe.es/gazeta/dias/1802/11/16/pdfs/GMD-1802-93.pdf#page=8","Abrir facsímil")</f>
        <v>Abrir facsímil</v>
      </c>
      <c r="K3529" s="15" t="s">
        <v>23</v>
      </c>
    </row>
    <row r="3530" spans="1:11" ht="42" customHeight="1">
      <c r="A3530" s="4" t="s">
        <v>8891</v>
      </c>
      <c r="B3530" s="5" t="s">
        <v>8891</v>
      </c>
      <c r="C3530" s="5" t="s">
        <v>18</v>
      </c>
      <c r="D3530" s="5" t="s">
        <v>19</v>
      </c>
      <c r="E3530" s="5" t="s">
        <v>328</v>
      </c>
      <c r="F3530" s="9">
        <v>45</v>
      </c>
      <c r="G3530" s="9">
        <v>540</v>
      </c>
      <c r="H3530" s="5" t="s">
        <v>21</v>
      </c>
      <c r="I3530" s="5" t="s">
        <v>8892</v>
      </c>
      <c r="J3530" s="12" t="str">
        <f>HYPERLINK("https://www.boe.es/gazeta/dias/1802/06/04/pdfs/GMD-1802-45.pdf#page=4","Abrir facsímil")</f>
        <v>Abrir facsímil</v>
      </c>
      <c r="K3530" s="15" t="s">
        <v>23</v>
      </c>
    </row>
    <row r="3531" spans="1:11" ht="42" customHeight="1">
      <c r="A3531" s="4" t="s">
        <v>8891</v>
      </c>
      <c r="B3531" s="5" t="s">
        <v>8891</v>
      </c>
      <c r="C3531" s="5" t="s">
        <v>35</v>
      </c>
      <c r="D3531" s="5" t="s">
        <v>36</v>
      </c>
      <c r="E3531" s="5" t="s">
        <v>751</v>
      </c>
      <c r="F3531" s="9">
        <v>98</v>
      </c>
      <c r="G3531" s="9">
        <v>1206</v>
      </c>
      <c r="H3531" s="5" t="s">
        <v>21</v>
      </c>
      <c r="I3531" s="5" t="s">
        <v>8893</v>
      </c>
      <c r="J3531" s="12" t="str">
        <f>HYPERLINK("https://www.boe.es/gazeta/dias/1802/12/03/pdfs/GMD-1802-98.pdf#page=2","Abrir facsímil")</f>
        <v>Abrir facsímil</v>
      </c>
      <c r="K3531" s="15" t="s">
        <v>23</v>
      </c>
    </row>
    <row r="3532" spans="1:11" ht="42" customHeight="1">
      <c r="A3532" s="4" t="s">
        <v>8891</v>
      </c>
      <c r="B3532" s="5" t="s">
        <v>8891</v>
      </c>
      <c r="C3532" s="5" t="s">
        <v>35</v>
      </c>
      <c r="D3532" s="5" t="s">
        <v>36</v>
      </c>
      <c r="E3532" s="5" t="s">
        <v>751</v>
      </c>
      <c r="F3532" s="9">
        <v>98</v>
      </c>
      <c r="G3532" s="9">
        <v>1207</v>
      </c>
      <c r="H3532" s="5" t="s">
        <v>21</v>
      </c>
      <c r="I3532" s="5" t="s">
        <v>8894</v>
      </c>
      <c r="J3532" s="12" t="str">
        <f>HYPERLINK("https://www.boe.es/gazeta/dias/1802/12/03/pdfs/GMD-1802-98.pdf#page=3","Abrir facsímil")</f>
        <v>Abrir facsímil</v>
      </c>
      <c r="K3532" s="15" t="s">
        <v>23</v>
      </c>
    </row>
    <row r="3533" spans="1:11" ht="42" customHeight="1">
      <c r="A3533" s="4" t="s">
        <v>8895</v>
      </c>
      <c r="B3533" s="5" t="s">
        <v>8896</v>
      </c>
      <c r="C3533" s="5" t="s">
        <v>29</v>
      </c>
      <c r="D3533" s="5" t="s">
        <v>30</v>
      </c>
      <c r="E3533" s="5" t="s">
        <v>611</v>
      </c>
      <c r="F3533" s="9">
        <v>68</v>
      </c>
      <c r="G3533" s="9">
        <v>834</v>
      </c>
      <c r="H3533" s="5" t="s">
        <v>21</v>
      </c>
      <c r="I3533" s="5" t="s">
        <v>8897</v>
      </c>
      <c r="J3533" s="12" t="str">
        <f>HYPERLINK("https://www.boe.es/gazeta/dias/1802/08/20/pdfs/GMD-1802-68.pdf#page=10","Abrir facsímil")</f>
        <v>Abrir facsímil</v>
      </c>
      <c r="K3533" s="15" t="s">
        <v>23</v>
      </c>
    </row>
    <row r="3534" spans="1:11" ht="42" customHeight="1">
      <c r="A3534" s="4" t="s">
        <v>8898</v>
      </c>
      <c r="B3534" s="5" t="s">
        <v>8898</v>
      </c>
      <c r="C3534" s="5" t="s">
        <v>90</v>
      </c>
      <c r="D3534" s="5" t="s">
        <v>91</v>
      </c>
      <c r="E3534" s="5" t="s">
        <v>25</v>
      </c>
      <c r="F3534" s="9">
        <v>44</v>
      </c>
      <c r="G3534" s="9">
        <v>536</v>
      </c>
      <c r="H3534" s="5" t="s">
        <v>21</v>
      </c>
      <c r="I3534" s="5" t="s">
        <v>8899</v>
      </c>
      <c r="J3534" s="12" t="str">
        <f>HYPERLINK("https://www.boe.es/gazeta/dias/1802/06/01/pdfs/GMD-1802-44.pdf#page=12","Abrir facsímil")</f>
        <v>Abrir facsímil</v>
      </c>
      <c r="K3534" s="15" t="s">
        <v>23</v>
      </c>
    </row>
    <row r="3535" spans="1:11" ht="42" customHeight="1">
      <c r="A3535" s="4" t="s">
        <v>8900</v>
      </c>
      <c r="B3535" s="5" t="s">
        <v>8900</v>
      </c>
      <c r="C3535" s="5" t="s">
        <v>29</v>
      </c>
      <c r="D3535" s="5" t="s">
        <v>30</v>
      </c>
      <c r="E3535" s="5" t="s">
        <v>37</v>
      </c>
      <c r="F3535" s="9">
        <v>106</v>
      </c>
      <c r="G3535" s="9">
        <v>1291</v>
      </c>
      <c r="H3535" s="5" t="s">
        <v>21</v>
      </c>
      <c r="I3535" s="5" t="s">
        <v>8901</v>
      </c>
      <c r="J3535" s="12" t="str">
        <f>HYPERLINK("https://www.boe.es/gazeta/dias/1802/12/31/pdfs/GMD-1802-106.pdf#page=3","Abrir facsímil")</f>
        <v>Abrir facsímil</v>
      </c>
      <c r="K3535" s="15" t="s">
        <v>23</v>
      </c>
    </row>
    <row r="3536" spans="1:11" ht="42" customHeight="1">
      <c r="A3536" s="4" t="s">
        <v>8902</v>
      </c>
      <c r="B3536" s="5" t="s">
        <v>8903</v>
      </c>
      <c r="C3536" s="5" t="s">
        <v>18</v>
      </c>
      <c r="D3536" s="5" t="s">
        <v>19</v>
      </c>
      <c r="E3536" s="5" t="s">
        <v>20</v>
      </c>
      <c r="F3536" s="9">
        <v>84</v>
      </c>
      <c r="G3536" s="9">
        <v>1041</v>
      </c>
      <c r="H3536" s="5" t="s">
        <v>21</v>
      </c>
      <c r="I3536" s="5" t="s">
        <v>8904</v>
      </c>
      <c r="J3536" s="12" t="str">
        <f>HYPERLINK("https://www.boe.es/gazeta/dias/1802/10/15/pdfs/GMD-1802-84.pdf#page=9","Abrir facsímil")</f>
        <v>Abrir facsímil</v>
      </c>
      <c r="K3536" s="15" t="s">
        <v>23</v>
      </c>
    </row>
    <row r="3537" spans="1:11" ht="42" customHeight="1">
      <c r="A3537" s="4" t="s">
        <v>8905</v>
      </c>
      <c r="B3537" s="5" t="s">
        <v>8905</v>
      </c>
      <c r="C3537" s="5" t="s">
        <v>35</v>
      </c>
      <c r="D3537" s="5" t="s">
        <v>36</v>
      </c>
      <c r="E3537" s="5" t="s">
        <v>73</v>
      </c>
      <c r="F3537" s="9">
        <v>102</v>
      </c>
      <c r="G3537" s="9">
        <v>1249</v>
      </c>
      <c r="H3537" s="5" t="s">
        <v>21</v>
      </c>
      <c r="I3537" s="5" t="s">
        <v>8906</v>
      </c>
      <c r="J3537" s="12" t="str">
        <f>HYPERLINK("https://www.boe.es/gazeta/dias/1802/12/17/pdfs/GMD-1802-102.pdf#page=5","Abrir facsímil")</f>
        <v>Abrir facsímil</v>
      </c>
      <c r="K3537" s="15" t="s">
        <v>23</v>
      </c>
    </row>
    <row r="3538" spans="1:11" ht="42" customHeight="1">
      <c r="A3538" s="4" t="s">
        <v>8907</v>
      </c>
      <c r="B3538" s="5" t="s">
        <v>8908</v>
      </c>
      <c r="C3538" s="5" t="s">
        <v>55</v>
      </c>
      <c r="D3538" s="5" t="s">
        <v>56</v>
      </c>
      <c r="E3538" s="5" t="s">
        <v>604</v>
      </c>
      <c r="F3538" s="9">
        <v>100</v>
      </c>
      <c r="G3538" s="9">
        <v>1236</v>
      </c>
      <c r="H3538" s="5" t="s">
        <v>21</v>
      </c>
      <c r="I3538" s="5" t="s">
        <v>8909</v>
      </c>
      <c r="J3538" s="12" t="str">
        <f>HYPERLINK("https://www.boe.es/gazeta/dias/1802/12/10/pdfs/GMD-1802-100.pdf#page=8","Abrir facsímil")</f>
        <v>Abrir facsímil</v>
      </c>
      <c r="K3538" s="15" t="s">
        <v>23</v>
      </c>
    </row>
    <row r="3539" spans="1:11" ht="42" customHeight="1">
      <c r="A3539" s="4" t="s">
        <v>8910</v>
      </c>
      <c r="B3539" s="5" t="s">
        <v>8911</v>
      </c>
      <c r="C3539" s="5" t="s">
        <v>18</v>
      </c>
      <c r="D3539" s="5" t="s">
        <v>19</v>
      </c>
      <c r="E3539" s="5" t="s">
        <v>49</v>
      </c>
      <c r="F3539" s="9">
        <v>83</v>
      </c>
      <c r="G3539" s="9">
        <v>1025</v>
      </c>
      <c r="H3539" s="5" t="s">
        <v>21</v>
      </c>
      <c r="I3539" s="5" t="s">
        <v>8912</v>
      </c>
      <c r="J3539" s="12" t="str">
        <f>HYPERLINK("https://www.boe.es/gazeta/dias/1802/10/12/pdfs/GMD-1802-83.pdf#page=13","Abrir facsímil")</f>
        <v>Abrir facsímil</v>
      </c>
      <c r="K3539" s="15" t="s">
        <v>23</v>
      </c>
    </row>
    <row r="3540" spans="1:11" ht="42" customHeight="1">
      <c r="A3540" s="4" t="s">
        <v>8913</v>
      </c>
      <c r="B3540" s="5" t="s">
        <v>8914</v>
      </c>
      <c r="C3540" s="5" t="s">
        <v>55</v>
      </c>
      <c r="D3540" s="5" t="s">
        <v>56</v>
      </c>
      <c r="E3540" s="5" t="s">
        <v>655</v>
      </c>
      <c r="F3540" s="9">
        <v>46</v>
      </c>
      <c r="G3540" s="9">
        <v>560</v>
      </c>
      <c r="H3540" s="5" t="s">
        <v>21</v>
      </c>
      <c r="I3540" s="5" t="s">
        <v>8915</v>
      </c>
      <c r="J3540" s="12" t="str">
        <f>HYPERLINK("https://www.boe.es/gazeta/dias/1802/06/08/pdfs/GMD-1802-46.pdf#page=12","Abrir facsímil")</f>
        <v>Abrir facsímil</v>
      </c>
      <c r="K3540" s="15" t="s">
        <v>23</v>
      </c>
    </row>
    <row r="3541" spans="1:11" ht="42" customHeight="1">
      <c r="A3541" s="4" t="s">
        <v>8916</v>
      </c>
      <c r="B3541" s="5" t="s">
        <v>8916</v>
      </c>
      <c r="C3541" s="5" t="s">
        <v>160</v>
      </c>
      <c r="D3541" s="5" t="s">
        <v>91</v>
      </c>
      <c r="E3541" s="5" t="s">
        <v>1959</v>
      </c>
      <c r="F3541" s="9">
        <v>34</v>
      </c>
      <c r="G3541" s="9">
        <v>398</v>
      </c>
      <c r="H3541" s="5" t="s">
        <v>21</v>
      </c>
      <c r="I3541" s="5" t="s">
        <v>8917</v>
      </c>
      <c r="J3541" s="12" t="str">
        <f>HYPERLINK("https://www.boe.es/gazeta/dias/1802/04/27/pdfs/GMD-1802-34.pdf#page=10","Abrir facsímil")</f>
        <v>Abrir facsímil</v>
      </c>
      <c r="K3541" s="15" t="s">
        <v>23</v>
      </c>
    </row>
    <row r="3542" spans="1:11" ht="42" customHeight="1">
      <c r="A3542" s="4" t="s">
        <v>8918</v>
      </c>
      <c r="B3542" s="5" t="s">
        <v>8919</v>
      </c>
      <c r="C3542" s="5" t="s">
        <v>160</v>
      </c>
      <c r="D3542" s="5" t="s">
        <v>91</v>
      </c>
      <c r="E3542" s="5" t="s">
        <v>865</v>
      </c>
      <c r="F3542" s="9">
        <v>12</v>
      </c>
      <c r="G3542" s="9">
        <v>123</v>
      </c>
      <c r="H3542" s="5" t="s">
        <v>21</v>
      </c>
      <c r="I3542" s="5" t="s">
        <v>8920</v>
      </c>
      <c r="J3542" s="12" t="str">
        <f>HYPERLINK("https://www.boe.es/gazeta/dias/1802/02/09/pdfs/GMD-1802-12.pdf#page=7","Abrir facsímil")</f>
        <v>Abrir facsímil</v>
      </c>
      <c r="K3542" s="15" t="s">
        <v>23</v>
      </c>
    </row>
    <row r="3543" spans="1:11" ht="42" customHeight="1">
      <c r="A3543" s="4" t="s">
        <v>8921</v>
      </c>
      <c r="B3543" s="5" t="s">
        <v>8922</v>
      </c>
      <c r="C3543" s="5" t="s">
        <v>42</v>
      </c>
      <c r="D3543" s="5" t="s">
        <v>43</v>
      </c>
      <c r="E3543" s="5" t="s">
        <v>44</v>
      </c>
      <c r="F3543" s="9">
        <v>99</v>
      </c>
      <c r="G3543" s="9" t="s">
        <v>537</v>
      </c>
      <c r="H3543" s="5" t="s">
        <v>21</v>
      </c>
      <c r="I3543" s="5" t="s">
        <v>8923</v>
      </c>
      <c r="J3543" s="12" t="str">
        <f>HYPERLINK("https://www.boe.es/gazeta/dias/1802/12/07/pdfs/GMD-D-1802-99.pdf#page=9","Abrir facsímil")</f>
        <v>Abrir facsímil</v>
      </c>
      <c r="K3543" s="15" t="s">
        <v>23</v>
      </c>
    </row>
    <row r="3544" spans="1:11" ht="42" customHeight="1">
      <c r="A3544" s="4" t="s">
        <v>8924</v>
      </c>
      <c r="B3544" s="5" t="s">
        <v>8925</v>
      </c>
      <c r="C3544" s="5" t="s">
        <v>29</v>
      </c>
      <c r="D3544" s="5" t="s">
        <v>30</v>
      </c>
      <c r="E3544" s="5" t="s">
        <v>131</v>
      </c>
      <c r="F3544" s="9">
        <v>11</v>
      </c>
      <c r="G3544" s="9">
        <v>114</v>
      </c>
      <c r="H3544" s="5" t="s">
        <v>21</v>
      </c>
      <c r="I3544" s="5" t="s">
        <v>8926</v>
      </c>
      <c r="J3544" s="12" t="str">
        <f>HYPERLINK("https://www.boe.es/gazeta/dias/1802/02/05/pdfs/GMD-1802-11.pdf#page=10","Abrir facsímil")</f>
        <v>Abrir facsímil</v>
      </c>
      <c r="K3544" s="15" t="s">
        <v>23</v>
      </c>
    </row>
    <row r="3545" spans="1:11" ht="42" customHeight="1">
      <c r="A3545" s="4" t="s">
        <v>8927</v>
      </c>
      <c r="B3545" s="5" t="s">
        <v>8928</v>
      </c>
      <c r="C3545" s="5" t="s">
        <v>42</v>
      </c>
      <c r="D3545" s="5" t="s">
        <v>43</v>
      </c>
      <c r="E3545" s="5" t="s">
        <v>44</v>
      </c>
      <c r="F3545" s="9">
        <v>99</v>
      </c>
      <c r="G3545" s="9" t="s">
        <v>45</v>
      </c>
      <c r="H3545" s="5" t="s">
        <v>21</v>
      </c>
      <c r="I3545" s="5" t="s">
        <v>8929</v>
      </c>
      <c r="J3545" s="12" t="str">
        <f>HYPERLINK("https://www.boe.es/gazeta/dias/1802/12/07/pdfs/GMD-D-1802-99.pdf#page=14","Abrir facsímil")</f>
        <v>Abrir facsímil</v>
      </c>
      <c r="K3545" s="15" t="s">
        <v>23</v>
      </c>
    </row>
    <row r="3546" spans="1:11" ht="42" customHeight="1">
      <c r="A3546" s="4" t="s">
        <v>8930</v>
      </c>
      <c r="B3546" s="5" t="s">
        <v>8931</v>
      </c>
      <c r="C3546" s="5" t="s">
        <v>29</v>
      </c>
      <c r="D3546" s="5" t="s">
        <v>30</v>
      </c>
      <c r="E3546" s="5" t="s">
        <v>491</v>
      </c>
      <c r="F3546" s="9">
        <v>57</v>
      </c>
      <c r="G3546" s="9">
        <v>689</v>
      </c>
      <c r="H3546" s="5" t="s">
        <v>21</v>
      </c>
      <c r="I3546" s="5" t="s">
        <v>8932</v>
      </c>
      <c r="J3546" s="12" t="str">
        <f>HYPERLINK("https://www.boe.es/gazeta/dias/1802/07/16/pdfs/GMD-1802-57.pdf#page=9","Abrir facsímil")</f>
        <v>Abrir facsímil</v>
      </c>
      <c r="K3546" s="15" t="s">
        <v>23</v>
      </c>
    </row>
    <row r="3547" spans="1:11" ht="42" customHeight="1">
      <c r="A3547" s="4" t="s">
        <v>8930</v>
      </c>
      <c r="B3547" s="5" t="s">
        <v>8931</v>
      </c>
      <c r="C3547" s="5" t="s">
        <v>42</v>
      </c>
      <c r="D3547" s="5" t="s">
        <v>43</v>
      </c>
      <c r="E3547" s="5" t="s">
        <v>44</v>
      </c>
      <c r="F3547" s="9">
        <v>99</v>
      </c>
      <c r="G3547" s="9" t="s">
        <v>322</v>
      </c>
      <c r="H3547" s="5" t="s">
        <v>21</v>
      </c>
      <c r="I3547" s="5" t="s">
        <v>8933</v>
      </c>
      <c r="J3547" s="12" t="str">
        <f>HYPERLINK("https://www.boe.es/gazeta/dias/1802/12/07/pdfs/GMD-D-1802-99.pdf#page=10","Abrir facsímil")</f>
        <v>Abrir facsímil</v>
      </c>
      <c r="K3547" s="15" t="s">
        <v>23</v>
      </c>
    </row>
    <row r="3548" spans="1:11" ht="42" customHeight="1">
      <c r="A3548" s="4" t="s">
        <v>8934</v>
      </c>
      <c r="B3548" s="5" t="s">
        <v>8935</v>
      </c>
      <c r="C3548" s="5" t="s">
        <v>90</v>
      </c>
      <c r="D3548" s="5" t="s">
        <v>91</v>
      </c>
      <c r="E3548" s="5" t="s">
        <v>1407</v>
      </c>
      <c r="F3548" s="9">
        <v>8</v>
      </c>
      <c r="G3548" s="9">
        <v>78</v>
      </c>
      <c r="H3548" s="5" t="s">
        <v>21</v>
      </c>
      <c r="I3548" s="5" t="s">
        <v>8936</v>
      </c>
      <c r="J3548" s="12" t="str">
        <f>HYPERLINK("https://www.boe.es/gazeta/dias/1802/01/26/pdfs/GMD-1802-8.pdf#page=6","Abrir facsímil")</f>
        <v>Abrir facsímil</v>
      </c>
      <c r="K3548" s="15" t="s">
        <v>23</v>
      </c>
    </row>
    <row r="3549" spans="1:11" ht="42" customHeight="1">
      <c r="A3549" s="4" t="s">
        <v>8937</v>
      </c>
      <c r="B3549" s="5" t="s">
        <v>8938</v>
      </c>
      <c r="C3549" s="5" t="s">
        <v>18</v>
      </c>
      <c r="D3549" s="5" t="s">
        <v>19</v>
      </c>
      <c r="E3549" s="5" t="s">
        <v>517</v>
      </c>
      <c r="F3549" s="9">
        <v>61</v>
      </c>
      <c r="G3549" s="9">
        <v>740</v>
      </c>
      <c r="H3549" s="5" t="s">
        <v>21</v>
      </c>
      <c r="I3549" s="5" t="s">
        <v>8939</v>
      </c>
      <c r="J3549" s="12" t="str">
        <f>HYPERLINK("https://www.boe.es/gazeta/dias/1802/07/27/pdfs/GMD-1802-61.pdf#page=8","Abrir facsímil")</f>
        <v>Abrir facsímil</v>
      </c>
      <c r="K3549" s="15" t="s">
        <v>23</v>
      </c>
    </row>
    <row r="3550" spans="1:11" ht="42" customHeight="1">
      <c r="A3550" s="4" t="s">
        <v>8940</v>
      </c>
      <c r="B3550" s="5" t="s">
        <v>8941</v>
      </c>
      <c r="C3550" s="5" t="s">
        <v>29</v>
      </c>
      <c r="D3550" s="5" t="s">
        <v>30</v>
      </c>
      <c r="E3550" s="5" t="s">
        <v>170</v>
      </c>
      <c r="F3550" s="9">
        <v>28</v>
      </c>
      <c r="G3550" s="9">
        <v>332</v>
      </c>
      <c r="H3550" s="5" t="s">
        <v>21</v>
      </c>
      <c r="I3550" s="5" t="s">
        <v>8942</v>
      </c>
      <c r="J3550" s="12" t="str">
        <f>HYPERLINK("https://www.boe.es/gazeta/dias/1802/04/06/pdfs/GMD-1802-28.pdf#page=12","Abrir facsímil")</f>
        <v>Abrir facsímil</v>
      </c>
      <c r="K3550" s="15" t="s">
        <v>23</v>
      </c>
    </row>
    <row r="3551" spans="1:11" ht="42" customHeight="1">
      <c r="A3551" s="4" t="s">
        <v>8943</v>
      </c>
      <c r="B3551" s="5" t="s">
        <v>8944</v>
      </c>
      <c r="C3551" s="5" t="s">
        <v>90</v>
      </c>
      <c r="D3551" s="5" t="s">
        <v>91</v>
      </c>
      <c r="E3551" s="5" t="s">
        <v>128</v>
      </c>
      <c r="F3551" s="9">
        <v>9</v>
      </c>
      <c r="G3551" s="9">
        <v>89</v>
      </c>
      <c r="H3551" s="5" t="s">
        <v>21</v>
      </c>
      <c r="I3551" s="5" t="s">
        <v>8945</v>
      </c>
      <c r="J3551" s="12" t="str">
        <f>HYPERLINK("https://www.boe.es/gazeta/dias/1802/01/29/pdfs/GMD-1802-9.pdf#page=9","Abrir facsímil")</f>
        <v>Abrir facsímil</v>
      </c>
      <c r="K3551" s="15" t="s">
        <v>23</v>
      </c>
    </row>
    <row r="3552" spans="1:11" ht="42" customHeight="1">
      <c r="A3552" s="4" t="s">
        <v>8946</v>
      </c>
      <c r="B3552" s="5" t="s">
        <v>8947</v>
      </c>
      <c r="C3552" s="5" t="s">
        <v>160</v>
      </c>
      <c r="D3552" s="5" t="s">
        <v>91</v>
      </c>
      <c r="E3552" s="5" t="s">
        <v>710</v>
      </c>
      <c r="F3552" s="9">
        <v>85</v>
      </c>
      <c r="G3552" s="9">
        <v>1058</v>
      </c>
      <c r="H3552" s="5" t="s">
        <v>21</v>
      </c>
      <c r="I3552" s="5" t="s">
        <v>8948</v>
      </c>
      <c r="J3552" s="12" t="str">
        <f>HYPERLINK("https://www.boe.es/gazeta/dias/1802/10/19/pdfs/GMD-1802-85.pdf#page=10","Abrir facsímil")</f>
        <v>Abrir facsímil</v>
      </c>
      <c r="K3552" s="15" t="s">
        <v>23</v>
      </c>
    </row>
    <row r="3553" spans="1:11" ht="42" customHeight="1">
      <c r="A3553" s="4" t="s">
        <v>8949</v>
      </c>
      <c r="B3553" s="5" t="s">
        <v>8950</v>
      </c>
      <c r="C3553" s="5" t="s">
        <v>42</v>
      </c>
      <c r="D3553" s="5" t="s">
        <v>43</v>
      </c>
      <c r="E3553" s="5" t="s">
        <v>44</v>
      </c>
      <c r="F3553" s="9">
        <v>99</v>
      </c>
      <c r="G3553" s="9" t="s">
        <v>550</v>
      </c>
      <c r="H3553" s="5" t="s">
        <v>21</v>
      </c>
      <c r="I3553" s="5" t="s">
        <v>8951</v>
      </c>
      <c r="J3553" s="12" t="str">
        <f>HYPERLINK("https://www.boe.es/gazeta/dias/1802/12/07/pdfs/GMD-D-1802-99.pdf#page=16","Abrir facsímil")</f>
        <v>Abrir facsímil</v>
      </c>
      <c r="K3553" s="15" t="s">
        <v>23</v>
      </c>
    </row>
    <row r="3554" spans="1:11" ht="42" customHeight="1">
      <c r="A3554" s="4" t="s">
        <v>8952</v>
      </c>
      <c r="B3554" s="5" t="s">
        <v>8953</v>
      </c>
      <c r="C3554" s="5" t="s">
        <v>35</v>
      </c>
      <c r="D3554" s="5" t="s">
        <v>36</v>
      </c>
      <c r="E3554" s="5" t="s">
        <v>148</v>
      </c>
      <c r="F3554" s="9">
        <v>66</v>
      </c>
      <c r="G3554" s="9">
        <v>808</v>
      </c>
      <c r="H3554" s="5" t="s">
        <v>21</v>
      </c>
      <c r="I3554" s="5" t="s">
        <v>8954</v>
      </c>
      <c r="J3554" s="12" t="str">
        <f>HYPERLINK("https://www.boe.es/gazeta/dias/1802/08/13/pdfs/GMD-1802-66.pdf#page=12","Abrir facsímil")</f>
        <v>Abrir facsímil</v>
      </c>
      <c r="K3554" s="15" t="s">
        <v>23</v>
      </c>
    </row>
    <row r="3555" spans="1:11" ht="42" customHeight="1">
      <c r="A3555" s="4" t="s">
        <v>8955</v>
      </c>
      <c r="B3555" s="5" t="s">
        <v>8955</v>
      </c>
      <c r="C3555" s="5" t="s">
        <v>35</v>
      </c>
      <c r="D3555" s="5" t="s">
        <v>36</v>
      </c>
      <c r="E3555" s="5" t="s">
        <v>714</v>
      </c>
      <c r="F3555" s="9">
        <v>89</v>
      </c>
      <c r="G3555" s="9">
        <v>1100</v>
      </c>
      <c r="H3555" s="5" t="s">
        <v>21</v>
      </c>
      <c r="I3555" s="5" t="s">
        <v>8956</v>
      </c>
      <c r="J3555" s="12" t="str">
        <f>HYPERLINK("https://www.boe.es/gazeta/dias/1802/11/02/pdfs/GMD-1802-89.pdf#page=4","Abrir facsímil")</f>
        <v>Abrir facsímil</v>
      </c>
      <c r="K3555" s="15" t="s">
        <v>23</v>
      </c>
    </row>
    <row r="3556" spans="1:11" ht="42" customHeight="1">
      <c r="A3556" s="4" t="s">
        <v>8957</v>
      </c>
      <c r="B3556" s="5" t="s">
        <v>8957</v>
      </c>
      <c r="C3556" s="5" t="s">
        <v>18</v>
      </c>
      <c r="D3556" s="5" t="s">
        <v>19</v>
      </c>
      <c r="E3556" s="5" t="s">
        <v>232</v>
      </c>
      <c r="F3556" s="9">
        <v>30</v>
      </c>
      <c r="G3556" s="9">
        <v>351</v>
      </c>
      <c r="H3556" s="5" t="s">
        <v>21</v>
      </c>
      <c r="I3556" s="5" t="s">
        <v>8958</v>
      </c>
      <c r="J3556" s="12" t="str">
        <f>HYPERLINK("https://www.boe.es/gazeta/dias/1802/04/13/pdfs/GMD-1802-30.pdf#page=7","Abrir facsímil")</f>
        <v>Abrir facsímil</v>
      </c>
      <c r="K3556" s="15" t="s">
        <v>23</v>
      </c>
    </row>
    <row r="3557" spans="1:11" ht="42" customHeight="1">
      <c r="A3557" s="4" t="s">
        <v>8959</v>
      </c>
      <c r="B3557" s="5" t="s">
        <v>8960</v>
      </c>
      <c r="C3557" s="5" t="s">
        <v>18</v>
      </c>
      <c r="D3557" s="5" t="s">
        <v>19</v>
      </c>
      <c r="E3557" s="5" t="s">
        <v>206</v>
      </c>
      <c r="F3557" s="9">
        <v>22</v>
      </c>
      <c r="G3557" s="9">
        <v>239</v>
      </c>
      <c r="H3557" s="5" t="s">
        <v>21</v>
      </c>
      <c r="I3557" s="5" t="s">
        <v>8961</v>
      </c>
      <c r="J3557" s="12" t="str">
        <f>HYPERLINK("https://www.boe.es/gazeta/dias/1802/03/16/pdfs/GMD-1802-22.pdf#page=7","Abrir facsímil")</f>
        <v>Abrir facsímil</v>
      </c>
      <c r="K3557" s="15" t="s">
        <v>23</v>
      </c>
    </row>
    <row r="3558" spans="1:11" ht="42" customHeight="1">
      <c r="A3558" s="4" t="s">
        <v>8962</v>
      </c>
      <c r="B3558" s="5" t="s">
        <v>8963</v>
      </c>
      <c r="C3558" s="5" t="s">
        <v>18</v>
      </c>
      <c r="D3558" s="5" t="s">
        <v>19</v>
      </c>
      <c r="E3558" s="5" t="s">
        <v>20</v>
      </c>
      <c r="F3558" s="9">
        <v>84</v>
      </c>
      <c r="G3558" s="9">
        <v>1041</v>
      </c>
      <c r="H3558" s="5" t="s">
        <v>21</v>
      </c>
      <c r="I3558" s="5" t="s">
        <v>8964</v>
      </c>
      <c r="J3558" s="12" t="str">
        <f>HYPERLINK("https://www.boe.es/gazeta/dias/1802/10/15/pdfs/GMD-1802-84.pdf#page=9","Abrir facsímil")</f>
        <v>Abrir facsímil</v>
      </c>
      <c r="K3558" s="15" t="s">
        <v>23</v>
      </c>
    </row>
    <row r="3559" spans="1:11" ht="42" customHeight="1">
      <c r="A3559" s="4" t="s">
        <v>8965</v>
      </c>
      <c r="B3559" s="5" t="s">
        <v>8966</v>
      </c>
      <c r="C3559" s="5" t="s">
        <v>35</v>
      </c>
      <c r="D3559" s="5" t="s">
        <v>36</v>
      </c>
      <c r="E3559" s="5" t="s">
        <v>133</v>
      </c>
      <c r="F3559" s="9">
        <v>33</v>
      </c>
      <c r="G3559" s="9">
        <v>386</v>
      </c>
      <c r="H3559" s="5" t="s">
        <v>21</v>
      </c>
      <c r="I3559" s="5" t="s">
        <v>8967</v>
      </c>
      <c r="J3559" s="12" t="str">
        <f>HYPERLINK("https://www.boe.es/gazeta/dias/1802/04/23/pdfs/GMD-1802-33.pdf#page=6","Abrir facsímil")</f>
        <v>Abrir facsímil</v>
      </c>
      <c r="K3559" s="15" t="s">
        <v>23</v>
      </c>
    </row>
    <row r="3560" spans="1:11" ht="42" customHeight="1">
      <c r="A3560" s="4" t="s">
        <v>8968</v>
      </c>
      <c r="B3560" s="5" t="s">
        <v>8969</v>
      </c>
      <c r="C3560" s="5" t="s">
        <v>18</v>
      </c>
      <c r="D3560" s="5" t="s">
        <v>19</v>
      </c>
      <c r="E3560" s="5" t="s">
        <v>20</v>
      </c>
      <c r="F3560" s="9">
        <v>84</v>
      </c>
      <c r="G3560" s="9">
        <v>1047</v>
      </c>
      <c r="H3560" s="5" t="s">
        <v>21</v>
      </c>
      <c r="I3560" s="5" t="s">
        <v>8970</v>
      </c>
      <c r="J3560" s="12" t="str">
        <f>HYPERLINK("https://www.boe.es/gazeta/dias/1802/10/15/pdfs/GMD-1802-84.pdf#page=15","Abrir facsímil")</f>
        <v>Abrir facsímil</v>
      </c>
      <c r="K3560" s="15" t="s">
        <v>23</v>
      </c>
    </row>
    <row r="3561" spans="1:11" ht="42" customHeight="1">
      <c r="A3561" s="4" t="s">
        <v>8971</v>
      </c>
      <c r="B3561" s="5" t="s">
        <v>8972</v>
      </c>
      <c r="C3561" s="5" t="s">
        <v>55</v>
      </c>
      <c r="D3561" s="5" t="s">
        <v>56</v>
      </c>
      <c r="E3561" s="5" t="s">
        <v>655</v>
      </c>
      <c r="F3561" s="9">
        <v>46</v>
      </c>
      <c r="G3561" s="9">
        <v>560</v>
      </c>
      <c r="H3561" s="5" t="s">
        <v>21</v>
      </c>
      <c r="I3561" s="5" t="s">
        <v>8973</v>
      </c>
      <c r="J3561" s="12" t="str">
        <f>HYPERLINK("https://www.boe.es/gazeta/dias/1802/06/08/pdfs/GMD-1802-46.pdf#page=12","Abrir facsímil")</f>
        <v>Abrir facsímil</v>
      </c>
      <c r="K3561" s="15" t="s">
        <v>23</v>
      </c>
    </row>
    <row r="3562" spans="1:11" ht="42" customHeight="1">
      <c r="A3562" s="4" t="s">
        <v>8971</v>
      </c>
      <c r="B3562" s="5" t="s">
        <v>8972</v>
      </c>
      <c r="C3562" s="5" t="s">
        <v>29</v>
      </c>
      <c r="D3562" s="5" t="s">
        <v>30</v>
      </c>
      <c r="E3562" s="5" t="s">
        <v>181</v>
      </c>
      <c r="F3562" s="9">
        <v>55</v>
      </c>
      <c r="G3562" s="9">
        <v>667</v>
      </c>
      <c r="H3562" s="5" t="s">
        <v>21</v>
      </c>
      <c r="I3562" s="5" t="s">
        <v>8974</v>
      </c>
      <c r="J3562" s="12" t="str">
        <f>HYPERLINK("https://www.boe.es/gazeta/dias/1802/07/09/pdfs/GMD-1802-55.pdf#page=11","Abrir facsímil")</f>
        <v>Abrir facsímil</v>
      </c>
      <c r="K3562" s="15" t="s">
        <v>23</v>
      </c>
    </row>
    <row r="3563" spans="1:11" ht="42" customHeight="1">
      <c r="A3563" s="4" t="s">
        <v>8975</v>
      </c>
      <c r="B3563" s="5" t="s">
        <v>8976</v>
      </c>
      <c r="C3563" s="5" t="s">
        <v>29</v>
      </c>
      <c r="D3563" s="5" t="s">
        <v>30</v>
      </c>
      <c r="E3563" s="5" t="s">
        <v>152</v>
      </c>
      <c r="F3563" s="9">
        <v>25</v>
      </c>
      <c r="G3563" s="9">
        <v>286</v>
      </c>
      <c r="H3563" s="5" t="s">
        <v>21</v>
      </c>
      <c r="I3563" s="5" t="s">
        <v>8977</v>
      </c>
      <c r="J3563" s="12" t="str">
        <f>HYPERLINK("https://www.boe.es/gazeta/dias/1802/03/26/pdfs/GMD-1802-25.pdf#page=10","Abrir facsímil")</f>
        <v>Abrir facsímil</v>
      </c>
      <c r="K3563" s="15" t="s">
        <v>23</v>
      </c>
    </row>
    <row r="3564" spans="1:11" ht="42" customHeight="1">
      <c r="A3564" s="4" t="s">
        <v>8978</v>
      </c>
      <c r="B3564" s="5" t="s">
        <v>8979</v>
      </c>
      <c r="C3564" s="5" t="s">
        <v>42</v>
      </c>
      <c r="D3564" s="5" t="s">
        <v>43</v>
      </c>
      <c r="E3564" s="5" t="s">
        <v>44</v>
      </c>
      <c r="F3564" s="9">
        <v>99</v>
      </c>
      <c r="G3564" s="9" t="s">
        <v>45</v>
      </c>
      <c r="H3564" s="5" t="s">
        <v>21</v>
      </c>
      <c r="I3564" s="5" t="s">
        <v>8980</v>
      </c>
      <c r="J3564" s="12" t="str">
        <f>HYPERLINK("https://www.boe.es/gazeta/dias/1802/12/07/pdfs/GMD-D-1802-99.pdf#page=14","Abrir facsímil")</f>
        <v>Abrir facsímil</v>
      </c>
      <c r="K3564" s="15" t="s">
        <v>23</v>
      </c>
    </row>
    <row r="3565" spans="1:11" ht="42" customHeight="1">
      <c r="A3565" s="4" t="s">
        <v>8981</v>
      </c>
      <c r="B3565" s="5" t="s">
        <v>8981</v>
      </c>
      <c r="C3565" s="5" t="s">
        <v>160</v>
      </c>
      <c r="D3565" s="5" t="s">
        <v>91</v>
      </c>
      <c r="E3565" s="5" t="s">
        <v>826</v>
      </c>
      <c r="F3565" s="9">
        <v>67</v>
      </c>
      <c r="G3565" s="9">
        <v>822</v>
      </c>
      <c r="H3565" s="5" t="s">
        <v>21</v>
      </c>
      <c r="I3565" s="5" t="s">
        <v>8982</v>
      </c>
      <c r="J3565" s="12" t="str">
        <f>HYPERLINK("https://www.boe.es/gazeta/dias/1802/08/17/pdfs/GMD-1802-67.pdf#page=10","Abrir facsímil")</f>
        <v>Abrir facsímil</v>
      </c>
      <c r="K3565" s="15" t="s">
        <v>23</v>
      </c>
    </row>
    <row r="3566" spans="1:11" ht="42" customHeight="1">
      <c r="A3566" s="4" t="s">
        <v>8983</v>
      </c>
      <c r="B3566" s="5" t="s">
        <v>8983</v>
      </c>
      <c r="C3566" s="5" t="s">
        <v>29</v>
      </c>
      <c r="D3566" s="5" t="s">
        <v>30</v>
      </c>
      <c r="E3566" s="5" t="s">
        <v>152</v>
      </c>
      <c r="F3566" s="9">
        <v>25</v>
      </c>
      <c r="G3566" s="9">
        <v>286</v>
      </c>
      <c r="H3566" s="5" t="s">
        <v>21</v>
      </c>
      <c r="I3566" s="5" t="s">
        <v>8984</v>
      </c>
      <c r="J3566" s="12" t="str">
        <f>HYPERLINK("https://www.boe.es/gazeta/dias/1802/03/26/pdfs/GMD-1802-25.pdf#page=10","Abrir facsímil")</f>
        <v>Abrir facsímil</v>
      </c>
      <c r="K3566" s="15" t="s">
        <v>23</v>
      </c>
    </row>
    <row r="3567" spans="1:11" ht="42" customHeight="1">
      <c r="A3567" s="4" t="s">
        <v>8985</v>
      </c>
      <c r="B3567" s="5" t="s">
        <v>8986</v>
      </c>
      <c r="C3567" s="5" t="s">
        <v>18</v>
      </c>
      <c r="D3567" s="5" t="s">
        <v>19</v>
      </c>
      <c r="E3567" s="5" t="s">
        <v>886</v>
      </c>
      <c r="F3567" s="9">
        <v>7</v>
      </c>
      <c r="G3567" s="9">
        <v>66</v>
      </c>
      <c r="H3567" s="5" t="s">
        <v>21</v>
      </c>
      <c r="I3567" s="5" t="s">
        <v>8987</v>
      </c>
      <c r="J3567" s="12" t="str">
        <f>HYPERLINK("https://www.boe.es/gazeta/dias/1802/01/22/pdfs/GMD-1802-7.pdf#page=6","Abrir facsímil")</f>
        <v>Abrir facsímil</v>
      </c>
      <c r="K3567" s="15" t="s">
        <v>23</v>
      </c>
    </row>
    <row r="3568" spans="1:11" ht="42" customHeight="1">
      <c r="A3568" s="4" t="s">
        <v>8988</v>
      </c>
      <c r="B3568" s="5" t="s">
        <v>8988</v>
      </c>
      <c r="C3568" s="5" t="s">
        <v>18</v>
      </c>
      <c r="D3568" s="5" t="s">
        <v>19</v>
      </c>
      <c r="E3568" s="5" t="s">
        <v>20</v>
      </c>
      <c r="F3568" s="9">
        <v>84</v>
      </c>
      <c r="G3568" s="9">
        <v>1043</v>
      </c>
      <c r="H3568" s="5" t="s">
        <v>21</v>
      </c>
      <c r="I3568" s="5" t="s">
        <v>8989</v>
      </c>
      <c r="J3568" s="12" t="str">
        <f>HYPERLINK("https://www.boe.es/gazeta/dias/1802/10/15/pdfs/GMD-1802-84.pdf#page=11","Abrir facsímil")</f>
        <v>Abrir facsímil</v>
      </c>
      <c r="K3568" s="15" t="s">
        <v>23</v>
      </c>
    </row>
    <row r="3569" spans="1:11" ht="42" customHeight="1">
      <c r="A3569" s="4" t="s">
        <v>8990</v>
      </c>
      <c r="B3569" s="5" t="s">
        <v>8990</v>
      </c>
      <c r="C3569" s="5" t="s">
        <v>18</v>
      </c>
      <c r="D3569" s="5" t="s">
        <v>19</v>
      </c>
      <c r="E3569" s="5" t="s">
        <v>49</v>
      </c>
      <c r="F3569" s="9">
        <v>83</v>
      </c>
      <c r="G3569" s="9">
        <v>1024</v>
      </c>
      <c r="H3569" s="5" t="s">
        <v>21</v>
      </c>
      <c r="I3569" s="5" t="s">
        <v>8991</v>
      </c>
      <c r="J3569" s="12" t="str">
        <f>HYPERLINK("https://www.boe.es/gazeta/dias/1802/10/12/pdfs/GMD-1802-83.pdf#page=12","Abrir facsímil")</f>
        <v>Abrir facsímil</v>
      </c>
      <c r="K3569" s="15" t="s">
        <v>23</v>
      </c>
    </row>
    <row r="3570" spans="1:11" ht="42" customHeight="1">
      <c r="A3570" s="4" t="s">
        <v>8992</v>
      </c>
      <c r="B3570" s="5" t="s">
        <v>8993</v>
      </c>
      <c r="C3570" s="5" t="s">
        <v>35</v>
      </c>
      <c r="D3570" s="5" t="s">
        <v>36</v>
      </c>
      <c r="E3570" s="5" t="s">
        <v>114</v>
      </c>
      <c r="F3570" s="9">
        <v>82</v>
      </c>
      <c r="G3570" s="9">
        <v>1006</v>
      </c>
      <c r="H3570" s="5" t="s">
        <v>21</v>
      </c>
      <c r="I3570" s="5" t="s">
        <v>8994</v>
      </c>
      <c r="J3570" s="12" t="str">
        <f>HYPERLINK("https://www.boe.es/gazeta/dias/1802/10/08/pdfs/GMD-1802-82.pdf#page=6","Abrir facsímil")</f>
        <v>Abrir facsímil</v>
      </c>
      <c r="K3570" s="15" t="s">
        <v>23</v>
      </c>
    </row>
    <row r="3571" spans="1:11" ht="42" customHeight="1">
      <c r="A3571" s="4" t="s">
        <v>8995</v>
      </c>
      <c r="B3571" s="5" t="s">
        <v>8996</v>
      </c>
      <c r="C3571" s="5" t="s">
        <v>35</v>
      </c>
      <c r="D3571" s="5" t="s">
        <v>36</v>
      </c>
      <c r="E3571" s="5" t="s">
        <v>99</v>
      </c>
      <c r="F3571" s="9">
        <v>86</v>
      </c>
      <c r="G3571" s="9">
        <v>1062</v>
      </c>
      <c r="H3571" s="5" t="s">
        <v>21</v>
      </c>
      <c r="I3571" s="5" t="s">
        <v>8997</v>
      </c>
      <c r="J3571" s="12" t="str">
        <f>HYPERLINK("https://www.boe.es/gazeta/dias/1802/10/22/pdfs/GMD-1802-86.pdf#page=2","Abrir facsímil")</f>
        <v>Abrir facsímil</v>
      </c>
      <c r="K3571" s="15" t="s">
        <v>23</v>
      </c>
    </row>
    <row r="3572" spans="1:11" ht="42" customHeight="1">
      <c r="A3572" s="4" t="s">
        <v>8998</v>
      </c>
      <c r="B3572" s="5" t="s">
        <v>8999</v>
      </c>
      <c r="C3572" s="5" t="s">
        <v>35</v>
      </c>
      <c r="D3572" s="5" t="s">
        <v>36</v>
      </c>
      <c r="E3572" s="5" t="s">
        <v>670</v>
      </c>
      <c r="F3572" s="9">
        <v>40</v>
      </c>
      <c r="G3572" s="9">
        <v>474</v>
      </c>
      <c r="H3572" s="5" t="s">
        <v>21</v>
      </c>
      <c r="I3572" s="5" t="s">
        <v>9000</v>
      </c>
      <c r="J3572" s="12" t="str">
        <f>HYPERLINK("https://www.boe.es/gazeta/dias/1802/05/18/pdfs/GMD-1802-40.pdf#page=2","Abrir facsímil")</f>
        <v>Abrir facsímil</v>
      </c>
      <c r="K3572" s="15" t="s">
        <v>23</v>
      </c>
    </row>
    <row r="3573" spans="1:11" ht="42" customHeight="1">
      <c r="A3573" s="4" t="s">
        <v>8998</v>
      </c>
      <c r="B3573" s="5" t="s">
        <v>8999</v>
      </c>
      <c r="C3573" s="5" t="s">
        <v>35</v>
      </c>
      <c r="D3573" s="5" t="s">
        <v>36</v>
      </c>
      <c r="E3573" s="5" t="s">
        <v>714</v>
      </c>
      <c r="F3573" s="9">
        <v>89</v>
      </c>
      <c r="G3573" s="9">
        <v>1097</v>
      </c>
      <c r="H3573" s="5" t="s">
        <v>21</v>
      </c>
      <c r="I3573" s="5" t="s">
        <v>9001</v>
      </c>
      <c r="J3573" s="12" t="str">
        <f>HYPERLINK("https://www.boe.es/gazeta/dias/1802/11/02/pdfs/GMD-1802-89.pdf#page=1","Abrir facsímil")</f>
        <v>Abrir facsímil</v>
      </c>
      <c r="K3573" s="15" t="s">
        <v>23</v>
      </c>
    </row>
    <row r="3574" spans="1:11" ht="42" customHeight="1">
      <c r="A3574" s="4" t="s">
        <v>9002</v>
      </c>
      <c r="B3574" s="5" t="s">
        <v>9003</v>
      </c>
      <c r="C3574" s="5" t="s">
        <v>55</v>
      </c>
      <c r="D3574" s="5" t="s">
        <v>56</v>
      </c>
      <c r="E3574" s="5" t="s">
        <v>1749</v>
      </c>
      <c r="F3574" s="9">
        <v>60</v>
      </c>
      <c r="G3574" s="9">
        <v>718</v>
      </c>
      <c r="H3574" s="5" t="s">
        <v>21</v>
      </c>
      <c r="I3574" s="5" t="s">
        <v>9004</v>
      </c>
      <c r="J3574" s="12" t="str">
        <f>HYPERLINK("https://www.boe.es/gazeta/dias/1802/07/23/pdfs/GMD-1802-60.pdf#page=2","Abrir facsímil")</f>
        <v>Abrir facsímil</v>
      </c>
      <c r="K3574" s="15" t="s">
        <v>23</v>
      </c>
    </row>
    <row r="3575" spans="1:11" ht="42" customHeight="1">
      <c r="A3575" s="4" t="s">
        <v>9005</v>
      </c>
      <c r="B3575" s="5" t="s">
        <v>9006</v>
      </c>
      <c r="C3575" s="5" t="s">
        <v>35</v>
      </c>
      <c r="D3575" s="5" t="s">
        <v>36</v>
      </c>
      <c r="E3575" s="5" t="s">
        <v>172</v>
      </c>
      <c r="F3575" s="9">
        <v>35</v>
      </c>
      <c r="G3575" s="9">
        <v>404</v>
      </c>
      <c r="H3575" s="5" t="s">
        <v>21</v>
      </c>
      <c r="I3575" s="5" t="s">
        <v>9007</v>
      </c>
      <c r="J3575" s="12" t="str">
        <f>HYPERLINK("https://www.boe.es/gazeta/dias/1802/04/30/pdfs/GMD-1802-35.pdf#page=4","Abrir facsímil")</f>
        <v>Abrir facsímil</v>
      </c>
      <c r="K3575" s="15" t="s">
        <v>23</v>
      </c>
    </row>
    <row r="3576" spans="1:11" ht="42" customHeight="1">
      <c r="A3576" s="4" t="s">
        <v>9008</v>
      </c>
      <c r="B3576" s="5" t="s">
        <v>9008</v>
      </c>
      <c r="C3576" s="5" t="s">
        <v>29</v>
      </c>
      <c r="D3576" s="5" t="s">
        <v>30</v>
      </c>
      <c r="E3576" s="5" t="s">
        <v>530</v>
      </c>
      <c r="F3576" s="9">
        <v>48</v>
      </c>
      <c r="G3576" s="9">
        <v>586</v>
      </c>
      <c r="H3576" s="5" t="s">
        <v>21</v>
      </c>
      <c r="I3576" s="5" t="s">
        <v>9009</v>
      </c>
      <c r="J3576" s="12" t="str">
        <f>HYPERLINK("https://www.boe.es/gazeta/dias/1802/06/15/pdfs/GMD-1802-48.pdf#page=10","Abrir facsímil")</f>
        <v>Abrir facsímil</v>
      </c>
      <c r="K3576" s="15" t="s">
        <v>23</v>
      </c>
    </row>
    <row r="3577" spans="1:11" ht="42" customHeight="1">
      <c r="A3577" s="4" t="s">
        <v>9010</v>
      </c>
      <c r="B3577" s="5" t="s">
        <v>9011</v>
      </c>
      <c r="C3577" s="5" t="s">
        <v>90</v>
      </c>
      <c r="D3577" s="5" t="s">
        <v>91</v>
      </c>
      <c r="E3577" s="5" t="s">
        <v>128</v>
      </c>
      <c r="F3577" s="9">
        <v>9</v>
      </c>
      <c r="G3577" s="9">
        <v>81</v>
      </c>
      <c r="H3577" s="5" t="s">
        <v>21</v>
      </c>
      <c r="I3577" s="5" t="s">
        <v>9012</v>
      </c>
      <c r="J3577" s="12" t="str">
        <f>HYPERLINK("https://www.boe.es/gazeta/dias/1802/01/29/pdfs/GMD-1802-9.pdf#page=1","Abrir facsímil")</f>
        <v>Abrir facsímil</v>
      </c>
      <c r="K3577" s="15" t="s">
        <v>23</v>
      </c>
    </row>
    <row r="3578" spans="1:11" ht="42" customHeight="1">
      <c r="A3578" s="4" t="s">
        <v>9013</v>
      </c>
      <c r="B3578" s="5" t="s">
        <v>9013</v>
      </c>
      <c r="C3578" s="5" t="s">
        <v>90</v>
      </c>
      <c r="D3578" s="5" t="s">
        <v>91</v>
      </c>
      <c r="E3578" s="5" t="s">
        <v>631</v>
      </c>
      <c r="F3578" s="9">
        <v>36</v>
      </c>
      <c r="G3578" s="9">
        <v>430</v>
      </c>
      <c r="H3578" s="5" t="s">
        <v>21</v>
      </c>
      <c r="I3578" s="5" t="s">
        <v>9014</v>
      </c>
      <c r="J3578" s="12" t="str">
        <f>HYPERLINK("https://www.boe.es/gazeta/dias/1802/05/04/pdfs/GMD-1802-36.pdf#page=10","Abrir facsímil")</f>
        <v>Abrir facsímil</v>
      </c>
      <c r="K3578" s="15" t="s">
        <v>23</v>
      </c>
    </row>
    <row r="3579" spans="1:11" ht="42" customHeight="1">
      <c r="A3579" s="4" t="s">
        <v>9015</v>
      </c>
      <c r="B3579" s="5" t="s">
        <v>9016</v>
      </c>
      <c r="C3579" s="5" t="s">
        <v>90</v>
      </c>
      <c r="D3579" s="5" t="s">
        <v>91</v>
      </c>
      <c r="E3579" s="5" t="s">
        <v>453</v>
      </c>
      <c r="F3579" s="9">
        <v>52</v>
      </c>
      <c r="G3579" s="9">
        <v>629</v>
      </c>
      <c r="H3579" s="5" t="s">
        <v>21</v>
      </c>
      <c r="I3579" s="5" t="s">
        <v>9017</v>
      </c>
      <c r="J3579" s="12" t="str">
        <f>HYPERLINK("https://www.boe.es/gazeta/dias/1802/06/29/pdfs/GMD-1802-52.pdf#page=5","Abrir facsímil")</f>
        <v>Abrir facsímil</v>
      </c>
      <c r="K3579" s="15" t="s">
        <v>23</v>
      </c>
    </row>
    <row r="3580" spans="1:11" ht="42" customHeight="1">
      <c r="A3580" s="4" t="s">
        <v>9018</v>
      </c>
      <c r="B3580" s="5" t="s">
        <v>9018</v>
      </c>
      <c r="C3580" s="5" t="s">
        <v>160</v>
      </c>
      <c r="D3580" s="5" t="s">
        <v>91</v>
      </c>
      <c r="E3580" s="5" t="s">
        <v>170</v>
      </c>
      <c r="F3580" s="9">
        <v>28</v>
      </c>
      <c r="G3580" s="9">
        <v>323</v>
      </c>
      <c r="H3580" s="5" t="s">
        <v>21</v>
      </c>
      <c r="I3580" s="5" t="s">
        <v>9019</v>
      </c>
      <c r="J3580" s="12" t="str">
        <f>HYPERLINK("https://www.boe.es/gazeta/dias/1802/04/06/pdfs/GMD-1802-28.pdf#page=3","Abrir facsímil")</f>
        <v>Abrir facsímil</v>
      </c>
      <c r="K3580" s="15" t="s">
        <v>23</v>
      </c>
    </row>
    <row r="3581" spans="1:11" ht="42" customHeight="1">
      <c r="A3581" s="4" t="s">
        <v>9020</v>
      </c>
      <c r="B3581" s="5" t="s">
        <v>9020</v>
      </c>
      <c r="C3581" s="5" t="s">
        <v>29</v>
      </c>
      <c r="D3581" s="5" t="s">
        <v>30</v>
      </c>
      <c r="E3581" s="5" t="s">
        <v>73</v>
      </c>
      <c r="F3581" s="9">
        <v>102</v>
      </c>
      <c r="G3581" s="9">
        <v>1249</v>
      </c>
      <c r="H3581" s="5" t="s">
        <v>21</v>
      </c>
      <c r="I3581" s="5" t="s">
        <v>9021</v>
      </c>
      <c r="J3581" s="12" t="str">
        <f>HYPERLINK("https://www.boe.es/gazeta/dias/1802/12/17/pdfs/GMD-1802-102.pdf#page=5","Abrir facsímil")</f>
        <v>Abrir facsímil</v>
      </c>
      <c r="K3581" s="15" t="s">
        <v>23</v>
      </c>
    </row>
    <row r="3582" spans="1:11" ht="42" customHeight="1">
      <c r="A3582" s="4" t="s">
        <v>9022</v>
      </c>
      <c r="B3582" s="5" t="s">
        <v>9022</v>
      </c>
      <c r="C3582" s="5" t="s">
        <v>55</v>
      </c>
      <c r="D3582" s="5" t="s">
        <v>56</v>
      </c>
      <c r="E3582" s="5" t="s">
        <v>146</v>
      </c>
      <c r="F3582" s="9">
        <v>42</v>
      </c>
      <c r="G3582" s="9">
        <v>508</v>
      </c>
      <c r="H3582" s="5" t="s">
        <v>21</v>
      </c>
      <c r="I3582" s="5" t="s">
        <v>9023</v>
      </c>
      <c r="J3582" s="12" t="str">
        <f>HYPERLINK("https://www.boe.es/gazeta/dias/1802/05/25/pdfs/GMD-1802-42.pdf#page=12","Abrir facsímil")</f>
        <v>Abrir facsímil</v>
      </c>
      <c r="K3582" s="15" t="s">
        <v>23</v>
      </c>
    </row>
    <row r="3583" spans="1:11" ht="42" customHeight="1">
      <c r="A3583" s="4" t="s">
        <v>9024</v>
      </c>
      <c r="B3583" s="5" t="s">
        <v>9025</v>
      </c>
      <c r="C3583" s="5" t="s">
        <v>35</v>
      </c>
      <c r="D3583" s="5" t="s">
        <v>36</v>
      </c>
      <c r="E3583" s="5" t="s">
        <v>1185</v>
      </c>
      <c r="F3583" s="9">
        <v>93</v>
      </c>
      <c r="G3583" s="9">
        <v>1141</v>
      </c>
      <c r="H3583" s="5" t="s">
        <v>21</v>
      </c>
      <c r="I3583" s="5" t="s">
        <v>9026</v>
      </c>
      <c r="J3583" s="12" t="str">
        <f>HYPERLINK("https://www.boe.es/gazeta/dias/1802/11/16/pdfs/GMD-1802-93.pdf#page=1","Abrir facsímil")</f>
        <v>Abrir facsímil</v>
      </c>
      <c r="K3583" s="15" t="s">
        <v>23</v>
      </c>
    </row>
    <row r="3584" spans="1:11" ht="42" customHeight="1">
      <c r="A3584" s="4" t="s">
        <v>9027</v>
      </c>
      <c r="B3584" s="5" t="s">
        <v>9027</v>
      </c>
      <c r="C3584" s="5" t="s">
        <v>35</v>
      </c>
      <c r="D3584" s="5" t="s">
        <v>36</v>
      </c>
      <c r="E3584" s="5" t="s">
        <v>385</v>
      </c>
      <c r="F3584" s="9">
        <v>70</v>
      </c>
      <c r="G3584" s="9">
        <v>856</v>
      </c>
      <c r="H3584" s="5" t="s">
        <v>21</v>
      </c>
      <c r="I3584" s="5" t="s">
        <v>9028</v>
      </c>
      <c r="J3584" s="12" t="str">
        <f>HYPERLINK("https://www.boe.es/gazeta/dias/1802/08/27/pdfs/GMD-1802-70.pdf#page=4","Abrir facsímil")</f>
        <v>Abrir facsímil</v>
      </c>
      <c r="K3584" s="15" t="s">
        <v>23</v>
      </c>
    </row>
    <row r="3585" spans="1:11" ht="42" customHeight="1">
      <c r="A3585" s="4" t="s">
        <v>9029</v>
      </c>
      <c r="B3585" s="5" t="s">
        <v>9029</v>
      </c>
      <c r="C3585" s="5" t="s">
        <v>18</v>
      </c>
      <c r="D3585" s="5" t="s">
        <v>19</v>
      </c>
      <c r="E3585" s="5" t="s">
        <v>1374</v>
      </c>
      <c r="F3585" s="9">
        <v>71</v>
      </c>
      <c r="G3585" s="9">
        <v>876</v>
      </c>
      <c r="H3585" s="5" t="s">
        <v>21</v>
      </c>
      <c r="I3585" s="5" t="s">
        <v>9030</v>
      </c>
      <c r="J3585" s="12" t="str">
        <f>HYPERLINK("https://www.boe.es/gazeta/dias/1802/08/31/pdfs/GMD-1802-71.pdf#page=12","Abrir facsímil")</f>
        <v>Abrir facsímil</v>
      </c>
      <c r="K3585" s="15" t="s">
        <v>23</v>
      </c>
    </row>
    <row r="3586" spans="1:11" ht="42" customHeight="1">
      <c r="A3586" s="4" t="s">
        <v>9031</v>
      </c>
      <c r="B3586" s="5" t="s">
        <v>9032</v>
      </c>
      <c r="C3586" s="5" t="s">
        <v>29</v>
      </c>
      <c r="D3586" s="5" t="s">
        <v>30</v>
      </c>
      <c r="E3586" s="5" t="s">
        <v>165</v>
      </c>
      <c r="F3586" s="9">
        <v>3</v>
      </c>
      <c r="G3586" s="9">
        <v>25</v>
      </c>
      <c r="H3586" s="5" t="s">
        <v>21</v>
      </c>
      <c r="I3586" s="5" t="s">
        <v>9033</v>
      </c>
      <c r="J3586" s="12" t="str">
        <f>HYPERLINK("https://www.boe.es/gazeta/dias/1802/01/08/pdfs/GMD-1802-3.pdf#page=5","Abrir facsímil")</f>
        <v>Abrir facsímil</v>
      </c>
      <c r="K3586" s="15" t="s">
        <v>23</v>
      </c>
    </row>
    <row r="3587" spans="1:11" ht="42" customHeight="1">
      <c r="A3587" s="4" t="s">
        <v>9034</v>
      </c>
      <c r="B3587" s="5" t="s">
        <v>9034</v>
      </c>
      <c r="C3587" s="5" t="s">
        <v>29</v>
      </c>
      <c r="D3587" s="5" t="s">
        <v>30</v>
      </c>
      <c r="E3587" s="5" t="s">
        <v>635</v>
      </c>
      <c r="F3587" s="9">
        <v>47</v>
      </c>
      <c r="G3587" s="9">
        <v>567</v>
      </c>
      <c r="H3587" s="5" t="s">
        <v>21</v>
      </c>
      <c r="I3587" s="5" t="s">
        <v>9035</v>
      </c>
      <c r="J3587" s="12" t="str">
        <f>HYPERLINK("https://www.boe.es/gazeta/dias/1802/06/11/pdfs/GMD-1802-47.pdf#page=3","Abrir facsímil")</f>
        <v>Abrir facsímil</v>
      </c>
      <c r="K3587" s="15" t="s">
        <v>23</v>
      </c>
    </row>
    <row r="3588" spans="1:11" ht="42" customHeight="1">
      <c r="A3588" s="4" t="s">
        <v>9036</v>
      </c>
      <c r="B3588" s="5" t="s">
        <v>9036</v>
      </c>
      <c r="C3588" s="5" t="s">
        <v>18</v>
      </c>
      <c r="D3588" s="5" t="s">
        <v>19</v>
      </c>
      <c r="E3588" s="5" t="s">
        <v>49</v>
      </c>
      <c r="F3588" s="9">
        <v>83</v>
      </c>
      <c r="G3588" s="9">
        <v>1026</v>
      </c>
      <c r="H3588" s="5" t="s">
        <v>21</v>
      </c>
      <c r="I3588" s="5" t="s">
        <v>9037</v>
      </c>
      <c r="J3588" s="12" t="str">
        <f>HYPERLINK("https://www.boe.es/gazeta/dias/1802/10/12/pdfs/GMD-1802-83.pdf#page=14","Abrir facsímil")</f>
        <v>Abrir facsímil</v>
      </c>
      <c r="K3588" s="15" t="s">
        <v>23</v>
      </c>
    </row>
    <row r="3589" spans="1:11" ht="42" customHeight="1">
      <c r="A3589" s="4" t="s">
        <v>9038</v>
      </c>
      <c r="B3589" s="5" t="s">
        <v>9038</v>
      </c>
      <c r="C3589" s="5" t="s">
        <v>29</v>
      </c>
      <c r="D3589" s="5" t="s">
        <v>30</v>
      </c>
      <c r="E3589" s="5" t="s">
        <v>73</v>
      </c>
      <c r="F3589" s="9">
        <v>102</v>
      </c>
      <c r="G3589" s="9">
        <v>1249</v>
      </c>
      <c r="H3589" s="5" t="s">
        <v>21</v>
      </c>
      <c r="I3589" s="5" t="s">
        <v>9039</v>
      </c>
      <c r="J3589" s="12" t="str">
        <f>HYPERLINK("https://www.boe.es/gazeta/dias/1802/12/17/pdfs/GMD-1802-102.pdf#page=5","Abrir facsímil")</f>
        <v>Abrir facsímil</v>
      </c>
      <c r="K3589" s="15" t="s">
        <v>23</v>
      </c>
    </row>
    <row r="3590" spans="1:11" ht="42" customHeight="1">
      <c r="A3590" s="4" t="s">
        <v>9040</v>
      </c>
      <c r="B3590" s="5" t="s">
        <v>9040</v>
      </c>
      <c r="C3590" s="5" t="s">
        <v>160</v>
      </c>
      <c r="D3590" s="5" t="s">
        <v>91</v>
      </c>
      <c r="E3590" s="5" t="s">
        <v>886</v>
      </c>
      <c r="F3590" s="9">
        <v>7</v>
      </c>
      <c r="G3590" s="9">
        <v>67</v>
      </c>
      <c r="H3590" s="5" t="s">
        <v>21</v>
      </c>
      <c r="I3590" s="5" t="s">
        <v>9041</v>
      </c>
      <c r="J3590" s="12" t="str">
        <f>HYPERLINK("https://www.boe.es/gazeta/dias/1802/01/22/pdfs/GMD-1802-7.pdf#page=7","Abrir facsímil")</f>
        <v>Abrir facsímil</v>
      </c>
      <c r="K3590" s="15" t="s">
        <v>23</v>
      </c>
    </row>
    <row r="3591" spans="1:11" ht="42" customHeight="1">
      <c r="A3591" s="4" t="s">
        <v>9042</v>
      </c>
      <c r="B3591" s="5" t="s">
        <v>9043</v>
      </c>
      <c r="C3591" s="5" t="s">
        <v>29</v>
      </c>
      <c r="D3591" s="5" t="s">
        <v>30</v>
      </c>
      <c r="E3591" s="5" t="s">
        <v>131</v>
      </c>
      <c r="F3591" s="9">
        <v>11</v>
      </c>
      <c r="G3591" s="9">
        <v>107</v>
      </c>
      <c r="H3591" s="5" t="s">
        <v>21</v>
      </c>
      <c r="I3591" s="5" t="s">
        <v>9044</v>
      </c>
      <c r="J3591" s="12" t="str">
        <f>HYPERLINK("https://www.boe.es/gazeta/dias/1802/02/05/pdfs/GMD-1802-11.pdf#page=3","Abrir facsímil")</f>
        <v>Abrir facsímil</v>
      </c>
      <c r="K3591" s="15" t="s">
        <v>23</v>
      </c>
    </row>
    <row r="3592" spans="1:11" ht="42" customHeight="1">
      <c r="A3592" s="4" t="s">
        <v>9042</v>
      </c>
      <c r="B3592" s="5" t="s">
        <v>9043</v>
      </c>
      <c r="C3592" s="5" t="s">
        <v>90</v>
      </c>
      <c r="D3592" s="5" t="s">
        <v>91</v>
      </c>
      <c r="E3592" s="5" t="s">
        <v>706</v>
      </c>
      <c r="F3592" s="9">
        <v>80</v>
      </c>
      <c r="G3592" s="9">
        <v>981</v>
      </c>
      <c r="H3592" s="5" t="s">
        <v>21</v>
      </c>
      <c r="I3592" s="5" t="s">
        <v>9045</v>
      </c>
      <c r="J3592" s="12" t="str">
        <f>HYPERLINK("https://www.boe.es/gazeta/dias/1802/10/01/pdfs/GMD-1802-80.pdf#page=5","Abrir facsímil")</f>
        <v>Abrir facsímil</v>
      </c>
      <c r="K3592" s="15" t="s">
        <v>23</v>
      </c>
    </row>
    <row r="3593" spans="1:11" ht="42" customHeight="1">
      <c r="A3593" s="4" t="s">
        <v>9046</v>
      </c>
      <c r="B3593" s="5" t="s">
        <v>9047</v>
      </c>
      <c r="C3593" s="5" t="s">
        <v>29</v>
      </c>
      <c r="D3593" s="5" t="s">
        <v>30</v>
      </c>
      <c r="E3593" s="5" t="s">
        <v>92</v>
      </c>
      <c r="F3593" s="9">
        <v>29</v>
      </c>
      <c r="G3593" s="9">
        <v>342</v>
      </c>
      <c r="H3593" s="5" t="s">
        <v>21</v>
      </c>
      <c r="I3593" s="5" t="s">
        <v>9048</v>
      </c>
      <c r="J3593" s="12" t="str">
        <f>HYPERLINK("https://www.boe.es/gazeta/dias/1802/04/09/pdfs/GMD-1802-29.pdf#page=10","Abrir facsímil")</f>
        <v>Abrir facsímil</v>
      </c>
      <c r="K3593" s="15" t="s">
        <v>23</v>
      </c>
    </row>
    <row r="3594" spans="1:11" ht="42" customHeight="1">
      <c r="A3594" s="4" t="s">
        <v>9049</v>
      </c>
      <c r="B3594" s="5" t="s">
        <v>9050</v>
      </c>
      <c r="C3594" s="5" t="s">
        <v>29</v>
      </c>
      <c r="D3594" s="5" t="s">
        <v>30</v>
      </c>
      <c r="E3594" s="5" t="s">
        <v>247</v>
      </c>
      <c r="F3594" s="9">
        <v>14</v>
      </c>
      <c r="G3594" s="9">
        <v>145</v>
      </c>
      <c r="H3594" s="5" t="s">
        <v>21</v>
      </c>
      <c r="I3594" s="5" t="s">
        <v>9051</v>
      </c>
      <c r="J3594" s="12" t="str">
        <f>HYPERLINK("https://www.boe.es/gazeta/dias/1802/02/16/pdfs/GMD-1802-14.pdf#page=9","Abrir facsímil")</f>
        <v>Abrir facsímil</v>
      </c>
      <c r="K3594" s="15" t="s">
        <v>23</v>
      </c>
    </row>
    <row r="3595" spans="1:11" ht="42" customHeight="1">
      <c r="A3595" s="4" t="s">
        <v>9052</v>
      </c>
      <c r="B3595" s="5" t="s">
        <v>9053</v>
      </c>
      <c r="C3595" s="5" t="s">
        <v>42</v>
      </c>
      <c r="D3595" s="5" t="s">
        <v>43</v>
      </c>
      <c r="E3595" s="5" t="s">
        <v>44</v>
      </c>
      <c r="F3595" s="9">
        <v>99</v>
      </c>
      <c r="G3595" s="9" t="s">
        <v>314</v>
      </c>
      <c r="H3595" s="5" t="s">
        <v>21</v>
      </c>
      <c r="I3595" s="5" t="s">
        <v>9054</v>
      </c>
      <c r="J3595" s="12" t="str">
        <f>HYPERLINK("https://www.boe.es/gazeta/dias/1802/12/07/pdfs/GMD-D-1802-99.pdf#page=2","Abrir facsímil")</f>
        <v>Abrir facsímil</v>
      </c>
      <c r="K3595" s="15" t="s">
        <v>23</v>
      </c>
    </row>
    <row r="3596" spans="1:11" ht="42" customHeight="1">
      <c r="A3596" s="4" t="s">
        <v>9055</v>
      </c>
      <c r="B3596" s="5" t="s">
        <v>9056</v>
      </c>
      <c r="C3596" s="5" t="s">
        <v>160</v>
      </c>
      <c r="D3596" s="5" t="s">
        <v>91</v>
      </c>
      <c r="E3596" s="5" t="s">
        <v>670</v>
      </c>
      <c r="F3596" s="9">
        <v>40</v>
      </c>
      <c r="G3596" s="9">
        <v>484</v>
      </c>
      <c r="H3596" s="5" t="s">
        <v>21</v>
      </c>
      <c r="I3596" s="5" t="s">
        <v>9057</v>
      </c>
      <c r="J3596" s="12" t="str">
        <f>HYPERLINK("https://www.boe.es/gazeta/dias/1802/05/18/pdfs/GMD-1802-40.pdf#page=12","Abrir facsímil")</f>
        <v>Abrir facsímil</v>
      </c>
      <c r="K3596" s="15" t="s">
        <v>23</v>
      </c>
    </row>
    <row r="3597" spans="1:11" ht="42" customHeight="1">
      <c r="A3597" s="4" t="s">
        <v>9058</v>
      </c>
      <c r="B3597" s="5" t="s">
        <v>9059</v>
      </c>
      <c r="C3597" s="5" t="s">
        <v>35</v>
      </c>
      <c r="D3597" s="5" t="s">
        <v>36</v>
      </c>
      <c r="E3597" s="5" t="s">
        <v>745</v>
      </c>
      <c r="F3597" s="9">
        <v>92</v>
      </c>
      <c r="G3597" s="9">
        <v>1134</v>
      </c>
      <c r="H3597" s="5" t="s">
        <v>21</v>
      </c>
      <c r="I3597" s="5" t="s">
        <v>9060</v>
      </c>
      <c r="J3597" s="12" t="str">
        <f>HYPERLINK("https://www.boe.es/gazeta/dias/1802/11/12/pdfs/GMD-1802-92.pdf#page=2","Abrir facsímil")</f>
        <v>Abrir facsímil</v>
      </c>
      <c r="K3597" s="15" t="s">
        <v>23</v>
      </c>
    </row>
    <row r="3598" spans="1:11" ht="42" customHeight="1">
      <c r="A3598" s="4" t="s">
        <v>9061</v>
      </c>
      <c r="B3598" s="5" t="s">
        <v>9062</v>
      </c>
      <c r="C3598" s="5" t="s">
        <v>29</v>
      </c>
      <c r="D3598" s="5" t="s">
        <v>30</v>
      </c>
      <c r="E3598" s="5" t="s">
        <v>92</v>
      </c>
      <c r="F3598" s="9">
        <v>29</v>
      </c>
      <c r="G3598" s="9">
        <v>336</v>
      </c>
      <c r="H3598" s="5" t="s">
        <v>21</v>
      </c>
      <c r="I3598" s="5" t="s">
        <v>9063</v>
      </c>
      <c r="J3598" s="12" t="str">
        <f>HYPERLINK("https://www.boe.es/gazeta/dias/1802/04/09/pdfs/GMD-1802-29.pdf#page=4","Abrir facsímil")</f>
        <v>Abrir facsímil</v>
      </c>
      <c r="K3598" s="15" t="s">
        <v>23</v>
      </c>
    </row>
    <row r="3599" spans="1:11" ht="42" customHeight="1">
      <c r="A3599" s="4" t="s">
        <v>9064</v>
      </c>
      <c r="B3599" s="5" t="s">
        <v>9065</v>
      </c>
      <c r="C3599" s="5" t="s">
        <v>35</v>
      </c>
      <c r="D3599" s="5" t="s">
        <v>36</v>
      </c>
      <c r="E3599" s="5" t="s">
        <v>109</v>
      </c>
      <c r="F3599" s="9">
        <v>10</v>
      </c>
      <c r="G3599" s="9">
        <v>95</v>
      </c>
      <c r="H3599" s="5" t="s">
        <v>21</v>
      </c>
      <c r="I3599" s="5" t="s">
        <v>9066</v>
      </c>
      <c r="J3599" s="12" t="str">
        <f>HYPERLINK("https://www.boe.es/gazeta/dias/1802/02/02/pdfs/GMD-1802-10.pdf#page=3","Abrir facsímil")</f>
        <v>Abrir facsímil</v>
      </c>
      <c r="K3599" s="15" t="s">
        <v>23</v>
      </c>
    </row>
    <row r="3600" spans="1:11" ht="42" customHeight="1">
      <c r="A3600" s="4" t="s">
        <v>9067</v>
      </c>
      <c r="B3600" s="5" t="s">
        <v>9068</v>
      </c>
      <c r="C3600" s="5" t="s">
        <v>18</v>
      </c>
      <c r="D3600" s="5" t="s">
        <v>19</v>
      </c>
      <c r="E3600" s="5" t="s">
        <v>192</v>
      </c>
      <c r="F3600" s="9">
        <v>53</v>
      </c>
      <c r="G3600" s="9">
        <v>644</v>
      </c>
      <c r="H3600" s="5" t="s">
        <v>21</v>
      </c>
      <c r="I3600" s="5" t="s">
        <v>9069</v>
      </c>
      <c r="J3600" s="12" t="str">
        <f>HYPERLINK("https://www.boe.es/gazeta/dias/1802/07/02/pdfs/GMD-1802-53.pdf#page=12","Abrir facsímil")</f>
        <v>Abrir facsímil</v>
      </c>
      <c r="K3600" s="15" t="s">
        <v>23</v>
      </c>
    </row>
    <row r="3601" spans="1:11" ht="42" customHeight="1">
      <c r="A3601" s="4" t="s">
        <v>9070</v>
      </c>
      <c r="B3601" s="5" t="s">
        <v>9071</v>
      </c>
      <c r="C3601" s="5" t="s">
        <v>18</v>
      </c>
      <c r="D3601" s="5" t="s">
        <v>19</v>
      </c>
      <c r="E3601" s="5" t="s">
        <v>678</v>
      </c>
      <c r="F3601" s="9">
        <v>15</v>
      </c>
      <c r="G3601" s="9">
        <v>160</v>
      </c>
      <c r="H3601" s="5" t="s">
        <v>21</v>
      </c>
      <c r="I3601" s="5" t="s">
        <v>9072</v>
      </c>
      <c r="J3601" s="12" t="str">
        <f>HYPERLINK("https://www.boe.es/gazeta/dias/1802/02/19/pdfs/GMD-1802-15.pdf#page=12","Abrir facsímil")</f>
        <v>Abrir facsímil</v>
      </c>
      <c r="K3601" s="15" t="s">
        <v>23</v>
      </c>
    </row>
    <row r="3602" spans="1:11" ht="42" customHeight="1">
      <c r="A3602" s="4" t="s">
        <v>9070</v>
      </c>
      <c r="B3602" s="5" t="s">
        <v>9071</v>
      </c>
      <c r="C3602" s="5" t="s">
        <v>18</v>
      </c>
      <c r="D3602" s="5" t="s">
        <v>19</v>
      </c>
      <c r="E3602" s="5" t="s">
        <v>299</v>
      </c>
      <c r="F3602" s="9">
        <v>19</v>
      </c>
      <c r="G3602" s="9">
        <v>211</v>
      </c>
      <c r="H3602" s="5" t="s">
        <v>21</v>
      </c>
      <c r="I3602" s="5" t="s">
        <v>9073</v>
      </c>
      <c r="J3602" s="12" t="str">
        <f>HYPERLINK("https://www.boe.es/gazeta/dias/1802/03/05/pdfs/GMD-1802-19.pdf#page=11","Abrir facsímil")</f>
        <v>Abrir facsímil</v>
      </c>
      <c r="K3602" s="15" t="s">
        <v>23</v>
      </c>
    </row>
    <row r="3603" spans="1:11" ht="42" customHeight="1">
      <c r="A3603" s="4" t="s">
        <v>9070</v>
      </c>
      <c r="B3603" s="5" t="s">
        <v>9071</v>
      </c>
      <c r="C3603" s="5" t="s">
        <v>55</v>
      </c>
      <c r="D3603" s="5" t="s">
        <v>56</v>
      </c>
      <c r="E3603" s="5" t="s">
        <v>1051</v>
      </c>
      <c r="F3603" s="9">
        <v>43</v>
      </c>
      <c r="G3603" s="9">
        <v>520</v>
      </c>
      <c r="H3603" s="5" t="s">
        <v>21</v>
      </c>
      <c r="I3603" s="5" t="s">
        <v>9074</v>
      </c>
      <c r="J3603" s="12" t="str">
        <f>HYPERLINK("https://www.boe.es/gazeta/dias/1802/05/28/pdfs/GMD-1802-43.pdf#page=12","Abrir facsímil")</f>
        <v>Abrir facsímil</v>
      </c>
      <c r="K3603" s="15" t="s">
        <v>23</v>
      </c>
    </row>
    <row r="3604" spans="1:11" ht="42" customHeight="1">
      <c r="A3604" s="4" t="s">
        <v>9070</v>
      </c>
      <c r="B3604" s="5" t="s">
        <v>9071</v>
      </c>
      <c r="C3604" s="5" t="s">
        <v>18</v>
      </c>
      <c r="D3604" s="5" t="s">
        <v>19</v>
      </c>
      <c r="E3604" s="5" t="s">
        <v>749</v>
      </c>
      <c r="F3604" s="9">
        <v>97</v>
      </c>
      <c r="G3604" s="9">
        <v>1204</v>
      </c>
      <c r="H3604" s="5" t="s">
        <v>21</v>
      </c>
      <c r="I3604" s="5" t="s">
        <v>9075</v>
      </c>
      <c r="J3604" s="12" t="str">
        <f>HYPERLINK("https://www.boe.es/gazeta/dias/1802/11/30/pdfs/GMD-1802-97.pdf#page=12","Abrir facsímil")</f>
        <v>Abrir facsímil</v>
      </c>
      <c r="K3604" s="15" t="s">
        <v>23</v>
      </c>
    </row>
    <row r="3605" spans="1:11" ht="42" customHeight="1">
      <c r="A3605" s="4" t="s">
        <v>9076</v>
      </c>
      <c r="B3605" s="5" t="s">
        <v>9077</v>
      </c>
      <c r="C3605" s="5" t="s">
        <v>29</v>
      </c>
      <c r="D3605" s="5" t="s">
        <v>30</v>
      </c>
      <c r="E3605" s="5" t="s">
        <v>1381</v>
      </c>
      <c r="F3605" s="9">
        <v>17</v>
      </c>
      <c r="G3605" s="9">
        <v>185</v>
      </c>
      <c r="H3605" s="5" t="s">
        <v>21</v>
      </c>
      <c r="I3605" s="5" t="s">
        <v>9078</v>
      </c>
      <c r="J3605" s="12" t="str">
        <f>HYPERLINK("https://www.boe.es/gazeta/dias/1802/02/26/pdfs/GMD-1802-17.pdf#page=9","Abrir facsímil")</f>
        <v>Abrir facsímil</v>
      </c>
      <c r="K3605" s="15" t="s">
        <v>23</v>
      </c>
    </row>
    <row r="3606" spans="1:11" ht="42" customHeight="1">
      <c r="A3606" s="4" t="s">
        <v>9079</v>
      </c>
      <c r="B3606" s="5" t="s">
        <v>9080</v>
      </c>
      <c r="C3606" s="5" t="s">
        <v>572</v>
      </c>
      <c r="D3606" s="5" t="s">
        <v>573</v>
      </c>
      <c r="E3606" s="5" t="s">
        <v>574</v>
      </c>
      <c r="F3606" s="9" t="s">
        <v>575</v>
      </c>
      <c r="G3606" s="9">
        <v>710</v>
      </c>
      <c r="H3606" s="5" t="s">
        <v>21</v>
      </c>
      <c r="I3606" s="5" t="s">
        <v>9081</v>
      </c>
      <c r="J3606" s="12" t="str">
        <f>HYPERLINK("https://www.boe.es/gazeta/dias/1802/07/21/pdfs/GMD-1802-59E.pdf#page=6","Abrir facsímil")</f>
        <v>Abrir facsímil</v>
      </c>
      <c r="K3606" s="15" t="s">
        <v>23</v>
      </c>
    </row>
    <row r="3607" spans="1:11" ht="42" customHeight="1">
      <c r="A3607" s="4" t="s">
        <v>9082</v>
      </c>
      <c r="B3607" s="5" t="s">
        <v>9083</v>
      </c>
      <c r="C3607" s="5" t="s">
        <v>90</v>
      </c>
      <c r="D3607" s="5" t="s">
        <v>91</v>
      </c>
      <c r="E3607" s="5" t="s">
        <v>751</v>
      </c>
      <c r="F3607" s="9">
        <v>98</v>
      </c>
      <c r="G3607" s="9">
        <v>1215</v>
      </c>
      <c r="H3607" s="5" t="s">
        <v>21</v>
      </c>
      <c r="I3607" s="5" t="s">
        <v>9084</v>
      </c>
      <c r="J3607" s="12" t="str">
        <f>HYPERLINK("https://www.boe.es/gazeta/dias/1802/12/03/pdfs/GMD-1802-98.pdf#page=11","Abrir facsímil")</f>
        <v>Abrir facsímil</v>
      </c>
      <c r="K3607" s="15" t="s">
        <v>23</v>
      </c>
    </row>
    <row r="3608" spans="1:11" ht="42" customHeight="1">
      <c r="A3608" s="4" t="s">
        <v>9085</v>
      </c>
      <c r="B3608" s="5" t="s">
        <v>9086</v>
      </c>
      <c r="C3608" s="5" t="s">
        <v>18</v>
      </c>
      <c r="D3608" s="5" t="s">
        <v>19</v>
      </c>
      <c r="E3608" s="5" t="s">
        <v>20</v>
      </c>
      <c r="F3608" s="9">
        <v>84</v>
      </c>
      <c r="G3608" s="9">
        <v>1041</v>
      </c>
      <c r="H3608" s="5" t="s">
        <v>21</v>
      </c>
      <c r="I3608" s="5" t="s">
        <v>9087</v>
      </c>
      <c r="J3608" s="12" t="str">
        <f>HYPERLINK("https://www.boe.es/gazeta/dias/1802/10/15/pdfs/GMD-1802-84.pdf#page=9","Abrir facsímil")</f>
        <v>Abrir facsímil</v>
      </c>
      <c r="K3608" s="15" t="s">
        <v>23</v>
      </c>
    </row>
    <row r="3609" spans="1:11" ht="42" customHeight="1">
      <c r="A3609" s="4" t="s">
        <v>9088</v>
      </c>
      <c r="B3609" s="5" t="s">
        <v>9089</v>
      </c>
      <c r="C3609" s="5" t="s">
        <v>29</v>
      </c>
      <c r="D3609" s="5" t="s">
        <v>30</v>
      </c>
      <c r="E3609" s="5" t="s">
        <v>655</v>
      </c>
      <c r="F3609" s="9">
        <v>46</v>
      </c>
      <c r="G3609" s="9">
        <v>558</v>
      </c>
      <c r="H3609" s="5" t="s">
        <v>21</v>
      </c>
      <c r="I3609" s="5" t="s">
        <v>9090</v>
      </c>
      <c r="J3609" s="12" t="str">
        <f>HYPERLINK("https://www.boe.es/gazeta/dias/1802/06/08/pdfs/GMD-1802-46.pdf#page=10","Abrir facsímil")</f>
        <v>Abrir facsímil</v>
      </c>
      <c r="K3609" s="15" t="s">
        <v>23</v>
      </c>
    </row>
    <row r="3610" spans="1:11" ht="42" customHeight="1">
      <c r="A3610" s="4" t="s">
        <v>9091</v>
      </c>
      <c r="B3610" s="5" t="s">
        <v>9092</v>
      </c>
      <c r="C3610" s="5" t="s">
        <v>29</v>
      </c>
      <c r="D3610" s="5" t="s">
        <v>30</v>
      </c>
      <c r="E3610" s="5" t="s">
        <v>670</v>
      </c>
      <c r="F3610" s="9">
        <v>40</v>
      </c>
      <c r="G3610" s="9">
        <v>482</v>
      </c>
      <c r="H3610" s="5" t="s">
        <v>21</v>
      </c>
      <c r="I3610" s="5" t="s">
        <v>9093</v>
      </c>
      <c r="J3610" s="12" t="str">
        <f>HYPERLINK("https://www.boe.es/gazeta/dias/1802/05/18/pdfs/GMD-1802-40.pdf#page=10","Abrir facsímil")</f>
        <v>Abrir facsímil</v>
      </c>
      <c r="K3610" s="15" t="s">
        <v>23</v>
      </c>
    </row>
    <row r="3611" spans="1:11" ht="42" customHeight="1">
      <c r="A3611" s="4" t="s">
        <v>9094</v>
      </c>
      <c r="B3611" s="5" t="s">
        <v>9095</v>
      </c>
      <c r="C3611" s="5" t="s">
        <v>29</v>
      </c>
      <c r="D3611" s="5" t="s">
        <v>30</v>
      </c>
      <c r="E3611" s="5" t="s">
        <v>453</v>
      </c>
      <c r="F3611" s="9">
        <v>52</v>
      </c>
      <c r="G3611" s="9">
        <v>631</v>
      </c>
      <c r="H3611" s="5" t="s">
        <v>21</v>
      </c>
      <c r="I3611" s="5" t="s">
        <v>9096</v>
      </c>
      <c r="J3611" s="12" t="str">
        <f>HYPERLINK("https://www.boe.es/gazeta/dias/1802/06/29/pdfs/GMD-1802-52.pdf#page=7","Abrir facsímil")</f>
        <v>Abrir facsímil</v>
      </c>
      <c r="K3611" s="15" t="s">
        <v>23</v>
      </c>
    </row>
    <row r="3612" spans="1:11" ht="42" customHeight="1">
      <c r="A3612" s="4" t="s">
        <v>9097</v>
      </c>
      <c r="B3612" s="5" t="s">
        <v>9098</v>
      </c>
      <c r="C3612" s="5" t="s">
        <v>160</v>
      </c>
      <c r="D3612" s="5" t="s">
        <v>91</v>
      </c>
      <c r="E3612" s="5" t="s">
        <v>751</v>
      </c>
      <c r="F3612" s="9">
        <v>98</v>
      </c>
      <c r="G3612" s="9">
        <v>1213</v>
      </c>
      <c r="H3612" s="5" t="s">
        <v>21</v>
      </c>
      <c r="I3612" s="5" t="s">
        <v>9099</v>
      </c>
      <c r="J3612" s="12" t="str">
        <f>HYPERLINK("https://www.boe.es/gazeta/dias/1802/12/03/pdfs/GMD-1802-98.pdf#page=9","Abrir facsímil")</f>
        <v>Abrir facsímil</v>
      </c>
      <c r="K3612" s="15" t="s">
        <v>23</v>
      </c>
    </row>
    <row r="3613" spans="1:11" ht="42" customHeight="1">
      <c r="A3613" s="4" t="s">
        <v>9100</v>
      </c>
      <c r="B3613" s="5" t="s">
        <v>9101</v>
      </c>
      <c r="C3613" s="5" t="s">
        <v>29</v>
      </c>
      <c r="D3613" s="5" t="s">
        <v>30</v>
      </c>
      <c r="E3613" s="5" t="s">
        <v>152</v>
      </c>
      <c r="F3613" s="9">
        <v>25</v>
      </c>
      <c r="G3613" s="9">
        <v>285</v>
      </c>
      <c r="H3613" s="5" t="s">
        <v>21</v>
      </c>
      <c r="I3613" s="5" t="s">
        <v>9102</v>
      </c>
      <c r="J3613" s="12" t="str">
        <f>HYPERLINK("https://www.boe.es/gazeta/dias/1802/03/26/pdfs/GMD-1802-25.pdf#page=9","Abrir facsímil")</f>
        <v>Abrir facsímil</v>
      </c>
      <c r="K3613" s="15" t="s">
        <v>23</v>
      </c>
    </row>
    <row r="3614" spans="1:11" ht="42" customHeight="1">
      <c r="A3614" s="4" t="s">
        <v>9103</v>
      </c>
      <c r="B3614" s="5" t="s">
        <v>9104</v>
      </c>
      <c r="C3614" s="5" t="s">
        <v>18</v>
      </c>
      <c r="D3614" s="5" t="s">
        <v>19</v>
      </c>
      <c r="E3614" s="5" t="s">
        <v>20</v>
      </c>
      <c r="F3614" s="9">
        <v>84</v>
      </c>
      <c r="G3614" s="9">
        <v>1046</v>
      </c>
      <c r="H3614" s="5" t="s">
        <v>21</v>
      </c>
      <c r="I3614" s="5" t="s">
        <v>9105</v>
      </c>
      <c r="J3614" s="12" t="str">
        <f>HYPERLINK("https://www.boe.es/gazeta/dias/1802/10/15/pdfs/GMD-1802-84.pdf#page=14","Abrir facsímil")</f>
        <v>Abrir facsímil</v>
      </c>
      <c r="K3614" s="15" t="s">
        <v>23</v>
      </c>
    </row>
    <row r="3615" spans="1:11" ht="42" customHeight="1">
      <c r="A3615" s="4" t="s">
        <v>9106</v>
      </c>
      <c r="B3615" s="5" t="s">
        <v>9107</v>
      </c>
      <c r="C3615" s="5" t="s">
        <v>42</v>
      </c>
      <c r="D3615" s="5" t="s">
        <v>43</v>
      </c>
      <c r="E3615" s="5" t="s">
        <v>44</v>
      </c>
      <c r="F3615" s="9">
        <v>99</v>
      </c>
      <c r="G3615" s="9" t="s">
        <v>45</v>
      </c>
      <c r="H3615" s="5" t="s">
        <v>21</v>
      </c>
      <c r="I3615" s="5" t="s">
        <v>9108</v>
      </c>
      <c r="J3615" s="12" t="str">
        <f>HYPERLINK("https://www.boe.es/gazeta/dias/1802/12/07/pdfs/GMD-D-1802-99.pdf#page=14","Abrir facsímil")</f>
        <v>Abrir facsímil</v>
      </c>
      <c r="K3615" s="15" t="s">
        <v>23</v>
      </c>
    </row>
    <row r="3616" spans="1:11" ht="42" customHeight="1">
      <c r="A3616" s="4" t="s">
        <v>9109</v>
      </c>
      <c r="B3616" s="5" t="s">
        <v>9110</v>
      </c>
      <c r="C3616" s="5" t="s">
        <v>29</v>
      </c>
      <c r="D3616" s="5" t="s">
        <v>30</v>
      </c>
      <c r="E3616" s="5" t="s">
        <v>670</v>
      </c>
      <c r="F3616" s="9">
        <v>40</v>
      </c>
      <c r="G3616" s="9">
        <v>481</v>
      </c>
      <c r="H3616" s="5" t="s">
        <v>21</v>
      </c>
      <c r="I3616" s="5" t="s">
        <v>9111</v>
      </c>
      <c r="J3616" s="12" t="str">
        <f>HYPERLINK("https://www.boe.es/gazeta/dias/1802/05/18/pdfs/GMD-1802-40.pdf#page=9","Abrir facsímil")</f>
        <v>Abrir facsímil</v>
      </c>
      <c r="K3616" s="15" t="s">
        <v>23</v>
      </c>
    </row>
    <row r="3617" spans="1:11" ht="42" customHeight="1">
      <c r="A3617" s="4" t="s">
        <v>9109</v>
      </c>
      <c r="B3617" s="5" t="s">
        <v>9110</v>
      </c>
      <c r="C3617" s="5" t="s">
        <v>18</v>
      </c>
      <c r="D3617" s="5" t="s">
        <v>19</v>
      </c>
      <c r="E3617" s="5" t="s">
        <v>192</v>
      </c>
      <c r="F3617" s="9">
        <v>53</v>
      </c>
      <c r="G3617" s="9">
        <v>641</v>
      </c>
      <c r="H3617" s="5" t="s">
        <v>21</v>
      </c>
      <c r="I3617" s="5" t="s">
        <v>9112</v>
      </c>
      <c r="J3617" s="12" t="str">
        <f>HYPERLINK("https://www.boe.es/gazeta/dias/1802/07/02/pdfs/GMD-1802-53.pdf#page=9","Abrir facsímil")</f>
        <v>Abrir facsímil</v>
      </c>
      <c r="K3617" s="15" t="s">
        <v>23</v>
      </c>
    </row>
    <row r="3618" spans="1:11" ht="42" customHeight="1">
      <c r="A3618" s="4" t="s">
        <v>9113</v>
      </c>
      <c r="B3618" s="5" t="s">
        <v>9114</v>
      </c>
      <c r="C3618" s="5" t="s">
        <v>29</v>
      </c>
      <c r="D3618" s="5" t="s">
        <v>30</v>
      </c>
      <c r="E3618" s="5" t="s">
        <v>1381</v>
      </c>
      <c r="F3618" s="9">
        <v>17</v>
      </c>
      <c r="G3618" s="9">
        <v>185</v>
      </c>
      <c r="H3618" s="5" t="s">
        <v>21</v>
      </c>
      <c r="I3618" s="5" t="s">
        <v>9115</v>
      </c>
      <c r="J3618" s="12" t="str">
        <f>HYPERLINK("https://www.boe.es/gazeta/dias/1802/02/26/pdfs/GMD-1802-17.pdf#page=9","Abrir facsímil")</f>
        <v>Abrir facsímil</v>
      </c>
      <c r="K3618" s="15" t="s">
        <v>23</v>
      </c>
    </row>
    <row r="3619" spans="1:11" ht="42" customHeight="1">
      <c r="A3619" s="4" t="s">
        <v>9116</v>
      </c>
      <c r="B3619" s="5" t="s">
        <v>9117</v>
      </c>
      <c r="C3619" s="5" t="s">
        <v>18</v>
      </c>
      <c r="D3619" s="5" t="s">
        <v>19</v>
      </c>
      <c r="E3619" s="5" t="s">
        <v>128</v>
      </c>
      <c r="F3619" s="9">
        <v>9</v>
      </c>
      <c r="G3619" s="9">
        <v>91</v>
      </c>
      <c r="H3619" s="5" t="s">
        <v>21</v>
      </c>
      <c r="I3619" s="5" t="s">
        <v>9118</v>
      </c>
      <c r="J3619" s="12" t="str">
        <f>HYPERLINK("https://www.boe.es/gazeta/dias/1802/01/29/pdfs/GMD-1802-9.pdf#page=11","Abrir facsímil")</f>
        <v>Abrir facsímil</v>
      </c>
      <c r="K3619" s="15" t="s">
        <v>23</v>
      </c>
    </row>
    <row r="3620" spans="1:11" ht="42" customHeight="1">
      <c r="A3620" s="4" t="s">
        <v>9116</v>
      </c>
      <c r="B3620" s="5" t="s">
        <v>9117</v>
      </c>
      <c r="C3620" s="5" t="s">
        <v>18</v>
      </c>
      <c r="D3620" s="5" t="s">
        <v>19</v>
      </c>
      <c r="E3620" s="5" t="s">
        <v>1381</v>
      </c>
      <c r="F3620" s="9">
        <v>17</v>
      </c>
      <c r="G3620" s="9">
        <v>188</v>
      </c>
      <c r="H3620" s="5" t="s">
        <v>21</v>
      </c>
      <c r="I3620" s="5" t="s">
        <v>9119</v>
      </c>
      <c r="J3620" s="12" t="str">
        <f>HYPERLINK("https://www.boe.es/gazeta/dias/1802/02/26/pdfs/GMD-1802-17.pdf#page=12","Abrir facsímil")</f>
        <v>Abrir facsímil</v>
      </c>
      <c r="K3620" s="15" t="s">
        <v>23</v>
      </c>
    </row>
    <row r="3621" spans="1:11" ht="42" customHeight="1">
      <c r="A3621" s="4" t="s">
        <v>9116</v>
      </c>
      <c r="B3621" s="5" t="s">
        <v>9117</v>
      </c>
      <c r="C3621" s="5" t="s">
        <v>18</v>
      </c>
      <c r="D3621" s="5" t="s">
        <v>19</v>
      </c>
      <c r="E3621" s="5" t="s">
        <v>670</v>
      </c>
      <c r="F3621" s="9">
        <v>40</v>
      </c>
      <c r="G3621" s="9">
        <v>483</v>
      </c>
      <c r="H3621" s="5" t="s">
        <v>21</v>
      </c>
      <c r="I3621" s="5" t="s">
        <v>9120</v>
      </c>
      <c r="J3621" s="12" t="str">
        <f>HYPERLINK("https://www.boe.es/gazeta/dias/1802/05/18/pdfs/GMD-1802-40.pdf#page=11","Abrir facsímil")</f>
        <v>Abrir facsímil</v>
      </c>
      <c r="K3621" s="15" t="s">
        <v>23</v>
      </c>
    </row>
    <row r="3622" spans="1:11" ht="42" customHeight="1">
      <c r="A3622" s="4" t="s">
        <v>9116</v>
      </c>
      <c r="B3622" s="5" t="s">
        <v>9117</v>
      </c>
      <c r="C3622" s="5" t="s">
        <v>18</v>
      </c>
      <c r="D3622" s="5" t="s">
        <v>19</v>
      </c>
      <c r="E3622" s="5" t="s">
        <v>73</v>
      </c>
      <c r="F3622" s="9">
        <v>102</v>
      </c>
      <c r="G3622" s="9">
        <v>1256</v>
      </c>
      <c r="H3622" s="5" t="s">
        <v>21</v>
      </c>
      <c r="I3622" s="5" t="s">
        <v>9121</v>
      </c>
      <c r="J3622" s="12" t="str">
        <f>HYPERLINK("https://www.boe.es/gazeta/dias/1802/12/17/pdfs/GMD-1802-102.pdf#page=12","Abrir facsímil")</f>
        <v>Abrir facsímil</v>
      </c>
      <c r="K3622" s="15" t="s">
        <v>23</v>
      </c>
    </row>
    <row r="3623" spans="1:11" ht="42" customHeight="1">
      <c r="A3623" s="4" t="s">
        <v>9122</v>
      </c>
      <c r="B3623" s="5" t="s">
        <v>9123</v>
      </c>
      <c r="C3623" s="5" t="s">
        <v>29</v>
      </c>
      <c r="D3623" s="5" t="s">
        <v>30</v>
      </c>
      <c r="E3623" s="5" t="s">
        <v>133</v>
      </c>
      <c r="F3623" s="9">
        <v>33</v>
      </c>
      <c r="G3623" s="9">
        <v>387</v>
      </c>
      <c r="H3623" s="5" t="s">
        <v>21</v>
      </c>
      <c r="I3623" s="5" t="s">
        <v>9124</v>
      </c>
      <c r="J3623" s="12" t="str">
        <f>HYPERLINK("https://www.boe.es/gazeta/dias/1802/04/23/pdfs/GMD-1802-33.pdf#page=7","Abrir facsímil")</f>
        <v>Abrir facsímil</v>
      </c>
      <c r="K3623" s="15" t="s">
        <v>23</v>
      </c>
    </row>
    <row r="3624" spans="1:11" ht="42" customHeight="1">
      <c r="A3624" s="4" t="s">
        <v>9125</v>
      </c>
      <c r="B3624" s="5" t="s">
        <v>9126</v>
      </c>
      <c r="C3624" s="5" t="s">
        <v>18</v>
      </c>
      <c r="D3624" s="5" t="s">
        <v>19</v>
      </c>
      <c r="E3624" s="5" t="s">
        <v>31</v>
      </c>
      <c r="F3624" s="9">
        <v>27</v>
      </c>
      <c r="G3624" s="9">
        <v>318</v>
      </c>
      <c r="H3624" s="5" t="s">
        <v>21</v>
      </c>
      <c r="I3624" s="5" t="s">
        <v>9127</v>
      </c>
      <c r="J3624" s="12" t="str">
        <f>HYPERLINK("https://www.boe.es/gazeta/dias/1802/04/02/pdfs/GMD-1802-27.pdf#page=14","Abrir facsímil")</f>
        <v>Abrir facsímil</v>
      </c>
      <c r="K3624" s="15" t="s">
        <v>23</v>
      </c>
    </row>
    <row r="3625" spans="1:11" ht="42" customHeight="1">
      <c r="A3625" s="4" t="s">
        <v>9125</v>
      </c>
      <c r="B3625" s="5" t="s">
        <v>9126</v>
      </c>
      <c r="C3625" s="5" t="s">
        <v>42</v>
      </c>
      <c r="D3625" s="5" t="s">
        <v>43</v>
      </c>
      <c r="E3625" s="5" t="s">
        <v>44</v>
      </c>
      <c r="F3625" s="9">
        <v>99</v>
      </c>
      <c r="G3625" s="9" t="s">
        <v>550</v>
      </c>
      <c r="H3625" s="5" t="s">
        <v>21</v>
      </c>
      <c r="I3625" s="5" t="s">
        <v>9128</v>
      </c>
      <c r="J3625" s="12" t="str">
        <f>HYPERLINK("https://www.boe.es/gazeta/dias/1802/12/07/pdfs/GMD-D-1802-99.pdf#page=16","Abrir facsímil")</f>
        <v>Abrir facsímil</v>
      </c>
      <c r="K3625" s="15" t="s">
        <v>23</v>
      </c>
    </row>
    <row r="3626" spans="1:11" ht="42" customHeight="1">
      <c r="A3626" s="4" t="s">
        <v>9125</v>
      </c>
      <c r="B3626" s="5" t="s">
        <v>9126</v>
      </c>
      <c r="C3626" s="5" t="s">
        <v>42</v>
      </c>
      <c r="D3626" s="5" t="s">
        <v>43</v>
      </c>
      <c r="E3626" s="5" t="s">
        <v>44</v>
      </c>
      <c r="F3626" s="9">
        <v>99</v>
      </c>
      <c r="G3626" s="9" t="s">
        <v>222</v>
      </c>
      <c r="H3626" s="5" t="s">
        <v>21</v>
      </c>
      <c r="I3626" s="5" t="s">
        <v>9129</v>
      </c>
      <c r="J3626" s="12" t="str">
        <f>HYPERLINK("https://www.boe.es/gazeta/dias/1802/12/07/pdfs/GMD-D-1802-99.pdf#page=5","Abrir facsímil")</f>
        <v>Abrir facsímil</v>
      </c>
      <c r="K3626" s="15" t="s">
        <v>23</v>
      </c>
    </row>
    <row r="3627" spans="1:11" ht="42" customHeight="1">
      <c r="A3627" s="4" t="s">
        <v>9130</v>
      </c>
      <c r="B3627" s="5" t="s">
        <v>9131</v>
      </c>
      <c r="C3627" s="5" t="s">
        <v>29</v>
      </c>
      <c r="D3627" s="5" t="s">
        <v>30</v>
      </c>
      <c r="E3627" s="5" t="s">
        <v>192</v>
      </c>
      <c r="F3627" s="9">
        <v>53</v>
      </c>
      <c r="G3627" s="9">
        <v>642</v>
      </c>
      <c r="H3627" s="5" t="s">
        <v>21</v>
      </c>
      <c r="I3627" s="5" t="s">
        <v>9132</v>
      </c>
      <c r="J3627" s="12" t="str">
        <f>HYPERLINK("https://www.boe.es/gazeta/dias/1802/07/02/pdfs/GMD-1802-53.pdf#page=10","Abrir facsímil")</f>
        <v>Abrir facsímil</v>
      </c>
      <c r="K3627" s="15" t="s">
        <v>23</v>
      </c>
    </row>
    <row r="3628" spans="1:11" ht="42" customHeight="1">
      <c r="A3628" s="4" t="s">
        <v>9133</v>
      </c>
      <c r="B3628" s="5" t="s">
        <v>9134</v>
      </c>
      <c r="C3628" s="5" t="s">
        <v>42</v>
      </c>
      <c r="D3628" s="5" t="s">
        <v>43</v>
      </c>
      <c r="E3628" s="5" t="s">
        <v>44</v>
      </c>
      <c r="F3628" s="9">
        <v>99</v>
      </c>
      <c r="G3628" s="9" t="s">
        <v>779</v>
      </c>
      <c r="H3628" s="5" t="s">
        <v>21</v>
      </c>
      <c r="I3628" s="5" t="s">
        <v>9135</v>
      </c>
      <c r="J3628" s="12" t="str">
        <f>HYPERLINK("https://www.boe.es/gazeta/dias/1802/12/07/pdfs/GMD-D-1802-99.pdf#page=13","Abrir facsímil")</f>
        <v>Abrir facsímil</v>
      </c>
      <c r="K3628" s="15" t="s">
        <v>23</v>
      </c>
    </row>
    <row r="3629" spans="1:11" ht="42" customHeight="1">
      <c r="A3629" s="4" t="s">
        <v>9136</v>
      </c>
      <c r="B3629" s="5" t="s">
        <v>9136</v>
      </c>
      <c r="C3629" s="5" t="s">
        <v>18</v>
      </c>
      <c r="D3629" s="5" t="s">
        <v>19</v>
      </c>
      <c r="E3629" s="5" t="s">
        <v>881</v>
      </c>
      <c r="F3629" s="9">
        <v>65</v>
      </c>
      <c r="G3629" s="9">
        <v>790</v>
      </c>
      <c r="H3629" s="5" t="s">
        <v>21</v>
      </c>
      <c r="I3629" s="5" t="s">
        <v>9137</v>
      </c>
      <c r="J3629" s="12" t="str">
        <f>HYPERLINK("https://www.boe.es/gazeta/dias/1802/08/10/pdfs/GMD-1802-65.pdf#page=6","Abrir facsímil")</f>
        <v>Abrir facsímil</v>
      </c>
      <c r="K3629" s="15" t="s">
        <v>23</v>
      </c>
    </row>
    <row r="3630" spans="1:11" ht="42" customHeight="1">
      <c r="A3630" s="4" t="s">
        <v>9136</v>
      </c>
      <c r="B3630" s="5" t="s">
        <v>9136</v>
      </c>
      <c r="C3630" s="5" t="s">
        <v>18</v>
      </c>
      <c r="D3630" s="5" t="s">
        <v>19</v>
      </c>
      <c r="E3630" s="5" t="s">
        <v>439</v>
      </c>
      <c r="F3630" s="9">
        <v>76</v>
      </c>
      <c r="G3630" s="9">
        <v>938</v>
      </c>
      <c r="H3630" s="5" t="s">
        <v>21</v>
      </c>
      <c r="I3630" s="5" t="s">
        <v>9138</v>
      </c>
      <c r="J3630" s="12" t="str">
        <f>HYPERLINK("https://www.boe.es/gazeta/dias/1802/09/17/pdfs/GMD-1802-76.pdf#page=10","Abrir facsímil")</f>
        <v>Abrir facsímil</v>
      </c>
      <c r="K3630" s="15" t="s">
        <v>23</v>
      </c>
    </row>
    <row r="3631" spans="1:11" ht="42" customHeight="1">
      <c r="A3631" s="4" t="s">
        <v>9139</v>
      </c>
      <c r="B3631" s="5" t="s">
        <v>9139</v>
      </c>
      <c r="C3631" s="5" t="s">
        <v>35</v>
      </c>
      <c r="D3631" s="5" t="s">
        <v>36</v>
      </c>
      <c r="E3631" s="5" t="s">
        <v>881</v>
      </c>
      <c r="F3631" s="9">
        <v>65</v>
      </c>
      <c r="G3631" s="9">
        <v>789</v>
      </c>
      <c r="H3631" s="5" t="s">
        <v>21</v>
      </c>
      <c r="I3631" s="5" t="s">
        <v>9140</v>
      </c>
      <c r="J3631" s="12" t="str">
        <f>HYPERLINK("https://www.boe.es/gazeta/dias/1802/08/10/pdfs/GMD-1802-65.pdf#page=5","Abrir facsímil")</f>
        <v>Abrir facsímil</v>
      </c>
      <c r="K3631" s="15" t="s">
        <v>23</v>
      </c>
    </row>
    <row r="3632" spans="1:11" ht="42" customHeight="1">
      <c r="A3632" s="4" t="s">
        <v>9139</v>
      </c>
      <c r="B3632" s="5" t="s">
        <v>9139</v>
      </c>
      <c r="C3632" s="5" t="s">
        <v>18</v>
      </c>
      <c r="D3632" s="5" t="s">
        <v>19</v>
      </c>
      <c r="E3632" s="5" t="s">
        <v>881</v>
      </c>
      <c r="F3632" s="9">
        <v>65</v>
      </c>
      <c r="G3632" s="9">
        <v>790</v>
      </c>
      <c r="H3632" s="5" t="s">
        <v>21</v>
      </c>
      <c r="I3632" s="5" t="s">
        <v>9141</v>
      </c>
      <c r="J3632" s="12" t="str">
        <f>HYPERLINK("https://www.boe.es/gazeta/dias/1802/08/10/pdfs/GMD-1802-65.pdf#page=6","Abrir facsímil")</f>
        <v>Abrir facsímil</v>
      </c>
      <c r="K3632" s="15" t="s">
        <v>23</v>
      </c>
    </row>
    <row r="3633" spans="1:11" ht="42" customHeight="1">
      <c r="A3633" s="4" t="s">
        <v>9142</v>
      </c>
      <c r="B3633" s="5" t="s">
        <v>9143</v>
      </c>
      <c r="C3633" s="5" t="s">
        <v>18</v>
      </c>
      <c r="D3633" s="5" t="s">
        <v>19</v>
      </c>
      <c r="E3633" s="5" t="s">
        <v>20</v>
      </c>
      <c r="F3633" s="9">
        <v>84</v>
      </c>
      <c r="G3633" s="9">
        <v>1040</v>
      </c>
      <c r="H3633" s="5" t="s">
        <v>21</v>
      </c>
      <c r="I3633" s="5" t="s">
        <v>9144</v>
      </c>
      <c r="J3633" s="12" t="str">
        <f>HYPERLINK("https://www.boe.es/gazeta/dias/1802/10/15/pdfs/GMD-1802-84.pdf#page=8","Abrir facsímil")</f>
        <v>Abrir facsímil</v>
      </c>
      <c r="K3633" s="15" t="s">
        <v>23</v>
      </c>
    </row>
    <row r="3634" spans="1:11" ht="42" customHeight="1">
      <c r="A3634" s="4" t="s">
        <v>9145</v>
      </c>
      <c r="B3634" s="5" t="s">
        <v>9146</v>
      </c>
      <c r="C3634" s="5" t="s">
        <v>18</v>
      </c>
      <c r="D3634" s="5" t="s">
        <v>19</v>
      </c>
      <c r="E3634" s="5" t="s">
        <v>20</v>
      </c>
      <c r="F3634" s="9">
        <v>84</v>
      </c>
      <c r="G3634" s="9">
        <v>1040</v>
      </c>
      <c r="H3634" s="5" t="s">
        <v>21</v>
      </c>
      <c r="I3634" s="5" t="s">
        <v>9147</v>
      </c>
      <c r="J3634" s="12" t="str">
        <f>HYPERLINK("https://www.boe.es/gazeta/dias/1802/10/15/pdfs/GMD-1802-84.pdf#page=8","Abrir facsímil")</f>
        <v>Abrir facsímil</v>
      </c>
      <c r="K3634" s="15" t="s">
        <v>23</v>
      </c>
    </row>
    <row r="3635" spans="1:11" ht="42" customHeight="1">
      <c r="A3635" s="4" t="s">
        <v>9148</v>
      </c>
      <c r="B3635" s="5" t="s">
        <v>9149</v>
      </c>
      <c r="C3635" s="5" t="s">
        <v>18</v>
      </c>
      <c r="D3635" s="5" t="s">
        <v>19</v>
      </c>
      <c r="E3635" s="5" t="s">
        <v>206</v>
      </c>
      <c r="F3635" s="9">
        <v>22</v>
      </c>
      <c r="G3635" s="9">
        <v>241</v>
      </c>
      <c r="H3635" s="5" t="s">
        <v>21</v>
      </c>
      <c r="I3635" s="5" t="s">
        <v>9150</v>
      </c>
      <c r="J3635" s="12" t="str">
        <f>HYPERLINK("https://www.boe.es/gazeta/dias/1802/03/16/pdfs/GMD-1802-22.pdf#page=9","Abrir facsímil")</f>
        <v>Abrir facsímil</v>
      </c>
      <c r="K3635" s="15" t="s">
        <v>23</v>
      </c>
    </row>
    <row r="3636" spans="1:11" ht="42" customHeight="1">
      <c r="A3636" s="4" t="s">
        <v>9151</v>
      </c>
      <c r="B3636" s="5" t="s">
        <v>9152</v>
      </c>
      <c r="C3636" s="5" t="s">
        <v>160</v>
      </c>
      <c r="D3636" s="5" t="s">
        <v>91</v>
      </c>
      <c r="E3636" s="5" t="s">
        <v>865</v>
      </c>
      <c r="F3636" s="9">
        <v>12</v>
      </c>
      <c r="G3636" s="9">
        <v>123</v>
      </c>
      <c r="H3636" s="5" t="s">
        <v>21</v>
      </c>
      <c r="I3636" s="5" t="s">
        <v>9153</v>
      </c>
      <c r="J3636" s="12" t="str">
        <f>HYPERLINK("https://www.boe.es/gazeta/dias/1802/02/09/pdfs/GMD-1802-12.pdf#page=7","Abrir facsímil")</f>
        <v>Abrir facsímil</v>
      </c>
      <c r="K3636" s="15" t="s">
        <v>23</v>
      </c>
    </row>
    <row r="3637" spans="1:11" ht="42" customHeight="1">
      <c r="A3637" s="4" t="s">
        <v>9154</v>
      </c>
      <c r="B3637" s="5" t="s">
        <v>9155</v>
      </c>
      <c r="C3637" s="5" t="s">
        <v>35</v>
      </c>
      <c r="D3637" s="5" t="s">
        <v>36</v>
      </c>
      <c r="E3637" s="5" t="s">
        <v>60</v>
      </c>
      <c r="F3637" s="9">
        <v>5</v>
      </c>
      <c r="G3637" s="9">
        <v>47</v>
      </c>
      <c r="H3637" s="5" t="s">
        <v>21</v>
      </c>
      <c r="I3637" s="5" t="s">
        <v>9156</v>
      </c>
      <c r="J3637" s="12" t="str">
        <f>HYPERLINK("https://www.boe.es/gazeta/dias/1802/01/15/pdfs/GMD-1802-5.pdf#page=3","Abrir facsímil")</f>
        <v>Abrir facsímil</v>
      </c>
      <c r="K3637" s="15" t="s">
        <v>23</v>
      </c>
    </row>
    <row r="3638" spans="1:11" ht="42" customHeight="1">
      <c r="A3638" s="4" t="s">
        <v>9157</v>
      </c>
      <c r="B3638" s="5" t="s">
        <v>9157</v>
      </c>
      <c r="C3638" s="5" t="s">
        <v>29</v>
      </c>
      <c r="D3638" s="5" t="s">
        <v>30</v>
      </c>
      <c r="E3638" s="5" t="s">
        <v>128</v>
      </c>
      <c r="F3638" s="9">
        <v>9</v>
      </c>
      <c r="G3638" s="9">
        <v>81</v>
      </c>
      <c r="H3638" s="5" t="s">
        <v>21</v>
      </c>
      <c r="I3638" s="5" t="s">
        <v>9158</v>
      </c>
      <c r="J3638" s="12" t="str">
        <f>HYPERLINK("https://www.boe.es/gazeta/dias/1802/01/29/pdfs/GMD-1802-9.pdf#page=1","Abrir facsímil")</f>
        <v>Abrir facsímil</v>
      </c>
      <c r="K3638" s="15" t="s">
        <v>23</v>
      </c>
    </row>
    <row r="3639" spans="1:11" ht="42" customHeight="1">
      <c r="A3639" s="4" t="s">
        <v>9159</v>
      </c>
      <c r="B3639" s="5" t="s">
        <v>9160</v>
      </c>
      <c r="C3639" s="5" t="s">
        <v>18</v>
      </c>
      <c r="D3639" s="5" t="s">
        <v>19</v>
      </c>
      <c r="E3639" s="5" t="s">
        <v>1618</v>
      </c>
      <c r="F3639" s="9">
        <v>31</v>
      </c>
      <c r="G3639" s="9">
        <v>365</v>
      </c>
      <c r="H3639" s="5" t="s">
        <v>21</v>
      </c>
      <c r="I3639" s="5" t="s">
        <v>9161</v>
      </c>
      <c r="J3639" s="12" t="str">
        <f>HYPERLINK("https://www.boe.es/gazeta/dias/1802/04/16/pdfs/GMD-1802-31.pdf#page=9","Abrir facsímil")</f>
        <v>Abrir facsímil</v>
      </c>
      <c r="K3639" s="15" t="s">
        <v>23</v>
      </c>
    </row>
    <row r="3640" spans="1:11" ht="42" customHeight="1">
      <c r="A3640" s="4" t="s">
        <v>9162</v>
      </c>
      <c r="B3640" s="5" t="s">
        <v>9162</v>
      </c>
      <c r="C3640" s="5" t="s">
        <v>18</v>
      </c>
      <c r="D3640" s="5" t="s">
        <v>19</v>
      </c>
      <c r="E3640" s="5" t="s">
        <v>439</v>
      </c>
      <c r="F3640" s="9">
        <v>76</v>
      </c>
      <c r="G3640" s="9">
        <v>938</v>
      </c>
      <c r="H3640" s="5" t="s">
        <v>21</v>
      </c>
      <c r="I3640" s="5" t="s">
        <v>6367</v>
      </c>
      <c r="J3640" s="12" t="str">
        <f>HYPERLINK("https://www.boe.es/gazeta/dias/1802/09/17/pdfs/GMD-1802-76.pdf#page=10","Abrir facsímil")</f>
        <v>Abrir facsímil</v>
      </c>
      <c r="K3640" s="15" t="s">
        <v>23</v>
      </c>
    </row>
    <row r="3641" spans="1:11" ht="42" customHeight="1">
      <c r="A3641" s="4" t="s">
        <v>9163</v>
      </c>
      <c r="B3641" s="5" t="s">
        <v>9163</v>
      </c>
      <c r="C3641" s="5" t="s">
        <v>35</v>
      </c>
      <c r="D3641" s="5" t="s">
        <v>36</v>
      </c>
      <c r="E3641" s="5" t="s">
        <v>886</v>
      </c>
      <c r="F3641" s="9">
        <v>7</v>
      </c>
      <c r="G3641" s="9">
        <v>62</v>
      </c>
      <c r="H3641" s="5" t="s">
        <v>21</v>
      </c>
      <c r="I3641" s="5" t="s">
        <v>9164</v>
      </c>
      <c r="J3641" s="12" t="str">
        <f>HYPERLINK("https://www.boe.es/gazeta/dias/1802/01/22/pdfs/GMD-1802-7.pdf#page=2","Abrir facsímil")</f>
        <v>Abrir facsímil</v>
      </c>
      <c r="K3641" s="15" t="s">
        <v>23</v>
      </c>
    </row>
    <row r="3642" spans="1:11" ht="42" customHeight="1">
      <c r="A3642" s="4" t="s">
        <v>9163</v>
      </c>
      <c r="B3642" s="5" t="s">
        <v>9163</v>
      </c>
      <c r="C3642" s="5" t="s">
        <v>160</v>
      </c>
      <c r="D3642" s="5" t="s">
        <v>91</v>
      </c>
      <c r="E3642" s="5" t="s">
        <v>530</v>
      </c>
      <c r="F3642" s="9">
        <v>48</v>
      </c>
      <c r="G3642" s="9">
        <v>579</v>
      </c>
      <c r="H3642" s="5" t="s">
        <v>21</v>
      </c>
      <c r="I3642" s="5" t="s">
        <v>9165</v>
      </c>
      <c r="J3642" s="12" t="str">
        <f>HYPERLINK("https://www.boe.es/gazeta/dias/1802/06/15/pdfs/GMD-1802-48.pdf#page=3","Abrir facsímil")</f>
        <v>Abrir facsímil</v>
      </c>
      <c r="K3642" s="15" t="s">
        <v>23</v>
      </c>
    </row>
    <row r="3643" spans="1:11" ht="42" customHeight="1">
      <c r="A3643" s="4" t="s">
        <v>9166</v>
      </c>
      <c r="B3643" s="5" t="s">
        <v>9166</v>
      </c>
      <c r="C3643" s="5" t="s">
        <v>18</v>
      </c>
      <c r="D3643" s="5" t="s">
        <v>19</v>
      </c>
      <c r="E3643" s="5" t="s">
        <v>328</v>
      </c>
      <c r="F3643" s="9">
        <v>45</v>
      </c>
      <c r="G3643" s="9">
        <v>541</v>
      </c>
      <c r="H3643" s="5" t="s">
        <v>21</v>
      </c>
      <c r="I3643" s="5" t="s">
        <v>9167</v>
      </c>
      <c r="J3643" s="12" t="str">
        <f>HYPERLINK("https://www.boe.es/gazeta/dias/1802/06/04/pdfs/GMD-1802-45.pdf#page=5","Abrir facsímil")</f>
        <v>Abrir facsímil</v>
      </c>
      <c r="K3643" s="15" t="s">
        <v>23</v>
      </c>
    </row>
    <row r="3644" spans="1:11" ht="42" customHeight="1">
      <c r="A3644" s="4" t="s">
        <v>9168</v>
      </c>
      <c r="B3644" s="5" t="s">
        <v>9168</v>
      </c>
      <c r="C3644" s="5" t="s">
        <v>18</v>
      </c>
      <c r="D3644" s="5" t="s">
        <v>19</v>
      </c>
      <c r="E3644" s="5" t="s">
        <v>678</v>
      </c>
      <c r="F3644" s="9">
        <v>15</v>
      </c>
      <c r="G3644" s="9">
        <v>155</v>
      </c>
      <c r="H3644" s="5" t="s">
        <v>21</v>
      </c>
      <c r="I3644" s="5" t="s">
        <v>9169</v>
      </c>
      <c r="J3644" s="12" t="str">
        <f>HYPERLINK("https://www.boe.es/gazeta/dias/1802/02/19/pdfs/GMD-1802-15.pdf#page=7","Abrir facsímil")</f>
        <v>Abrir facsímil</v>
      </c>
      <c r="K3644" s="15" t="s">
        <v>23</v>
      </c>
    </row>
    <row r="3645" spans="1:11" ht="42" customHeight="1">
      <c r="A3645" s="4" t="s">
        <v>9170</v>
      </c>
      <c r="B3645" s="5" t="s">
        <v>9171</v>
      </c>
      <c r="C3645" s="5" t="s">
        <v>29</v>
      </c>
      <c r="D3645" s="5" t="s">
        <v>30</v>
      </c>
      <c r="E3645" s="5" t="s">
        <v>481</v>
      </c>
      <c r="F3645" s="9">
        <v>79</v>
      </c>
      <c r="G3645" s="9">
        <v>974</v>
      </c>
      <c r="H3645" s="5" t="s">
        <v>21</v>
      </c>
      <c r="I3645" s="5" t="s">
        <v>9172</v>
      </c>
      <c r="J3645" s="12" t="str">
        <f>HYPERLINK("https://www.boe.es/gazeta/dias/1802/09/28/pdfs/GMD-1802-79.pdf#page=10","Abrir facsímil")</f>
        <v>Abrir facsímil</v>
      </c>
      <c r="K3645" s="15" t="s">
        <v>23</v>
      </c>
    </row>
    <row r="3646" spans="1:11" ht="42" customHeight="1">
      <c r="A3646" s="4" t="s">
        <v>9173</v>
      </c>
      <c r="B3646" s="5" t="s">
        <v>9174</v>
      </c>
      <c r="C3646" s="5" t="s">
        <v>18</v>
      </c>
      <c r="D3646" s="5" t="s">
        <v>19</v>
      </c>
      <c r="E3646" s="5" t="s">
        <v>1113</v>
      </c>
      <c r="F3646" s="9">
        <v>6</v>
      </c>
      <c r="G3646" s="9">
        <v>55</v>
      </c>
      <c r="H3646" s="5" t="s">
        <v>21</v>
      </c>
      <c r="I3646" s="5" t="s">
        <v>9175</v>
      </c>
      <c r="J3646" s="12" t="str">
        <f>HYPERLINK("https://www.boe.es/gazeta/dias/1802/01/19/pdfs/GMD-1802-6.pdf#page=3","Abrir facsímil")</f>
        <v>Abrir facsímil</v>
      </c>
      <c r="K3646" s="15" t="s">
        <v>23</v>
      </c>
    </row>
    <row r="3647" spans="1:11" ht="42" customHeight="1">
      <c r="A3647" s="4" t="s">
        <v>9176</v>
      </c>
      <c r="B3647" s="5" t="s">
        <v>9177</v>
      </c>
      <c r="C3647" s="5" t="s">
        <v>35</v>
      </c>
      <c r="D3647" s="5" t="s">
        <v>36</v>
      </c>
      <c r="E3647" s="5" t="s">
        <v>1264</v>
      </c>
      <c r="F3647" s="9">
        <v>105</v>
      </c>
      <c r="G3647" s="9">
        <v>1285</v>
      </c>
      <c r="H3647" s="5" t="s">
        <v>21</v>
      </c>
      <c r="I3647" s="5" t="s">
        <v>9178</v>
      </c>
      <c r="J3647" s="12" t="str">
        <f>HYPERLINK("https://www.boe.es/gazeta/dias/1802/12/28/pdfs/GMD-1802-105.pdf#page=9","Abrir facsímil")</f>
        <v>Abrir facsímil</v>
      </c>
      <c r="K3647" s="15" t="s">
        <v>23</v>
      </c>
    </row>
    <row r="3648" spans="1:11" ht="42" customHeight="1">
      <c r="A3648" s="4" t="s">
        <v>9179</v>
      </c>
      <c r="B3648" s="5" t="s">
        <v>9179</v>
      </c>
      <c r="C3648" s="5" t="s">
        <v>29</v>
      </c>
      <c r="D3648" s="5" t="s">
        <v>30</v>
      </c>
      <c r="E3648" s="5" t="s">
        <v>206</v>
      </c>
      <c r="F3648" s="9">
        <v>22</v>
      </c>
      <c r="G3648" s="9">
        <v>233</v>
      </c>
      <c r="H3648" s="5" t="s">
        <v>21</v>
      </c>
      <c r="I3648" s="5" t="s">
        <v>9180</v>
      </c>
      <c r="J3648" s="12" t="str">
        <f>HYPERLINK("https://www.boe.es/gazeta/dias/1802/03/16/pdfs/GMD-1802-22.pdf#page=1","Abrir facsímil")</f>
        <v>Abrir facsímil</v>
      </c>
      <c r="K3648" s="15" t="s">
        <v>23</v>
      </c>
    </row>
    <row r="3649" spans="1:11" ht="42" customHeight="1">
      <c r="A3649" s="4" t="s">
        <v>9181</v>
      </c>
      <c r="B3649" s="5" t="s">
        <v>9182</v>
      </c>
      <c r="C3649" s="5" t="s">
        <v>18</v>
      </c>
      <c r="D3649" s="5" t="s">
        <v>19</v>
      </c>
      <c r="E3649" s="5" t="s">
        <v>1749</v>
      </c>
      <c r="F3649" s="9">
        <v>60</v>
      </c>
      <c r="G3649" s="9">
        <v>718</v>
      </c>
      <c r="H3649" s="5" t="s">
        <v>21</v>
      </c>
      <c r="I3649" s="5" t="s">
        <v>9183</v>
      </c>
      <c r="J3649" s="12" t="str">
        <f>HYPERLINK("https://www.boe.es/gazeta/dias/1802/07/23/pdfs/GMD-1802-60.pdf#page=2","Abrir facsímil")</f>
        <v>Abrir facsímil</v>
      </c>
      <c r="K3649" s="15" t="s">
        <v>23</v>
      </c>
    </row>
    <row r="3650" spans="1:11" ht="42" customHeight="1">
      <c r="A3650" s="4" t="s">
        <v>9184</v>
      </c>
      <c r="B3650" s="5" t="s">
        <v>9184</v>
      </c>
      <c r="C3650" s="5" t="s">
        <v>55</v>
      </c>
      <c r="D3650" s="5" t="s">
        <v>56</v>
      </c>
      <c r="E3650" s="5" t="s">
        <v>60</v>
      </c>
      <c r="F3650" s="9">
        <v>5</v>
      </c>
      <c r="G3650" s="9">
        <v>47</v>
      </c>
      <c r="H3650" s="5" t="s">
        <v>21</v>
      </c>
      <c r="I3650" s="5" t="s">
        <v>9185</v>
      </c>
      <c r="J3650" s="12" t="str">
        <f>HYPERLINK("https://www.boe.es/gazeta/dias/1802/01/15/pdfs/GMD-1802-5.pdf#page=3","Abrir facsímil")</f>
        <v>Abrir facsímil</v>
      </c>
      <c r="K3650" s="15" t="s">
        <v>23</v>
      </c>
    </row>
    <row r="3651" spans="1:11" ht="42" customHeight="1">
      <c r="A3651" s="4" t="s">
        <v>9186</v>
      </c>
      <c r="B3651" s="5" t="s">
        <v>9186</v>
      </c>
      <c r="C3651" s="5" t="s">
        <v>29</v>
      </c>
      <c r="D3651" s="5" t="s">
        <v>30</v>
      </c>
      <c r="E3651" s="5" t="s">
        <v>31</v>
      </c>
      <c r="F3651" s="9">
        <v>27</v>
      </c>
      <c r="G3651" s="9">
        <v>317</v>
      </c>
      <c r="H3651" s="5" t="s">
        <v>21</v>
      </c>
      <c r="I3651" s="5" t="s">
        <v>9187</v>
      </c>
      <c r="J3651" s="12" t="str">
        <f>HYPERLINK("https://www.boe.es/gazeta/dias/1802/04/02/pdfs/GMD-1802-27.pdf#page=13","Abrir facsímil")</f>
        <v>Abrir facsímil</v>
      </c>
      <c r="K3651" s="15" t="s">
        <v>23</v>
      </c>
    </row>
    <row r="3652" spans="1:11" ht="42" customHeight="1">
      <c r="A3652" s="4" t="s">
        <v>9188</v>
      </c>
      <c r="B3652" s="5" t="s">
        <v>9189</v>
      </c>
      <c r="C3652" s="5" t="s">
        <v>35</v>
      </c>
      <c r="D3652" s="5" t="s">
        <v>36</v>
      </c>
      <c r="E3652" s="5" t="s">
        <v>20</v>
      </c>
      <c r="F3652" s="9">
        <v>84</v>
      </c>
      <c r="G3652" s="9">
        <v>1036</v>
      </c>
      <c r="H3652" s="5" t="s">
        <v>21</v>
      </c>
      <c r="I3652" s="5" t="s">
        <v>9190</v>
      </c>
      <c r="J3652" s="12" t="str">
        <f>HYPERLINK("https://www.boe.es/gazeta/dias/1802/10/15/pdfs/GMD-1802-84.pdf#page=4","Abrir facsímil")</f>
        <v>Abrir facsímil</v>
      </c>
      <c r="K3652" s="15" t="s">
        <v>23</v>
      </c>
    </row>
    <row r="3653" spans="1:11" ht="42" customHeight="1">
      <c r="A3653" s="4" t="s">
        <v>9191</v>
      </c>
      <c r="B3653" s="5" t="s">
        <v>9192</v>
      </c>
      <c r="C3653" s="5" t="s">
        <v>18</v>
      </c>
      <c r="D3653" s="5" t="s">
        <v>19</v>
      </c>
      <c r="E3653" s="5" t="s">
        <v>170</v>
      </c>
      <c r="F3653" s="9">
        <v>28</v>
      </c>
      <c r="G3653" s="9">
        <v>327</v>
      </c>
      <c r="H3653" s="5" t="s">
        <v>21</v>
      </c>
      <c r="I3653" s="5" t="s">
        <v>9193</v>
      </c>
      <c r="J3653" s="12" t="str">
        <f>HYPERLINK("https://www.boe.es/gazeta/dias/1802/04/06/pdfs/GMD-1802-28.pdf#page=7","Abrir facsímil")</f>
        <v>Abrir facsímil</v>
      </c>
      <c r="K3653" s="15" t="s">
        <v>23</v>
      </c>
    </row>
    <row r="3654" spans="1:11" ht="42" customHeight="1">
      <c r="A3654" s="4" t="s">
        <v>9194</v>
      </c>
      <c r="B3654" s="5" t="s">
        <v>9195</v>
      </c>
      <c r="C3654" s="5" t="s">
        <v>35</v>
      </c>
      <c r="D3654" s="5" t="s">
        <v>36</v>
      </c>
      <c r="E3654" s="5" t="s">
        <v>339</v>
      </c>
      <c r="F3654" s="9">
        <v>39</v>
      </c>
      <c r="G3654" s="9">
        <v>465</v>
      </c>
      <c r="H3654" s="5" t="s">
        <v>21</v>
      </c>
      <c r="I3654" s="5" t="s">
        <v>9196</v>
      </c>
      <c r="J3654" s="12" t="str">
        <f>HYPERLINK("https://www.boe.es/gazeta/dias/1802/05/14/pdfs/GMD-1802-39.pdf#page=9","Abrir facsímil")</f>
        <v>Abrir facsímil</v>
      </c>
      <c r="K3654" s="15" t="s">
        <v>23</v>
      </c>
    </row>
    <row r="3655" spans="1:11" ht="42" customHeight="1">
      <c r="A3655" s="4" t="s">
        <v>9194</v>
      </c>
      <c r="B3655" s="5" t="s">
        <v>9195</v>
      </c>
      <c r="C3655" s="5" t="s">
        <v>18</v>
      </c>
      <c r="D3655" s="5" t="s">
        <v>19</v>
      </c>
      <c r="E3655" s="5" t="s">
        <v>530</v>
      </c>
      <c r="F3655" s="9">
        <v>48</v>
      </c>
      <c r="G3655" s="9">
        <v>582</v>
      </c>
      <c r="H3655" s="5" t="s">
        <v>21</v>
      </c>
      <c r="I3655" s="5" t="s">
        <v>9197</v>
      </c>
      <c r="J3655" s="12" t="str">
        <f>HYPERLINK("https://www.boe.es/gazeta/dias/1802/06/15/pdfs/GMD-1802-48.pdf#page=6","Abrir facsímil")</f>
        <v>Abrir facsímil</v>
      </c>
      <c r="K3655" s="15" t="s">
        <v>23</v>
      </c>
    </row>
    <row r="3656" spans="1:11" ht="42" customHeight="1">
      <c r="A3656" s="4" t="s">
        <v>9194</v>
      </c>
      <c r="B3656" s="5" t="s">
        <v>9195</v>
      </c>
      <c r="C3656" s="5" t="s">
        <v>29</v>
      </c>
      <c r="D3656" s="5" t="s">
        <v>30</v>
      </c>
      <c r="E3656" s="5" t="s">
        <v>530</v>
      </c>
      <c r="F3656" s="9">
        <v>48</v>
      </c>
      <c r="G3656" s="9">
        <v>583</v>
      </c>
      <c r="H3656" s="5" t="s">
        <v>21</v>
      </c>
      <c r="I3656" s="5" t="s">
        <v>9198</v>
      </c>
      <c r="J3656" s="12" t="str">
        <f>HYPERLINK("https://www.boe.es/gazeta/dias/1802/06/15/pdfs/GMD-1802-48.pdf#page=7","Abrir facsímil")</f>
        <v>Abrir facsímil</v>
      </c>
      <c r="K3656" s="15" t="s">
        <v>23</v>
      </c>
    </row>
    <row r="3657" spans="1:11" ht="42" customHeight="1">
      <c r="A3657" s="4" t="s">
        <v>9194</v>
      </c>
      <c r="B3657" s="5" t="s">
        <v>9195</v>
      </c>
      <c r="C3657" s="5" t="s">
        <v>35</v>
      </c>
      <c r="D3657" s="5" t="s">
        <v>36</v>
      </c>
      <c r="E3657" s="5" t="s">
        <v>921</v>
      </c>
      <c r="F3657" s="9">
        <v>50</v>
      </c>
      <c r="G3657" s="9">
        <v>607</v>
      </c>
      <c r="H3657" s="5" t="s">
        <v>21</v>
      </c>
      <c r="I3657" s="5" t="s">
        <v>9199</v>
      </c>
      <c r="J3657" s="12" t="str">
        <f>HYPERLINK("https://www.boe.es/gazeta/dias/1802/06/22/pdfs/GMD-1802-50.pdf#page=7","Abrir facsímil")</f>
        <v>Abrir facsímil</v>
      </c>
      <c r="K3657" s="15" t="s">
        <v>23</v>
      </c>
    </row>
    <row r="3658" spans="1:11" ht="42" customHeight="1">
      <c r="A3658" s="4" t="s">
        <v>9194</v>
      </c>
      <c r="B3658" s="5" t="s">
        <v>9195</v>
      </c>
      <c r="C3658" s="5" t="s">
        <v>35</v>
      </c>
      <c r="D3658" s="5" t="s">
        <v>36</v>
      </c>
      <c r="E3658" s="5" t="s">
        <v>921</v>
      </c>
      <c r="F3658" s="9">
        <v>50</v>
      </c>
      <c r="G3658" s="9">
        <v>608</v>
      </c>
      <c r="H3658" s="5" t="s">
        <v>21</v>
      </c>
      <c r="I3658" s="5" t="s">
        <v>9200</v>
      </c>
      <c r="J3658" s="12" t="str">
        <f>HYPERLINK("https://www.boe.es/gazeta/dias/1802/06/22/pdfs/GMD-1802-50.pdf#page=8","Abrir facsímil")</f>
        <v>Abrir facsímil</v>
      </c>
      <c r="K3658" s="15" t="s">
        <v>23</v>
      </c>
    </row>
    <row r="3659" spans="1:11" ht="42" customHeight="1">
      <c r="A3659" s="4" t="s">
        <v>9201</v>
      </c>
      <c r="B3659" s="5" t="s">
        <v>9202</v>
      </c>
      <c r="C3659" s="5" t="s">
        <v>35</v>
      </c>
      <c r="D3659" s="5" t="s">
        <v>36</v>
      </c>
      <c r="E3659" s="5" t="s">
        <v>121</v>
      </c>
      <c r="F3659" s="9">
        <v>87</v>
      </c>
      <c r="G3659" s="9">
        <v>1075</v>
      </c>
      <c r="H3659" s="5" t="s">
        <v>21</v>
      </c>
      <c r="I3659" s="5" t="s">
        <v>9203</v>
      </c>
      <c r="J3659" s="12" t="str">
        <f>HYPERLINK("https://www.boe.es/gazeta/dias/1802/10/26/pdfs/GMD-1802-87.pdf#page=3","Abrir facsímil")</f>
        <v>Abrir facsímil</v>
      </c>
      <c r="K3659" s="15" t="s">
        <v>23</v>
      </c>
    </row>
    <row r="3660" spans="1:11" ht="42" customHeight="1">
      <c r="A3660" s="4" t="s">
        <v>9204</v>
      </c>
      <c r="B3660" s="5" t="s">
        <v>9205</v>
      </c>
      <c r="C3660" s="5" t="s">
        <v>29</v>
      </c>
      <c r="D3660" s="5" t="s">
        <v>30</v>
      </c>
      <c r="E3660" s="5" t="s">
        <v>175</v>
      </c>
      <c r="F3660" s="9">
        <v>37</v>
      </c>
      <c r="G3660" s="9">
        <v>442</v>
      </c>
      <c r="H3660" s="5" t="s">
        <v>21</v>
      </c>
      <c r="I3660" s="5" t="s">
        <v>9206</v>
      </c>
      <c r="J3660" s="12" t="str">
        <f>HYPERLINK("https://www.boe.es/gazeta/dias/1802/05/07/pdfs/GMD-1802-37.pdf#page=10","Abrir facsímil")</f>
        <v>Abrir facsímil</v>
      </c>
      <c r="K3660" s="15" t="s">
        <v>23</v>
      </c>
    </row>
    <row r="3661" spans="1:11" ht="42" customHeight="1">
      <c r="A3661" s="4" t="s">
        <v>9207</v>
      </c>
      <c r="B3661" s="5" t="s">
        <v>9208</v>
      </c>
      <c r="C3661" s="5" t="s">
        <v>35</v>
      </c>
      <c r="D3661" s="5" t="s">
        <v>36</v>
      </c>
      <c r="E3661" s="5" t="s">
        <v>276</v>
      </c>
      <c r="F3661" s="9">
        <v>75</v>
      </c>
      <c r="G3661" s="9">
        <v>920</v>
      </c>
      <c r="H3661" s="5" t="s">
        <v>21</v>
      </c>
      <c r="I3661" s="5" t="s">
        <v>9209</v>
      </c>
      <c r="J3661" s="12" t="str">
        <f>HYPERLINK("https://www.boe.es/gazeta/dias/1802/09/14/pdfs/GMD-1802-75.pdf#page=4","Abrir facsímil")</f>
        <v>Abrir facsímil</v>
      </c>
      <c r="K3661" s="15" t="s">
        <v>23</v>
      </c>
    </row>
    <row r="3662" spans="1:11" ht="42" customHeight="1">
      <c r="A3662" s="4" t="s">
        <v>9210</v>
      </c>
      <c r="B3662" s="5" t="s">
        <v>9211</v>
      </c>
      <c r="C3662" s="5" t="s">
        <v>35</v>
      </c>
      <c r="D3662" s="5" t="s">
        <v>36</v>
      </c>
      <c r="E3662" s="5" t="s">
        <v>443</v>
      </c>
      <c r="F3662" s="9">
        <v>78</v>
      </c>
      <c r="G3662" s="9">
        <v>956</v>
      </c>
      <c r="H3662" s="5" t="s">
        <v>21</v>
      </c>
      <c r="I3662" s="5" t="s">
        <v>9212</v>
      </c>
      <c r="J3662" s="12" t="str">
        <f>HYPERLINK("https://www.boe.es/gazeta/dias/1802/09/24/pdfs/GMD-1802-78.pdf#page=4","Abrir facsímil")</f>
        <v>Abrir facsímil</v>
      </c>
      <c r="K3662" s="15" t="s">
        <v>23</v>
      </c>
    </row>
    <row r="3663" spans="1:11" ht="42" customHeight="1">
      <c r="A3663" s="4" t="s">
        <v>9213</v>
      </c>
      <c r="B3663" s="5" t="s">
        <v>9214</v>
      </c>
      <c r="C3663" s="5" t="s">
        <v>35</v>
      </c>
      <c r="D3663" s="5" t="s">
        <v>36</v>
      </c>
      <c r="E3663" s="5" t="s">
        <v>60</v>
      </c>
      <c r="F3663" s="9">
        <v>5</v>
      </c>
      <c r="G3663" s="9">
        <v>48</v>
      </c>
      <c r="H3663" s="5" t="s">
        <v>21</v>
      </c>
      <c r="I3663" s="5" t="s">
        <v>9215</v>
      </c>
      <c r="J3663" s="12" t="str">
        <f>HYPERLINK("https://www.boe.es/gazeta/dias/1802/01/15/pdfs/GMD-1802-5.pdf#page=4","Abrir facsímil")</f>
        <v>Abrir facsímil</v>
      </c>
      <c r="K3663" s="15" t="s">
        <v>23</v>
      </c>
    </row>
    <row r="3664" spans="1:11" ht="42" customHeight="1">
      <c r="A3664" s="4" t="s">
        <v>9216</v>
      </c>
      <c r="B3664" s="5" t="s">
        <v>9217</v>
      </c>
      <c r="C3664" s="5" t="s">
        <v>35</v>
      </c>
      <c r="D3664" s="5" t="s">
        <v>36</v>
      </c>
      <c r="E3664" s="5" t="s">
        <v>332</v>
      </c>
      <c r="F3664" s="9">
        <v>24</v>
      </c>
      <c r="G3664" s="9">
        <v>271</v>
      </c>
      <c r="H3664" s="5" t="s">
        <v>21</v>
      </c>
      <c r="I3664" s="5" t="s">
        <v>9218</v>
      </c>
      <c r="J3664" s="12" t="str">
        <f>HYPERLINK("https://www.boe.es/gazeta/dias/1802/03/23/pdfs/GMD-1802-24.pdf#page=7","Abrir facsímil")</f>
        <v>Abrir facsímil</v>
      </c>
      <c r="K3664" s="15" t="s">
        <v>23</v>
      </c>
    </row>
    <row r="3665" spans="1:11" ht="42" customHeight="1">
      <c r="A3665" s="4" t="s">
        <v>9219</v>
      </c>
      <c r="B3665" s="5" t="s">
        <v>9220</v>
      </c>
      <c r="C3665" s="5" t="s">
        <v>35</v>
      </c>
      <c r="D3665" s="5" t="s">
        <v>36</v>
      </c>
      <c r="E3665" s="5" t="s">
        <v>131</v>
      </c>
      <c r="F3665" s="9">
        <v>11</v>
      </c>
      <c r="G3665" s="9">
        <v>110</v>
      </c>
      <c r="H3665" s="5" t="s">
        <v>21</v>
      </c>
      <c r="I3665" s="5" t="s">
        <v>9221</v>
      </c>
      <c r="J3665" s="12" t="str">
        <f>HYPERLINK("https://www.boe.es/gazeta/dias/1802/02/05/pdfs/GMD-1802-11.pdf#page=6","Abrir facsímil")</f>
        <v>Abrir facsímil</v>
      </c>
      <c r="K3665" s="15" t="s">
        <v>23</v>
      </c>
    </row>
    <row r="3666" spans="1:11" ht="42" customHeight="1">
      <c r="A3666" s="4" t="s">
        <v>9222</v>
      </c>
      <c r="B3666" s="5" t="s">
        <v>9222</v>
      </c>
      <c r="C3666" s="5" t="s">
        <v>18</v>
      </c>
      <c r="D3666" s="5" t="s">
        <v>19</v>
      </c>
      <c r="E3666" s="5" t="s">
        <v>1332</v>
      </c>
      <c r="F3666" s="9">
        <v>4</v>
      </c>
      <c r="G3666" s="9">
        <v>32</v>
      </c>
      <c r="H3666" s="5" t="s">
        <v>21</v>
      </c>
      <c r="I3666" s="5" t="s">
        <v>9223</v>
      </c>
      <c r="J3666" s="12" t="str">
        <f>HYPERLINK("https://www.boe.es/gazeta/dias/1802/01/12/pdfs/GMD-1802-4.pdf#page=4","Abrir facsímil")</f>
        <v>Abrir facsímil</v>
      </c>
      <c r="K3666" s="15" t="s">
        <v>23</v>
      </c>
    </row>
    <row r="3667" spans="1:11" ht="42" customHeight="1">
      <c r="A3667" s="4" t="s">
        <v>9224</v>
      </c>
      <c r="B3667" s="5" t="s">
        <v>9225</v>
      </c>
      <c r="C3667" s="5" t="s">
        <v>35</v>
      </c>
      <c r="D3667" s="5" t="s">
        <v>36</v>
      </c>
      <c r="E3667" s="5" t="s">
        <v>1588</v>
      </c>
      <c r="F3667" s="9">
        <v>18</v>
      </c>
      <c r="G3667" s="9">
        <v>193</v>
      </c>
      <c r="H3667" s="5" t="s">
        <v>21</v>
      </c>
      <c r="I3667" s="5" t="s">
        <v>9226</v>
      </c>
      <c r="J3667" s="12" t="str">
        <f>HYPERLINK("https://www.boe.es/gazeta/dias/1802/03/02/pdfs/GMD-1802-18.pdf#page=5","Abrir facsímil")</f>
        <v>Abrir facsímil</v>
      </c>
      <c r="K3667" s="15" t="s">
        <v>23</v>
      </c>
    </row>
    <row r="3668" spans="1:11" ht="42" customHeight="1">
      <c r="A3668" s="4" t="s">
        <v>9227</v>
      </c>
      <c r="B3668" s="5" t="s">
        <v>9227</v>
      </c>
      <c r="C3668" s="5" t="s">
        <v>35</v>
      </c>
      <c r="D3668" s="5" t="s">
        <v>36</v>
      </c>
      <c r="E3668" s="5" t="s">
        <v>381</v>
      </c>
      <c r="F3668" s="9">
        <v>13</v>
      </c>
      <c r="G3668" s="9">
        <v>129</v>
      </c>
      <c r="H3668" s="5" t="s">
        <v>21</v>
      </c>
      <c r="I3668" s="5" t="s">
        <v>9228</v>
      </c>
      <c r="J3668" s="12" t="str">
        <f>HYPERLINK("https://www.boe.es/gazeta/dias/1802/02/12/pdfs/GMD-1802-13.pdf#page=5","Abrir facsímil")</f>
        <v>Abrir facsímil</v>
      </c>
      <c r="K3668" s="15" t="s">
        <v>23</v>
      </c>
    </row>
    <row r="3669" spans="1:11" ht="42" customHeight="1">
      <c r="A3669" s="4" t="s">
        <v>9227</v>
      </c>
      <c r="B3669" s="5" t="s">
        <v>9227</v>
      </c>
      <c r="C3669" s="5" t="s">
        <v>29</v>
      </c>
      <c r="D3669" s="5" t="s">
        <v>30</v>
      </c>
      <c r="E3669" s="5" t="s">
        <v>635</v>
      </c>
      <c r="F3669" s="9">
        <v>47</v>
      </c>
      <c r="G3669" s="9">
        <v>573</v>
      </c>
      <c r="H3669" s="5" t="s">
        <v>21</v>
      </c>
      <c r="I3669" s="5" t="s">
        <v>9229</v>
      </c>
      <c r="J3669" s="12" t="str">
        <f>HYPERLINK("https://www.boe.es/gazeta/dias/1802/06/11/pdfs/GMD-1802-47.pdf#page=9","Abrir facsímil")</f>
        <v>Abrir facsímil</v>
      </c>
      <c r="K3669" s="15" t="s">
        <v>23</v>
      </c>
    </row>
    <row r="3670" spans="1:11" ht="42" customHeight="1">
      <c r="A3670" s="4" t="s">
        <v>9230</v>
      </c>
      <c r="B3670" s="5" t="s">
        <v>9230</v>
      </c>
      <c r="C3670" s="5" t="s">
        <v>29</v>
      </c>
      <c r="D3670" s="5" t="s">
        <v>30</v>
      </c>
      <c r="E3670" s="5" t="s">
        <v>183</v>
      </c>
      <c r="F3670" s="9">
        <v>56</v>
      </c>
      <c r="G3670" s="9">
        <v>672</v>
      </c>
      <c r="H3670" s="5" t="s">
        <v>21</v>
      </c>
      <c r="I3670" s="5" t="s">
        <v>9231</v>
      </c>
      <c r="J3670" s="12" t="str">
        <f>HYPERLINK("https://www.boe.es/gazeta/dias/1802/07/13/pdfs/GMD-1802-56.pdf#page=4","Abrir facsímil")</f>
        <v>Abrir facsímil</v>
      </c>
      <c r="K3670" s="15" t="s">
        <v>23</v>
      </c>
    </row>
    <row r="3671" spans="1:11" ht="42" customHeight="1">
      <c r="A3671" s="4" t="s">
        <v>9232</v>
      </c>
      <c r="B3671" s="5" t="s">
        <v>9233</v>
      </c>
      <c r="C3671" s="5" t="s">
        <v>35</v>
      </c>
      <c r="D3671" s="5" t="s">
        <v>36</v>
      </c>
      <c r="E3671" s="5" t="s">
        <v>31</v>
      </c>
      <c r="F3671" s="9">
        <v>27</v>
      </c>
      <c r="G3671" s="9">
        <v>310</v>
      </c>
      <c r="H3671" s="5" t="s">
        <v>21</v>
      </c>
      <c r="I3671" s="5" t="s">
        <v>9234</v>
      </c>
      <c r="J3671" s="12" t="str">
        <f>HYPERLINK("https://www.boe.es/gazeta/dias/1802/04/02/pdfs/GMD-1802-27.pdf#page=6","Abrir facsímil")</f>
        <v>Abrir facsímil</v>
      </c>
      <c r="K3671" s="15" t="s">
        <v>23</v>
      </c>
    </row>
    <row r="3672" spans="1:11" ht="42" customHeight="1">
      <c r="A3672" s="4" t="s">
        <v>9235</v>
      </c>
      <c r="B3672" s="5" t="s">
        <v>9235</v>
      </c>
      <c r="C3672" s="5" t="s">
        <v>35</v>
      </c>
      <c r="D3672" s="5" t="s">
        <v>36</v>
      </c>
      <c r="E3672" s="5" t="s">
        <v>1381</v>
      </c>
      <c r="F3672" s="9">
        <v>17</v>
      </c>
      <c r="G3672" s="9">
        <v>179</v>
      </c>
      <c r="H3672" s="5" t="s">
        <v>21</v>
      </c>
      <c r="I3672" s="5" t="s">
        <v>9236</v>
      </c>
      <c r="J3672" s="12" t="str">
        <f>HYPERLINK("https://www.boe.es/gazeta/dias/1802/02/26/pdfs/GMD-1802-17.pdf#page=3","Abrir facsímil")</f>
        <v>Abrir facsímil</v>
      </c>
      <c r="K3672" s="15" t="s">
        <v>23</v>
      </c>
    </row>
    <row r="3673" spans="1:11" ht="42" customHeight="1">
      <c r="A3673" s="4" t="s">
        <v>9237</v>
      </c>
      <c r="B3673" s="5" t="s">
        <v>9238</v>
      </c>
      <c r="C3673" s="5" t="s">
        <v>18</v>
      </c>
      <c r="D3673" s="5" t="s">
        <v>19</v>
      </c>
      <c r="E3673" s="5" t="s">
        <v>163</v>
      </c>
      <c r="F3673" s="9">
        <v>1</v>
      </c>
      <c r="G3673" s="9">
        <v>3</v>
      </c>
      <c r="H3673" s="5" t="s">
        <v>21</v>
      </c>
      <c r="I3673" s="5" t="s">
        <v>9239</v>
      </c>
      <c r="J3673" s="12" t="str">
        <f>HYPERLINK("https://www.boe.es/gazeta/dias/1802/01/01/pdfs/GMD-1802-1.pdf#page=3","Abrir facsímil")</f>
        <v>Abrir facsímil</v>
      </c>
      <c r="K3673" s="15" t="s">
        <v>23</v>
      </c>
    </row>
    <row r="3674" spans="1:11" ht="42" customHeight="1">
      <c r="A3674" s="4" t="s">
        <v>9237</v>
      </c>
      <c r="B3674" s="5" t="s">
        <v>9238</v>
      </c>
      <c r="C3674" s="5" t="s">
        <v>160</v>
      </c>
      <c r="D3674" s="5" t="s">
        <v>91</v>
      </c>
      <c r="E3674" s="5" t="s">
        <v>165</v>
      </c>
      <c r="F3674" s="9">
        <v>3</v>
      </c>
      <c r="G3674" s="9">
        <v>25</v>
      </c>
      <c r="H3674" s="5" t="s">
        <v>21</v>
      </c>
      <c r="I3674" s="5" t="s">
        <v>9240</v>
      </c>
      <c r="J3674" s="12" t="str">
        <f>HYPERLINK("https://www.boe.es/gazeta/dias/1802/01/08/pdfs/GMD-1802-3.pdf#page=5","Abrir facsímil")</f>
        <v>Abrir facsímil</v>
      </c>
      <c r="K3674" s="15" t="s">
        <v>23</v>
      </c>
    </row>
    <row r="3675" spans="1:11" ht="42" customHeight="1">
      <c r="A3675" s="4" t="s">
        <v>9237</v>
      </c>
      <c r="B3675" s="5" t="s">
        <v>9238</v>
      </c>
      <c r="C3675" s="5" t="s">
        <v>18</v>
      </c>
      <c r="D3675" s="5" t="s">
        <v>19</v>
      </c>
      <c r="E3675" s="5" t="s">
        <v>1332</v>
      </c>
      <c r="F3675" s="9">
        <v>4</v>
      </c>
      <c r="G3675" s="9">
        <v>32</v>
      </c>
      <c r="H3675" s="5" t="s">
        <v>21</v>
      </c>
      <c r="I3675" s="5" t="s">
        <v>9241</v>
      </c>
      <c r="J3675" s="12" t="str">
        <f>HYPERLINK("https://www.boe.es/gazeta/dias/1802/01/12/pdfs/GMD-1802-4.pdf#page=4","Abrir facsímil")</f>
        <v>Abrir facsímil</v>
      </c>
      <c r="K3675" s="15" t="s">
        <v>23</v>
      </c>
    </row>
    <row r="3676" spans="1:11" ht="42" customHeight="1">
      <c r="A3676" s="4" t="s">
        <v>9237</v>
      </c>
      <c r="B3676" s="5" t="s">
        <v>9238</v>
      </c>
      <c r="C3676" s="5" t="s">
        <v>18</v>
      </c>
      <c r="D3676" s="5" t="s">
        <v>19</v>
      </c>
      <c r="E3676" s="5" t="s">
        <v>678</v>
      </c>
      <c r="F3676" s="9">
        <v>15</v>
      </c>
      <c r="G3676" s="9">
        <v>153</v>
      </c>
      <c r="H3676" s="5" t="s">
        <v>21</v>
      </c>
      <c r="I3676" s="5" t="s">
        <v>9242</v>
      </c>
      <c r="J3676" s="12" t="str">
        <f>HYPERLINK("https://www.boe.es/gazeta/dias/1802/02/19/pdfs/GMD-1802-15.pdf#page=5","Abrir facsímil")</f>
        <v>Abrir facsímil</v>
      </c>
      <c r="K3676" s="15" t="s">
        <v>23</v>
      </c>
    </row>
    <row r="3677" spans="1:11" ht="42" customHeight="1">
      <c r="A3677" s="4" t="s">
        <v>9237</v>
      </c>
      <c r="B3677" s="5" t="s">
        <v>9238</v>
      </c>
      <c r="C3677" s="5" t="s">
        <v>35</v>
      </c>
      <c r="D3677" s="5" t="s">
        <v>36</v>
      </c>
      <c r="E3677" s="5" t="s">
        <v>1381</v>
      </c>
      <c r="F3677" s="9">
        <v>17</v>
      </c>
      <c r="G3677" s="9">
        <v>179</v>
      </c>
      <c r="H3677" s="5" t="s">
        <v>21</v>
      </c>
      <c r="I3677" s="5" t="s">
        <v>9243</v>
      </c>
      <c r="J3677" s="12" t="str">
        <f>HYPERLINK("https://www.boe.es/gazeta/dias/1802/02/26/pdfs/GMD-1802-17.pdf#page=3","Abrir facsímil")</f>
        <v>Abrir facsímil</v>
      </c>
      <c r="K3677" s="15" t="s">
        <v>23</v>
      </c>
    </row>
    <row r="3678" spans="1:11" ht="42" customHeight="1">
      <c r="A3678" s="4" t="s">
        <v>9237</v>
      </c>
      <c r="B3678" s="5" t="s">
        <v>9238</v>
      </c>
      <c r="C3678" s="5" t="s">
        <v>29</v>
      </c>
      <c r="D3678" s="5" t="s">
        <v>30</v>
      </c>
      <c r="E3678" s="5" t="s">
        <v>71</v>
      </c>
      <c r="F3678" s="9">
        <v>21</v>
      </c>
      <c r="G3678" s="9">
        <v>226</v>
      </c>
      <c r="H3678" s="5" t="s">
        <v>21</v>
      </c>
      <c r="I3678" s="5" t="s">
        <v>9244</v>
      </c>
      <c r="J3678" s="12" t="str">
        <f>HYPERLINK("https://www.boe.es/gazeta/dias/1802/03/12/pdfs/GMD-1802-21.pdf#page=2","Abrir facsímil")</f>
        <v>Abrir facsímil</v>
      </c>
      <c r="K3678" s="15" t="s">
        <v>23</v>
      </c>
    </row>
    <row r="3679" spans="1:11" ht="42" customHeight="1">
      <c r="A3679" s="4" t="s">
        <v>9237</v>
      </c>
      <c r="B3679" s="5" t="s">
        <v>9238</v>
      </c>
      <c r="C3679" s="5" t="s">
        <v>18</v>
      </c>
      <c r="D3679" s="5" t="s">
        <v>19</v>
      </c>
      <c r="E3679" s="5" t="s">
        <v>152</v>
      </c>
      <c r="F3679" s="9">
        <v>25</v>
      </c>
      <c r="G3679" s="9">
        <v>281</v>
      </c>
      <c r="H3679" s="5" t="s">
        <v>21</v>
      </c>
      <c r="I3679" s="5" t="s">
        <v>9245</v>
      </c>
      <c r="J3679" s="12" t="str">
        <f>HYPERLINK("https://www.boe.es/gazeta/dias/1802/03/26/pdfs/GMD-1802-25.pdf#page=5","Abrir facsímil")</f>
        <v>Abrir facsímil</v>
      </c>
      <c r="K3679" s="15" t="s">
        <v>23</v>
      </c>
    </row>
    <row r="3680" spans="1:11" ht="42" customHeight="1">
      <c r="A3680" s="4" t="s">
        <v>9237</v>
      </c>
      <c r="B3680" s="5" t="s">
        <v>9238</v>
      </c>
      <c r="C3680" s="5" t="s">
        <v>90</v>
      </c>
      <c r="D3680" s="5" t="s">
        <v>91</v>
      </c>
      <c r="E3680" s="5" t="s">
        <v>86</v>
      </c>
      <c r="F3680" s="9">
        <v>26</v>
      </c>
      <c r="G3680" s="9">
        <v>293</v>
      </c>
      <c r="H3680" s="5" t="s">
        <v>21</v>
      </c>
      <c r="I3680" s="5" t="s">
        <v>9246</v>
      </c>
      <c r="J3680" s="12" t="str">
        <f>HYPERLINK("https://www.boe.es/gazeta/dias/1802/03/30/pdfs/GMD-1802-26.pdf#page=5","Abrir facsímil")</f>
        <v>Abrir facsímil</v>
      </c>
      <c r="K3680" s="15" t="s">
        <v>23</v>
      </c>
    </row>
    <row r="3681" spans="1:11" ht="42" customHeight="1">
      <c r="A3681" s="4" t="s">
        <v>9237</v>
      </c>
      <c r="B3681" s="5" t="s">
        <v>9238</v>
      </c>
      <c r="C3681" s="5" t="s">
        <v>35</v>
      </c>
      <c r="D3681" s="5" t="s">
        <v>36</v>
      </c>
      <c r="E3681" s="5" t="s">
        <v>170</v>
      </c>
      <c r="F3681" s="9">
        <v>28</v>
      </c>
      <c r="G3681" s="9">
        <v>323</v>
      </c>
      <c r="H3681" s="5" t="s">
        <v>21</v>
      </c>
      <c r="I3681" s="5" t="s">
        <v>9247</v>
      </c>
      <c r="J3681" s="12" t="str">
        <f>HYPERLINK("https://www.boe.es/gazeta/dias/1802/04/06/pdfs/GMD-1802-28.pdf#page=3","Abrir facsímil")</f>
        <v>Abrir facsímil</v>
      </c>
      <c r="K3681" s="15" t="s">
        <v>23</v>
      </c>
    </row>
    <row r="3682" spans="1:11" ht="42" customHeight="1">
      <c r="A3682" s="4" t="s">
        <v>9237</v>
      </c>
      <c r="B3682" s="5" t="s">
        <v>9238</v>
      </c>
      <c r="C3682" s="5" t="s">
        <v>35</v>
      </c>
      <c r="D3682" s="5" t="s">
        <v>36</v>
      </c>
      <c r="E3682" s="5" t="s">
        <v>1051</v>
      </c>
      <c r="F3682" s="9">
        <v>43</v>
      </c>
      <c r="G3682" s="9">
        <v>511</v>
      </c>
      <c r="H3682" s="5" t="s">
        <v>21</v>
      </c>
      <c r="I3682" s="5" t="s">
        <v>9248</v>
      </c>
      <c r="J3682" s="12" t="str">
        <f>HYPERLINK("https://www.boe.es/gazeta/dias/1802/05/28/pdfs/GMD-1802-43.pdf#page=3","Abrir facsímil")</f>
        <v>Abrir facsímil</v>
      </c>
      <c r="K3682" s="15" t="s">
        <v>23</v>
      </c>
    </row>
    <row r="3683" spans="1:11" ht="42" customHeight="1">
      <c r="A3683" s="4" t="s">
        <v>9237</v>
      </c>
      <c r="B3683" s="5" t="s">
        <v>9238</v>
      </c>
      <c r="C3683" s="5" t="s">
        <v>18</v>
      </c>
      <c r="D3683" s="5" t="s">
        <v>19</v>
      </c>
      <c r="E3683" s="5" t="s">
        <v>328</v>
      </c>
      <c r="F3683" s="9">
        <v>45</v>
      </c>
      <c r="G3683" s="9">
        <v>540</v>
      </c>
      <c r="H3683" s="5" t="s">
        <v>21</v>
      </c>
      <c r="I3683" s="5" t="s">
        <v>9249</v>
      </c>
      <c r="J3683" s="12" t="str">
        <f>HYPERLINK("https://www.boe.es/gazeta/dias/1802/06/04/pdfs/GMD-1802-45.pdf#page=4","Abrir facsímil")</f>
        <v>Abrir facsímil</v>
      </c>
      <c r="K3683" s="15" t="s">
        <v>23</v>
      </c>
    </row>
    <row r="3684" spans="1:11" ht="42" customHeight="1">
      <c r="A3684" s="4" t="s">
        <v>9237</v>
      </c>
      <c r="B3684" s="5" t="s">
        <v>9238</v>
      </c>
      <c r="C3684" s="5" t="s">
        <v>18</v>
      </c>
      <c r="D3684" s="5" t="s">
        <v>19</v>
      </c>
      <c r="E3684" s="5" t="s">
        <v>655</v>
      </c>
      <c r="F3684" s="9">
        <v>46</v>
      </c>
      <c r="G3684" s="9">
        <v>553</v>
      </c>
      <c r="H3684" s="5" t="s">
        <v>21</v>
      </c>
      <c r="I3684" s="5" t="s">
        <v>9250</v>
      </c>
      <c r="J3684" s="12" t="str">
        <f>HYPERLINK("https://www.boe.es/gazeta/dias/1802/06/08/pdfs/GMD-1802-46.pdf#page=5","Abrir facsímil")</f>
        <v>Abrir facsímil</v>
      </c>
      <c r="K3684" s="15" t="s">
        <v>23</v>
      </c>
    </row>
    <row r="3685" spans="1:11" ht="42" customHeight="1">
      <c r="A3685" s="4" t="s">
        <v>9237</v>
      </c>
      <c r="B3685" s="5" t="s">
        <v>9238</v>
      </c>
      <c r="C3685" s="5" t="s">
        <v>18</v>
      </c>
      <c r="D3685" s="5" t="s">
        <v>19</v>
      </c>
      <c r="E3685" s="5" t="s">
        <v>635</v>
      </c>
      <c r="F3685" s="9">
        <v>47</v>
      </c>
      <c r="G3685" s="9">
        <v>567</v>
      </c>
      <c r="H3685" s="5" t="s">
        <v>21</v>
      </c>
      <c r="I3685" s="5" t="s">
        <v>9251</v>
      </c>
      <c r="J3685" s="12" t="str">
        <f>HYPERLINK("https://www.boe.es/gazeta/dias/1802/06/11/pdfs/GMD-1802-47.pdf#page=3","Abrir facsímil")</f>
        <v>Abrir facsímil</v>
      </c>
      <c r="K3685" s="15" t="s">
        <v>23</v>
      </c>
    </row>
    <row r="3686" spans="1:11" ht="42" customHeight="1">
      <c r="A3686" s="4" t="s">
        <v>9237</v>
      </c>
      <c r="B3686" s="5" t="s">
        <v>9238</v>
      </c>
      <c r="C3686" s="5" t="s">
        <v>18</v>
      </c>
      <c r="D3686" s="5" t="s">
        <v>19</v>
      </c>
      <c r="E3686" s="5" t="s">
        <v>635</v>
      </c>
      <c r="F3686" s="9">
        <v>47</v>
      </c>
      <c r="G3686" s="9">
        <v>568</v>
      </c>
      <c r="H3686" s="5" t="s">
        <v>21</v>
      </c>
      <c r="I3686" s="5" t="s">
        <v>9252</v>
      </c>
      <c r="J3686" s="12" t="str">
        <f>HYPERLINK("https://www.boe.es/gazeta/dias/1802/06/11/pdfs/GMD-1802-47.pdf#page=4","Abrir facsímil")</f>
        <v>Abrir facsímil</v>
      </c>
      <c r="K3686" s="15" t="s">
        <v>23</v>
      </c>
    </row>
    <row r="3687" spans="1:11" ht="42" customHeight="1">
      <c r="A3687" s="4" t="s">
        <v>9237</v>
      </c>
      <c r="B3687" s="5" t="s">
        <v>9238</v>
      </c>
      <c r="C3687" s="5" t="s">
        <v>18</v>
      </c>
      <c r="D3687" s="5" t="s">
        <v>19</v>
      </c>
      <c r="E3687" s="5" t="s">
        <v>635</v>
      </c>
      <c r="F3687" s="9">
        <v>47</v>
      </c>
      <c r="G3687" s="9">
        <v>569</v>
      </c>
      <c r="H3687" s="5" t="s">
        <v>21</v>
      </c>
      <c r="I3687" s="5" t="s">
        <v>9253</v>
      </c>
      <c r="J3687" s="12" t="str">
        <f>HYPERLINK("https://www.boe.es/gazeta/dias/1802/06/11/pdfs/GMD-1802-47.pdf#page=5","Abrir facsímil")</f>
        <v>Abrir facsímil</v>
      </c>
      <c r="K3687" s="15" t="s">
        <v>23</v>
      </c>
    </row>
    <row r="3688" spans="1:11" ht="42" customHeight="1">
      <c r="A3688" s="4" t="s">
        <v>9237</v>
      </c>
      <c r="B3688" s="5" t="s">
        <v>9238</v>
      </c>
      <c r="C3688" s="5" t="s">
        <v>29</v>
      </c>
      <c r="D3688" s="5" t="s">
        <v>30</v>
      </c>
      <c r="E3688" s="5" t="s">
        <v>183</v>
      </c>
      <c r="F3688" s="9">
        <v>56</v>
      </c>
      <c r="G3688" s="9">
        <v>674</v>
      </c>
      <c r="H3688" s="5" t="s">
        <v>21</v>
      </c>
      <c r="I3688" s="5" t="s">
        <v>9254</v>
      </c>
      <c r="J3688" s="12" t="str">
        <f>HYPERLINK("https://www.boe.es/gazeta/dias/1802/07/13/pdfs/GMD-1802-56.pdf#page=6","Abrir facsímil")</f>
        <v>Abrir facsímil</v>
      </c>
      <c r="K3688" s="15" t="s">
        <v>23</v>
      </c>
    </row>
    <row r="3689" spans="1:11" ht="42" customHeight="1">
      <c r="A3689" s="4" t="s">
        <v>9237</v>
      </c>
      <c r="B3689" s="5" t="s">
        <v>9238</v>
      </c>
      <c r="C3689" s="5" t="s">
        <v>29</v>
      </c>
      <c r="D3689" s="5" t="s">
        <v>30</v>
      </c>
      <c r="E3689" s="5" t="s">
        <v>1749</v>
      </c>
      <c r="F3689" s="9">
        <v>60</v>
      </c>
      <c r="G3689" s="9">
        <v>724</v>
      </c>
      <c r="H3689" s="5" t="s">
        <v>21</v>
      </c>
      <c r="I3689" s="5" t="s">
        <v>9255</v>
      </c>
      <c r="J3689" s="12" t="str">
        <f>HYPERLINK("https://www.boe.es/gazeta/dias/1802/07/23/pdfs/GMD-1802-60.pdf#page=8","Abrir facsímil")</f>
        <v>Abrir facsímil</v>
      </c>
      <c r="K3689" s="15" t="s">
        <v>23</v>
      </c>
    </row>
    <row r="3690" spans="1:11" ht="42" customHeight="1">
      <c r="A3690" s="4" t="s">
        <v>9237</v>
      </c>
      <c r="B3690" s="5" t="s">
        <v>9238</v>
      </c>
      <c r="C3690" s="5" t="s">
        <v>35</v>
      </c>
      <c r="D3690" s="5" t="s">
        <v>36</v>
      </c>
      <c r="E3690" s="5" t="s">
        <v>385</v>
      </c>
      <c r="F3690" s="9">
        <v>70</v>
      </c>
      <c r="G3690" s="9">
        <v>856</v>
      </c>
      <c r="H3690" s="5" t="s">
        <v>21</v>
      </c>
      <c r="I3690" s="5" t="s">
        <v>9256</v>
      </c>
      <c r="J3690" s="12" t="str">
        <f>HYPERLINK("https://www.boe.es/gazeta/dias/1802/08/27/pdfs/GMD-1802-70.pdf#page=4","Abrir facsímil")</f>
        <v>Abrir facsímil</v>
      </c>
      <c r="K3690" s="15" t="s">
        <v>23</v>
      </c>
    </row>
    <row r="3691" spans="1:11" ht="42" customHeight="1">
      <c r="A3691" s="4" t="s">
        <v>9237</v>
      </c>
      <c r="B3691" s="5" t="s">
        <v>9238</v>
      </c>
      <c r="C3691" s="5" t="s">
        <v>18</v>
      </c>
      <c r="D3691" s="5" t="s">
        <v>19</v>
      </c>
      <c r="E3691" s="5" t="s">
        <v>44</v>
      </c>
      <c r="F3691" s="9">
        <v>99</v>
      </c>
      <c r="G3691" s="9">
        <v>1219</v>
      </c>
      <c r="H3691" s="5" t="s">
        <v>21</v>
      </c>
      <c r="I3691" s="5" t="s">
        <v>9257</v>
      </c>
      <c r="J3691" s="12" t="str">
        <f>HYPERLINK("https://www.boe.es/gazeta/dias/1802/12/07/pdfs/GMD-1802-99.pdf#page=3","Abrir facsímil")</f>
        <v>Abrir facsímil</v>
      </c>
      <c r="K3691" s="15" t="s">
        <v>23</v>
      </c>
    </row>
    <row r="3692" spans="1:11" ht="42" customHeight="1">
      <c r="A3692" s="4" t="s">
        <v>9258</v>
      </c>
      <c r="B3692" s="5" t="s">
        <v>9259</v>
      </c>
      <c r="C3692" s="5" t="s">
        <v>29</v>
      </c>
      <c r="D3692" s="5" t="s">
        <v>30</v>
      </c>
      <c r="E3692" s="5" t="s">
        <v>385</v>
      </c>
      <c r="F3692" s="9">
        <v>70</v>
      </c>
      <c r="G3692" s="9">
        <v>856</v>
      </c>
      <c r="H3692" s="5" t="s">
        <v>21</v>
      </c>
      <c r="I3692" s="5" t="s">
        <v>9260</v>
      </c>
      <c r="J3692" s="12" t="str">
        <f>HYPERLINK("https://www.boe.es/gazeta/dias/1802/08/27/pdfs/GMD-1802-70.pdf#page=4","Abrir facsímil")</f>
        <v>Abrir facsímil</v>
      </c>
      <c r="K3692" s="15" t="s">
        <v>23</v>
      </c>
    </row>
    <row r="3693" spans="1:11" ht="42" customHeight="1">
      <c r="A3693" s="4" t="s">
        <v>9261</v>
      </c>
      <c r="B3693" s="5" t="s">
        <v>9261</v>
      </c>
      <c r="C3693" s="5" t="s">
        <v>18</v>
      </c>
      <c r="D3693" s="5" t="s">
        <v>19</v>
      </c>
      <c r="E3693" s="5" t="s">
        <v>128</v>
      </c>
      <c r="F3693" s="9">
        <v>9</v>
      </c>
      <c r="G3693" s="9">
        <v>87</v>
      </c>
      <c r="H3693" s="5" t="s">
        <v>21</v>
      </c>
      <c r="I3693" s="5" t="s">
        <v>9262</v>
      </c>
      <c r="J3693" s="12" t="str">
        <f>HYPERLINK("https://www.boe.es/gazeta/dias/1802/01/29/pdfs/GMD-1802-9.pdf#page=7","Abrir facsímil")</f>
        <v>Abrir facsímil</v>
      </c>
      <c r="K3693" s="15" t="s">
        <v>23</v>
      </c>
    </row>
    <row r="3694" spans="1:11" ht="42" customHeight="1">
      <c r="A3694" s="4" t="s">
        <v>9261</v>
      </c>
      <c r="B3694" s="5" t="s">
        <v>9261</v>
      </c>
      <c r="C3694" s="5" t="s">
        <v>18</v>
      </c>
      <c r="D3694" s="5" t="s">
        <v>19</v>
      </c>
      <c r="E3694" s="5" t="s">
        <v>152</v>
      </c>
      <c r="F3694" s="9">
        <v>25</v>
      </c>
      <c r="G3694" s="9">
        <v>278</v>
      </c>
      <c r="H3694" s="5" t="s">
        <v>21</v>
      </c>
      <c r="I3694" s="5" t="s">
        <v>9263</v>
      </c>
      <c r="J3694" s="12" t="str">
        <f>HYPERLINK("https://www.boe.es/gazeta/dias/1802/03/26/pdfs/GMD-1802-25.pdf#page=2","Abrir facsímil")</f>
        <v>Abrir facsímil</v>
      </c>
      <c r="K3694" s="15" t="s">
        <v>23</v>
      </c>
    </row>
    <row r="3695" spans="1:11" ht="42" customHeight="1">
      <c r="A3695" s="4" t="s">
        <v>9264</v>
      </c>
      <c r="B3695" s="5" t="s">
        <v>9265</v>
      </c>
      <c r="C3695" s="5" t="s">
        <v>29</v>
      </c>
      <c r="D3695" s="5" t="s">
        <v>30</v>
      </c>
      <c r="E3695" s="5" t="s">
        <v>1113</v>
      </c>
      <c r="F3695" s="9">
        <v>6</v>
      </c>
      <c r="G3695" s="9">
        <v>58</v>
      </c>
      <c r="H3695" s="5" t="s">
        <v>21</v>
      </c>
      <c r="I3695" s="5" t="s">
        <v>9266</v>
      </c>
      <c r="J3695" s="12" t="str">
        <f>HYPERLINK("https://www.boe.es/gazeta/dias/1802/01/19/pdfs/GMD-1802-6.pdf#page=6","Abrir facsímil")</f>
        <v>Abrir facsímil</v>
      </c>
      <c r="K3695" s="15" t="s">
        <v>23</v>
      </c>
    </row>
    <row r="3696" spans="1:11" ht="42" customHeight="1">
      <c r="A3696" s="4" t="s">
        <v>9267</v>
      </c>
      <c r="B3696" s="5" t="s">
        <v>9268</v>
      </c>
      <c r="C3696" s="5" t="s">
        <v>35</v>
      </c>
      <c r="D3696" s="5" t="s">
        <v>36</v>
      </c>
      <c r="E3696" s="5" t="s">
        <v>86</v>
      </c>
      <c r="F3696" s="9">
        <v>26</v>
      </c>
      <c r="G3696" s="9">
        <v>289</v>
      </c>
      <c r="H3696" s="5" t="s">
        <v>21</v>
      </c>
      <c r="I3696" s="5" t="s">
        <v>9269</v>
      </c>
      <c r="J3696" s="12" t="str">
        <f>HYPERLINK("https://www.boe.es/gazeta/dias/1802/03/30/pdfs/GMD-1802-26.pdf#page=1","Abrir facsímil")</f>
        <v>Abrir facsímil</v>
      </c>
      <c r="K3696" s="15" t="s">
        <v>23</v>
      </c>
    </row>
    <row r="3697" spans="1:11" ht="42" customHeight="1">
      <c r="A3697" s="4" t="s">
        <v>9267</v>
      </c>
      <c r="B3697" s="5" t="s">
        <v>9268</v>
      </c>
      <c r="C3697" s="5" t="s">
        <v>35</v>
      </c>
      <c r="D3697" s="5" t="s">
        <v>36</v>
      </c>
      <c r="E3697" s="5" t="s">
        <v>31</v>
      </c>
      <c r="F3697" s="9">
        <v>27</v>
      </c>
      <c r="G3697" s="9">
        <v>311</v>
      </c>
      <c r="H3697" s="5" t="s">
        <v>21</v>
      </c>
      <c r="I3697" s="5" t="s">
        <v>9270</v>
      </c>
      <c r="J3697" s="12" t="str">
        <f>HYPERLINK("https://www.boe.es/gazeta/dias/1802/04/02/pdfs/GMD-1802-27.pdf#page=7","Abrir facsímil")</f>
        <v>Abrir facsímil</v>
      </c>
      <c r="K3697" s="15" t="s">
        <v>23</v>
      </c>
    </row>
    <row r="3698" spans="1:11" ht="42" customHeight="1">
      <c r="A3698" s="4" t="s">
        <v>9267</v>
      </c>
      <c r="B3698" s="5" t="s">
        <v>9268</v>
      </c>
      <c r="C3698" s="5" t="s">
        <v>29</v>
      </c>
      <c r="D3698" s="5" t="s">
        <v>30</v>
      </c>
      <c r="E3698" s="5" t="s">
        <v>1829</v>
      </c>
      <c r="F3698" s="9">
        <v>32</v>
      </c>
      <c r="G3698" s="9">
        <v>372</v>
      </c>
      <c r="H3698" s="5" t="s">
        <v>21</v>
      </c>
      <c r="I3698" s="5" t="s">
        <v>9271</v>
      </c>
      <c r="J3698" s="12" t="str">
        <f>HYPERLINK("https://www.boe.es/gazeta/dias/1802/04/20/pdfs/GMD-1802-32.pdf#page=4","Abrir facsímil")</f>
        <v>Abrir facsímil</v>
      </c>
      <c r="K3698" s="15" t="s">
        <v>23</v>
      </c>
    </row>
    <row r="3699" spans="1:11" ht="42" customHeight="1">
      <c r="A3699" s="4" t="s">
        <v>9267</v>
      </c>
      <c r="B3699" s="5" t="s">
        <v>9268</v>
      </c>
      <c r="C3699" s="5" t="s">
        <v>35</v>
      </c>
      <c r="D3699" s="5" t="s">
        <v>36</v>
      </c>
      <c r="E3699" s="5" t="s">
        <v>25</v>
      </c>
      <c r="F3699" s="9">
        <v>44</v>
      </c>
      <c r="G3699" s="9">
        <v>525</v>
      </c>
      <c r="H3699" s="5" t="s">
        <v>21</v>
      </c>
      <c r="I3699" s="5" t="s">
        <v>9272</v>
      </c>
      <c r="J3699" s="12" t="str">
        <f>HYPERLINK("https://www.boe.es/gazeta/dias/1802/06/01/pdfs/GMD-1802-44.pdf#page=1","Abrir facsímil")</f>
        <v>Abrir facsímil</v>
      </c>
      <c r="K3699" s="15" t="s">
        <v>23</v>
      </c>
    </row>
    <row r="3700" spans="1:11" ht="42" customHeight="1">
      <c r="A3700" s="4" t="s">
        <v>9273</v>
      </c>
      <c r="B3700" s="5" t="s">
        <v>9274</v>
      </c>
      <c r="C3700" s="5" t="s">
        <v>35</v>
      </c>
      <c r="D3700" s="5" t="s">
        <v>36</v>
      </c>
      <c r="E3700" s="5" t="s">
        <v>146</v>
      </c>
      <c r="F3700" s="9">
        <v>42</v>
      </c>
      <c r="G3700" s="9">
        <v>497</v>
      </c>
      <c r="H3700" s="5" t="s">
        <v>21</v>
      </c>
      <c r="I3700" s="5" t="s">
        <v>9275</v>
      </c>
      <c r="J3700" s="12" t="str">
        <f>HYPERLINK("https://www.boe.es/gazeta/dias/1802/05/25/pdfs/GMD-1802-42.pdf#page=1","Abrir facsímil")</f>
        <v>Abrir facsímil</v>
      </c>
      <c r="K3700" s="15" t="s">
        <v>23</v>
      </c>
    </row>
    <row r="3701" spans="1:11" ht="42" customHeight="1">
      <c r="A3701" s="4" t="s">
        <v>9276</v>
      </c>
      <c r="B3701" s="5" t="s">
        <v>9277</v>
      </c>
      <c r="C3701" s="5" t="s">
        <v>35</v>
      </c>
      <c r="D3701" s="5" t="s">
        <v>36</v>
      </c>
      <c r="E3701" s="5" t="s">
        <v>133</v>
      </c>
      <c r="F3701" s="9">
        <v>33</v>
      </c>
      <c r="G3701" s="9">
        <v>382</v>
      </c>
      <c r="H3701" s="5" t="s">
        <v>21</v>
      </c>
      <c r="I3701" s="5" t="s">
        <v>9278</v>
      </c>
      <c r="J3701" s="12" t="str">
        <f>HYPERLINK("https://www.boe.es/gazeta/dias/1802/04/23/pdfs/GMD-1802-33.pdf#page=2","Abrir facsímil")</f>
        <v>Abrir facsímil</v>
      </c>
      <c r="K3701" s="15" t="s">
        <v>23</v>
      </c>
    </row>
    <row r="3702" spans="1:11" ht="42" customHeight="1">
      <c r="A3702" s="4" t="s">
        <v>9279</v>
      </c>
      <c r="B3702" s="5" t="s">
        <v>9279</v>
      </c>
      <c r="C3702" s="5" t="s">
        <v>35</v>
      </c>
      <c r="D3702" s="5" t="s">
        <v>36</v>
      </c>
      <c r="E3702" s="5" t="s">
        <v>754</v>
      </c>
      <c r="F3702" s="9">
        <v>101</v>
      </c>
      <c r="G3702" s="9">
        <v>1238</v>
      </c>
      <c r="H3702" s="5" t="s">
        <v>21</v>
      </c>
      <c r="I3702" s="5" t="s">
        <v>9280</v>
      </c>
      <c r="J3702" s="12" t="str">
        <f>HYPERLINK("https://www.boe.es/gazeta/dias/1802/12/14/pdfs/GMD-1802-101.pdf#page=2","Abrir facsímil")</f>
        <v>Abrir facsímil</v>
      </c>
      <c r="K3702" s="15" t="s">
        <v>23</v>
      </c>
    </row>
    <row r="3703" spans="1:11" ht="42" customHeight="1">
      <c r="A3703" s="4" t="s">
        <v>9281</v>
      </c>
      <c r="B3703" s="5" t="s">
        <v>9281</v>
      </c>
      <c r="C3703" s="5" t="s">
        <v>160</v>
      </c>
      <c r="D3703" s="5" t="s">
        <v>91</v>
      </c>
      <c r="E3703" s="5" t="s">
        <v>219</v>
      </c>
      <c r="F3703" s="9">
        <v>81</v>
      </c>
      <c r="G3703" s="9">
        <v>998</v>
      </c>
      <c r="H3703" s="5" t="s">
        <v>21</v>
      </c>
      <c r="I3703" s="5" t="s">
        <v>9282</v>
      </c>
      <c r="J3703" s="12" t="str">
        <f>HYPERLINK("https://www.boe.es/gazeta/dias/1802/10/05/pdfs/GMD-1802-81.pdf#page=10","Abrir facsímil")</f>
        <v>Abrir facsímil</v>
      </c>
      <c r="K3703" s="15" t="s">
        <v>23</v>
      </c>
    </row>
    <row r="3704" spans="1:11" ht="42" customHeight="1">
      <c r="A3704" s="4" t="s">
        <v>9283</v>
      </c>
      <c r="B3704" s="5" t="s">
        <v>9283</v>
      </c>
      <c r="C3704" s="5" t="s">
        <v>35</v>
      </c>
      <c r="D3704" s="5" t="s">
        <v>36</v>
      </c>
      <c r="E3704" s="5" t="s">
        <v>590</v>
      </c>
      <c r="F3704" s="9">
        <v>38</v>
      </c>
      <c r="G3704" s="9">
        <v>448</v>
      </c>
      <c r="H3704" s="5" t="s">
        <v>21</v>
      </c>
      <c r="I3704" s="5" t="s">
        <v>9284</v>
      </c>
      <c r="J3704" s="12" t="str">
        <f>HYPERLINK("https://www.boe.es/gazeta/dias/1802/05/11/pdfs/GMD-1802-38.pdf#page=4","Abrir facsímil")</f>
        <v>Abrir facsímil</v>
      </c>
      <c r="K3704" s="15" t="s">
        <v>23</v>
      </c>
    </row>
    <row r="3705" spans="1:11" ht="42" customHeight="1">
      <c r="A3705" s="4" t="s">
        <v>9285</v>
      </c>
      <c r="B3705" s="5" t="s">
        <v>9286</v>
      </c>
      <c r="C3705" s="5" t="s">
        <v>18</v>
      </c>
      <c r="D3705" s="5" t="s">
        <v>19</v>
      </c>
      <c r="E3705" s="5" t="s">
        <v>196</v>
      </c>
      <c r="F3705" s="9">
        <v>2</v>
      </c>
      <c r="G3705" s="9">
        <v>12</v>
      </c>
      <c r="H3705" s="5" t="s">
        <v>21</v>
      </c>
      <c r="I3705" s="5" t="s">
        <v>9287</v>
      </c>
      <c r="J3705" s="12" t="str">
        <f>HYPERLINK("https://www.boe.es/gazeta/dias/1802/01/05/pdfs/GMD-1802-2.pdf#page=4","Abrir facsímil")</f>
        <v>Abrir facsímil</v>
      </c>
      <c r="K3705" s="15" t="s">
        <v>23</v>
      </c>
    </row>
    <row r="3706" spans="1:11" ht="42" customHeight="1">
      <c r="A3706" s="4" t="s">
        <v>9288</v>
      </c>
      <c r="B3706" s="5" t="s">
        <v>9289</v>
      </c>
      <c r="C3706" s="5" t="s">
        <v>35</v>
      </c>
      <c r="D3706" s="5" t="s">
        <v>36</v>
      </c>
      <c r="E3706" s="5" t="s">
        <v>181</v>
      </c>
      <c r="F3706" s="9">
        <v>55</v>
      </c>
      <c r="G3706" s="9">
        <v>659</v>
      </c>
      <c r="H3706" s="5" t="s">
        <v>21</v>
      </c>
      <c r="I3706" s="5" t="s">
        <v>9290</v>
      </c>
      <c r="J3706" s="12" t="str">
        <f>HYPERLINK("https://www.boe.es/gazeta/dias/1802/07/09/pdfs/GMD-1802-55.pdf#page=3","Abrir facsímil")</f>
        <v>Abrir facsímil</v>
      </c>
      <c r="K3706" s="15" t="s">
        <v>23</v>
      </c>
    </row>
    <row r="3707" spans="1:11" ht="42" customHeight="1">
      <c r="A3707" s="4" t="s">
        <v>9288</v>
      </c>
      <c r="B3707" s="5" t="s">
        <v>9289</v>
      </c>
      <c r="C3707" s="5" t="s">
        <v>35</v>
      </c>
      <c r="D3707" s="5" t="s">
        <v>36</v>
      </c>
      <c r="E3707" s="5" t="s">
        <v>102</v>
      </c>
      <c r="F3707" s="9">
        <v>73</v>
      </c>
      <c r="G3707" s="9">
        <v>895</v>
      </c>
      <c r="H3707" s="5" t="s">
        <v>21</v>
      </c>
      <c r="I3707" s="5" t="s">
        <v>9291</v>
      </c>
      <c r="J3707" s="12" t="str">
        <f>HYPERLINK("https://www.boe.es/gazeta/dias/1802/09/07/pdfs/GMD-1802-73.pdf#page=3","Abrir facsímil")</f>
        <v>Abrir facsímil</v>
      </c>
      <c r="K3707" s="15" t="s">
        <v>23</v>
      </c>
    </row>
    <row r="3708" spans="1:11" ht="42" customHeight="1">
      <c r="A3708" s="4" t="s">
        <v>9288</v>
      </c>
      <c r="B3708" s="5" t="s">
        <v>9289</v>
      </c>
      <c r="C3708" s="5" t="s">
        <v>90</v>
      </c>
      <c r="D3708" s="5" t="s">
        <v>91</v>
      </c>
      <c r="E3708" s="5" t="s">
        <v>481</v>
      </c>
      <c r="F3708" s="9">
        <v>79</v>
      </c>
      <c r="G3708" s="9">
        <v>966</v>
      </c>
      <c r="H3708" s="5" t="s">
        <v>21</v>
      </c>
      <c r="I3708" s="5" t="s">
        <v>9292</v>
      </c>
      <c r="J3708" s="12" t="str">
        <f>HYPERLINK("https://www.boe.es/gazeta/dias/1802/09/28/pdfs/GMD-1802-79.pdf#page=2","Abrir facsímil")</f>
        <v>Abrir facsímil</v>
      </c>
      <c r="K3708" s="15" t="s">
        <v>23</v>
      </c>
    </row>
    <row r="3709" spans="1:11" ht="42" customHeight="1">
      <c r="A3709" s="4" t="s">
        <v>9293</v>
      </c>
      <c r="B3709" s="5" t="s">
        <v>9293</v>
      </c>
      <c r="C3709" s="5" t="s">
        <v>18</v>
      </c>
      <c r="D3709" s="5" t="s">
        <v>19</v>
      </c>
      <c r="E3709" s="5" t="s">
        <v>604</v>
      </c>
      <c r="F3709" s="9">
        <v>100</v>
      </c>
      <c r="G3709" s="9">
        <v>1236</v>
      </c>
      <c r="H3709" s="5" t="s">
        <v>21</v>
      </c>
      <c r="I3709" s="5" t="s">
        <v>9294</v>
      </c>
      <c r="J3709" s="12" t="str">
        <f>HYPERLINK("https://www.boe.es/gazeta/dias/1802/12/10/pdfs/GMD-1802-100.pdf#page=8","Abrir facsímil")</f>
        <v>Abrir facsímil</v>
      </c>
      <c r="K3709" s="15" t="s">
        <v>23</v>
      </c>
    </row>
    <row r="3710" spans="1:11" ht="42" customHeight="1">
      <c r="A3710" s="4" t="s">
        <v>9295</v>
      </c>
      <c r="B3710" s="5" t="s">
        <v>9296</v>
      </c>
      <c r="C3710" s="5" t="s">
        <v>18</v>
      </c>
      <c r="D3710" s="5" t="s">
        <v>19</v>
      </c>
      <c r="E3710" s="5" t="s">
        <v>20</v>
      </c>
      <c r="F3710" s="9">
        <v>84</v>
      </c>
      <c r="G3710" s="9">
        <v>1047</v>
      </c>
      <c r="H3710" s="5" t="s">
        <v>21</v>
      </c>
      <c r="I3710" s="5" t="s">
        <v>9297</v>
      </c>
      <c r="J3710" s="12" t="str">
        <f>HYPERLINK("https://www.boe.es/gazeta/dias/1802/10/15/pdfs/GMD-1802-84.pdf#page=15","Abrir facsímil")</f>
        <v>Abrir facsímil</v>
      </c>
      <c r="K3710" s="15" t="s">
        <v>23</v>
      </c>
    </row>
    <row r="3711" spans="1:11" ht="42" customHeight="1">
      <c r="A3711" s="4" t="s">
        <v>9298</v>
      </c>
      <c r="B3711" s="5" t="s">
        <v>9299</v>
      </c>
      <c r="C3711" s="5" t="s">
        <v>18</v>
      </c>
      <c r="D3711" s="5" t="s">
        <v>19</v>
      </c>
      <c r="E3711" s="5" t="s">
        <v>49</v>
      </c>
      <c r="F3711" s="9">
        <v>83</v>
      </c>
      <c r="G3711" s="9">
        <v>1025</v>
      </c>
      <c r="H3711" s="5" t="s">
        <v>21</v>
      </c>
      <c r="I3711" s="5" t="s">
        <v>9300</v>
      </c>
      <c r="J3711" s="12" t="str">
        <f>HYPERLINK("https://www.boe.es/gazeta/dias/1802/10/12/pdfs/GMD-1802-83.pdf#page=13","Abrir facsímil")</f>
        <v>Abrir facsímil</v>
      </c>
      <c r="K3711" s="15" t="s">
        <v>23</v>
      </c>
    </row>
    <row r="3712" spans="1:11" ht="42" customHeight="1">
      <c r="A3712" s="4" t="s">
        <v>9301</v>
      </c>
      <c r="B3712" s="5" t="s">
        <v>9301</v>
      </c>
      <c r="C3712" s="5" t="s">
        <v>35</v>
      </c>
      <c r="D3712" s="5" t="s">
        <v>36</v>
      </c>
      <c r="E3712" s="5" t="s">
        <v>1588</v>
      </c>
      <c r="F3712" s="9">
        <v>18</v>
      </c>
      <c r="G3712" s="9">
        <v>191</v>
      </c>
      <c r="H3712" s="5" t="s">
        <v>21</v>
      </c>
      <c r="I3712" s="5" t="s">
        <v>9302</v>
      </c>
      <c r="J3712" s="12" t="str">
        <f>HYPERLINK("https://www.boe.es/gazeta/dias/1802/03/02/pdfs/GMD-1802-18.pdf#page=3","Abrir facsímil")</f>
        <v>Abrir facsímil</v>
      </c>
      <c r="K3712" s="15" t="s">
        <v>23</v>
      </c>
    </row>
    <row r="3713" spans="1:11" ht="42" customHeight="1">
      <c r="A3713" s="4" t="s">
        <v>9301</v>
      </c>
      <c r="B3713" s="5" t="s">
        <v>9301</v>
      </c>
      <c r="C3713" s="5" t="s">
        <v>18</v>
      </c>
      <c r="D3713" s="5" t="s">
        <v>19</v>
      </c>
      <c r="E3713" s="5" t="s">
        <v>152</v>
      </c>
      <c r="F3713" s="9">
        <v>25</v>
      </c>
      <c r="G3713" s="9">
        <v>283</v>
      </c>
      <c r="H3713" s="5" t="s">
        <v>21</v>
      </c>
      <c r="I3713" s="5" t="s">
        <v>9303</v>
      </c>
      <c r="J3713" s="12" t="str">
        <f>HYPERLINK("https://www.boe.es/gazeta/dias/1802/03/26/pdfs/GMD-1802-25.pdf#page=7","Abrir facsímil")</f>
        <v>Abrir facsímil</v>
      </c>
      <c r="K3713" s="15" t="s">
        <v>23</v>
      </c>
    </row>
    <row r="3714" spans="1:11" ht="42" customHeight="1">
      <c r="A3714" s="4" t="s">
        <v>9304</v>
      </c>
      <c r="B3714" s="5" t="s">
        <v>9305</v>
      </c>
      <c r="C3714" s="5" t="s">
        <v>18</v>
      </c>
      <c r="D3714" s="5" t="s">
        <v>19</v>
      </c>
      <c r="E3714" s="5" t="s">
        <v>814</v>
      </c>
      <c r="F3714" s="9">
        <v>41</v>
      </c>
      <c r="G3714" s="9">
        <v>495</v>
      </c>
      <c r="H3714" s="5" t="s">
        <v>21</v>
      </c>
      <c r="I3714" s="5" t="s">
        <v>9306</v>
      </c>
      <c r="J3714" s="12" t="str">
        <f>HYPERLINK("https://www.boe.es/gazeta/dias/1802/05/21/pdfs/GMD-1802-41.pdf#page=11","Abrir facsímil")</f>
        <v>Abrir facsímil</v>
      </c>
      <c r="K3714" s="15" t="s">
        <v>23</v>
      </c>
    </row>
    <row r="3715" spans="1:11" ht="42" customHeight="1">
      <c r="A3715" s="4" t="s">
        <v>9307</v>
      </c>
      <c r="B3715" s="5" t="s">
        <v>9308</v>
      </c>
      <c r="C3715" s="5" t="s">
        <v>160</v>
      </c>
      <c r="D3715" s="5" t="s">
        <v>91</v>
      </c>
      <c r="E3715" s="5" t="s">
        <v>219</v>
      </c>
      <c r="F3715" s="9">
        <v>81</v>
      </c>
      <c r="G3715" s="9">
        <v>998</v>
      </c>
      <c r="H3715" s="5" t="s">
        <v>21</v>
      </c>
      <c r="I3715" s="5" t="s">
        <v>9309</v>
      </c>
      <c r="J3715" s="12" t="str">
        <f>HYPERLINK("https://www.boe.es/gazeta/dias/1802/10/05/pdfs/GMD-1802-81.pdf#page=10","Abrir facsímil")</f>
        <v>Abrir facsímil</v>
      </c>
      <c r="K3715" s="15" t="s">
        <v>23</v>
      </c>
    </row>
    <row r="3716" spans="1:11" ht="42" customHeight="1">
      <c r="A3716" s="4" t="s">
        <v>9310</v>
      </c>
      <c r="B3716" s="5" t="s">
        <v>9311</v>
      </c>
      <c r="C3716" s="5" t="s">
        <v>29</v>
      </c>
      <c r="D3716" s="5" t="s">
        <v>30</v>
      </c>
      <c r="E3716" s="5" t="s">
        <v>491</v>
      </c>
      <c r="F3716" s="9">
        <v>57</v>
      </c>
      <c r="G3716" s="9">
        <v>689</v>
      </c>
      <c r="H3716" s="5" t="s">
        <v>21</v>
      </c>
      <c r="I3716" s="5" t="s">
        <v>9312</v>
      </c>
      <c r="J3716" s="12" t="str">
        <f>HYPERLINK("https://www.boe.es/gazeta/dias/1802/07/16/pdfs/GMD-1802-57.pdf#page=9","Abrir facsímil")</f>
        <v>Abrir facsímil</v>
      </c>
      <c r="K3716" s="15" t="s">
        <v>23</v>
      </c>
    </row>
    <row r="3717" spans="1:11" ht="42" customHeight="1">
      <c r="A3717" s="4" t="s">
        <v>9313</v>
      </c>
      <c r="B3717" s="5" t="s">
        <v>9313</v>
      </c>
      <c r="C3717" s="5" t="s">
        <v>42</v>
      </c>
      <c r="D3717" s="5" t="s">
        <v>43</v>
      </c>
      <c r="E3717" s="5" t="s">
        <v>44</v>
      </c>
      <c r="F3717" s="9">
        <v>99</v>
      </c>
      <c r="G3717" s="9" t="s">
        <v>322</v>
      </c>
      <c r="H3717" s="5" t="s">
        <v>21</v>
      </c>
      <c r="I3717" s="5" t="s">
        <v>9314</v>
      </c>
      <c r="J3717" s="12" t="str">
        <f>HYPERLINK("https://www.boe.es/gazeta/dias/1802/12/07/pdfs/GMD-D-1802-99.pdf#page=10","Abrir facsímil")</f>
        <v>Abrir facsímil</v>
      </c>
      <c r="K3717" s="15" t="s">
        <v>23</v>
      </c>
    </row>
    <row r="3718" spans="1:11" ht="42" customHeight="1">
      <c r="A3718" s="4" t="s">
        <v>9315</v>
      </c>
      <c r="B3718" s="5" t="s">
        <v>9316</v>
      </c>
      <c r="C3718" s="5" t="s">
        <v>29</v>
      </c>
      <c r="D3718" s="5" t="s">
        <v>30</v>
      </c>
      <c r="E3718" s="5" t="s">
        <v>1051</v>
      </c>
      <c r="F3718" s="9">
        <v>43</v>
      </c>
      <c r="G3718" s="9">
        <v>518</v>
      </c>
      <c r="H3718" s="5" t="s">
        <v>21</v>
      </c>
      <c r="I3718" s="5" t="s">
        <v>9317</v>
      </c>
      <c r="J3718" s="12" t="str">
        <f>HYPERLINK("https://www.boe.es/gazeta/dias/1802/05/28/pdfs/GMD-1802-43.pdf#page=10","Abrir facsímil")</f>
        <v>Abrir facsímil</v>
      </c>
      <c r="K3718" s="15" t="s">
        <v>23</v>
      </c>
    </row>
    <row r="3719" spans="1:11" ht="42" customHeight="1">
      <c r="A3719" s="4" t="s">
        <v>9318</v>
      </c>
      <c r="B3719" s="5" t="s">
        <v>9319</v>
      </c>
      <c r="C3719" s="5" t="s">
        <v>42</v>
      </c>
      <c r="D3719" s="5" t="s">
        <v>43</v>
      </c>
      <c r="E3719" s="5" t="s">
        <v>44</v>
      </c>
      <c r="F3719" s="9">
        <v>99</v>
      </c>
      <c r="G3719" s="9" t="s">
        <v>222</v>
      </c>
      <c r="H3719" s="5" t="s">
        <v>21</v>
      </c>
      <c r="I3719" s="5" t="s">
        <v>9320</v>
      </c>
      <c r="J3719" s="12" t="str">
        <f>HYPERLINK("https://www.boe.es/gazeta/dias/1802/12/07/pdfs/GMD-D-1802-99.pdf#page=5","Abrir facsímil")</f>
        <v>Abrir facsímil</v>
      </c>
      <c r="K3719" s="15" t="s">
        <v>23</v>
      </c>
    </row>
    <row r="3720" spans="1:11" ht="42" customHeight="1">
      <c r="A3720" s="4" t="s">
        <v>9321</v>
      </c>
      <c r="B3720" s="5" t="s">
        <v>9322</v>
      </c>
      <c r="C3720" s="5" t="s">
        <v>29</v>
      </c>
      <c r="D3720" s="5" t="s">
        <v>30</v>
      </c>
      <c r="E3720" s="5" t="s">
        <v>439</v>
      </c>
      <c r="F3720" s="9">
        <v>76</v>
      </c>
      <c r="G3720" s="9">
        <v>939</v>
      </c>
      <c r="H3720" s="5" t="s">
        <v>21</v>
      </c>
      <c r="I3720" s="5" t="s">
        <v>9323</v>
      </c>
      <c r="J3720" s="12" t="str">
        <f>HYPERLINK("https://www.boe.es/gazeta/dias/1802/09/17/pdfs/GMD-1802-76.pdf#page=11","Abrir facsímil")</f>
        <v>Abrir facsímil</v>
      </c>
      <c r="K3720" s="15" t="s">
        <v>23</v>
      </c>
    </row>
    <row r="3721" spans="1:11" ht="42" customHeight="1">
      <c r="A3721" s="4" t="s">
        <v>9324</v>
      </c>
      <c r="B3721" s="5" t="s">
        <v>9325</v>
      </c>
      <c r="C3721" s="5" t="s">
        <v>18</v>
      </c>
      <c r="D3721" s="5" t="s">
        <v>19</v>
      </c>
      <c r="E3721" s="5" t="s">
        <v>49</v>
      </c>
      <c r="F3721" s="9">
        <v>83</v>
      </c>
      <c r="G3721" s="9">
        <v>1024</v>
      </c>
      <c r="H3721" s="5" t="s">
        <v>21</v>
      </c>
      <c r="I3721" s="5" t="s">
        <v>9326</v>
      </c>
      <c r="J3721" s="12" t="str">
        <f>HYPERLINK("https://www.boe.es/gazeta/dias/1802/10/12/pdfs/GMD-1802-83.pdf#page=12","Abrir facsímil")</f>
        <v>Abrir facsímil</v>
      </c>
      <c r="K3721" s="15" t="s">
        <v>23</v>
      </c>
    </row>
    <row r="3722" spans="1:11" ht="42" customHeight="1">
      <c r="A3722" s="4" t="s">
        <v>9327</v>
      </c>
      <c r="B3722" s="5" t="s">
        <v>9328</v>
      </c>
      <c r="C3722" s="5" t="s">
        <v>18</v>
      </c>
      <c r="D3722" s="5" t="s">
        <v>19</v>
      </c>
      <c r="E3722" s="5" t="s">
        <v>439</v>
      </c>
      <c r="F3722" s="9">
        <v>76</v>
      </c>
      <c r="G3722" s="9">
        <v>939</v>
      </c>
      <c r="H3722" s="5" t="s">
        <v>21</v>
      </c>
      <c r="I3722" s="5" t="s">
        <v>9329</v>
      </c>
      <c r="J3722" s="12" t="str">
        <f>HYPERLINK("https://www.boe.es/gazeta/dias/1802/09/17/pdfs/GMD-1802-76.pdf#page=11","Abrir facsímil")</f>
        <v>Abrir facsímil</v>
      </c>
      <c r="K3722" s="15" t="s">
        <v>23</v>
      </c>
    </row>
    <row r="3723" spans="1:11" ht="42" customHeight="1">
      <c r="A3723" s="4" t="s">
        <v>9330</v>
      </c>
      <c r="B3723" s="5" t="s">
        <v>9331</v>
      </c>
      <c r="C3723" s="5" t="s">
        <v>29</v>
      </c>
      <c r="D3723" s="5" t="s">
        <v>30</v>
      </c>
      <c r="E3723" s="5" t="s">
        <v>128</v>
      </c>
      <c r="F3723" s="9">
        <v>9</v>
      </c>
      <c r="G3723" s="9">
        <v>89</v>
      </c>
      <c r="H3723" s="5" t="s">
        <v>21</v>
      </c>
      <c r="I3723" s="5" t="s">
        <v>9332</v>
      </c>
      <c r="J3723" s="12" t="str">
        <f>HYPERLINK("https://www.boe.es/gazeta/dias/1802/01/29/pdfs/GMD-1802-9.pdf#page=9","Abrir facsímil")</f>
        <v>Abrir facsímil</v>
      </c>
      <c r="K3723" s="15" t="s">
        <v>23</v>
      </c>
    </row>
    <row r="3724" spans="1:11" ht="42" customHeight="1">
      <c r="A3724" s="4" t="s">
        <v>9333</v>
      </c>
      <c r="B3724" s="5" t="s">
        <v>9333</v>
      </c>
      <c r="C3724" s="5" t="s">
        <v>55</v>
      </c>
      <c r="D3724" s="5" t="s">
        <v>56</v>
      </c>
      <c r="E3724" s="5" t="s">
        <v>1332</v>
      </c>
      <c r="F3724" s="9">
        <v>4</v>
      </c>
      <c r="G3724" s="9">
        <v>30</v>
      </c>
      <c r="H3724" s="5" t="s">
        <v>21</v>
      </c>
      <c r="I3724" s="5" t="s">
        <v>9334</v>
      </c>
      <c r="J3724" s="12" t="str">
        <f>HYPERLINK("https://www.boe.es/gazeta/dias/1802/01/12/pdfs/GMD-1802-4.pdf#page=2","Abrir facsímil")</f>
        <v>Abrir facsímil</v>
      </c>
      <c r="K3724" s="15" t="s">
        <v>23</v>
      </c>
    </row>
    <row r="3725" spans="1:11" ht="42" customHeight="1">
      <c r="A3725" s="4" t="s">
        <v>9335</v>
      </c>
      <c r="B3725" s="5" t="s">
        <v>9336</v>
      </c>
      <c r="C3725" s="5" t="s">
        <v>55</v>
      </c>
      <c r="D3725" s="5" t="s">
        <v>56</v>
      </c>
      <c r="E3725" s="5" t="s">
        <v>385</v>
      </c>
      <c r="F3725" s="9">
        <v>70</v>
      </c>
      <c r="G3725" s="9">
        <v>862</v>
      </c>
      <c r="H3725" s="5" t="s">
        <v>21</v>
      </c>
      <c r="I3725" s="5" t="s">
        <v>9337</v>
      </c>
      <c r="J3725" s="12" t="str">
        <f>HYPERLINK("https://www.boe.es/gazeta/dias/1802/08/27/pdfs/GMD-1802-70.pdf#page=10","Abrir facsímil")</f>
        <v>Abrir facsímil</v>
      </c>
      <c r="K3725" s="15" t="s">
        <v>23</v>
      </c>
    </row>
    <row r="3726" spans="1:11" ht="42" customHeight="1">
      <c r="A3726" s="4" t="s">
        <v>9338</v>
      </c>
      <c r="B3726" s="5" t="s">
        <v>9339</v>
      </c>
      <c r="C3726" s="5" t="s">
        <v>29</v>
      </c>
      <c r="D3726" s="5" t="s">
        <v>30</v>
      </c>
      <c r="E3726" s="5" t="s">
        <v>92</v>
      </c>
      <c r="F3726" s="9">
        <v>29</v>
      </c>
      <c r="G3726" s="9">
        <v>343</v>
      </c>
      <c r="H3726" s="5" t="s">
        <v>21</v>
      </c>
      <c r="I3726" s="5" t="s">
        <v>9340</v>
      </c>
      <c r="J3726" s="12" t="str">
        <f>HYPERLINK("https://www.boe.es/gazeta/dias/1802/04/09/pdfs/GMD-1802-29.pdf#page=11","Abrir facsímil")</f>
        <v>Abrir facsímil</v>
      </c>
      <c r="K3726" s="15" t="s">
        <v>23</v>
      </c>
    </row>
    <row r="3727" spans="1:11" ht="42" customHeight="1">
      <c r="A3727" s="4" t="s">
        <v>9341</v>
      </c>
      <c r="B3727" s="5" t="s">
        <v>9342</v>
      </c>
      <c r="C3727" s="5" t="s">
        <v>29</v>
      </c>
      <c r="D3727" s="5" t="s">
        <v>30</v>
      </c>
      <c r="E3727" s="5" t="s">
        <v>146</v>
      </c>
      <c r="F3727" s="9">
        <v>42</v>
      </c>
      <c r="G3727" s="9">
        <v>505</v>
      </c>
      <c r="H3727" s="5" t="s">
        <v>21</v>
      </c>
      <c r="I3727" s="5" t="s">
        <v>9343</v>
      </c>
      <c r="J3727" s="12" t="str">
        <f>HYPERLINK("https://www.boe.es/gazeta/dias/1802/05/25/pdfs/GMD-1802-42.pdf#page=9","Abrir facsímil")</f>
        <v>Abrir facsímil</v>
      </c>
      <c r="K3727" s="15" t="s">
        <v>23</v>
      </c>
    </row>
    <row r="3728" spans="1:11" ht="42" customHeight="1">
      <c r="A3728" s="4" t="s">
        <v>9344</v>
      </c>
      <c r="B3728" s="5" t="s">
        <v>9345</v>
      </c>
      <c r="C3728" s="5" t="s">
        <v>55</v>
      </c>
      <c r="D3728" s="5" t="s">
        <v>56</v>
      </c>
      <c r="E3728" s="5" t="s">
        <v>232</v>
      </c>
      <c r="F3728" s="9">
        <v>30</v>
      </c>
      <c r="G3728" s="9">
        <v>352</v>
      </c>
      <c r="H3728" s="5" t="s">
        <v>21</v>
      </c>
      <c r="I3728" s="5" t="s">
        <v>9346</v>
      </c>
      <c r="J3728" s="12" t="str">
        <f>HYPERLINK("https://www.boe.es/gazeta/dias/1802/04/13/pdfs/GMD-1802-30.pdf#page=8","Abrir facsímil")</f>
        <v>Abrir facsímil</v>
      </c>
      <c r="K3728" s="15" t="s">
        <v>23</v>
      </c>
    </row>
    <row r="3729" spans="1:11" ht="42" customHeight="1">
      <c r="A3729" s="4" t="s">
        <v>9347</v>
      </c>
      <c r="B3729" s="5" t="s">
        <v>9348</v>
      </c>
      <c r="C3729" s="5" t="s">
        <v>42</v>
      </c>
      <c r="D3729" s="5" t="s">
        <v>43</v>
      </c>
      <c r="E3729" s="5" t="s">
        <v>44</v>
      </c>
      <c r="F3729" s="9">
        <v>99</v>
      </c>
      <c r="G3729" s="9" t="s">
        <v>779</v>
      </c>
      <c r="H3729" s="5" t="s">
        <v>21</v>
      </c>
      <c r="I3729" s="5" t="s">
        <v>9349</v>
      </c>
      <c r="J3729" s="12" t="str">
        <f>HYPERLINK("https://www.boe.es/gazeta/dias/1802/12/07/pdfs/GMD-D-1802-99.pdf#page=13","Abrir facsímil")</f>
        <v>Abrir facsímil</v>
      </c>
      <c r="K3729" s="15" t="s">
        <v>23</v>
      </c>
    </row>
    <row r="3730" spans="1:11" ht="42" customHeight="1">
      <c r="A3730" s="4" t="s">
        <v>9350</v>
      </c>
      <c r="B3730" s="5" t="s">
        <v>9351</v>
      </c>
      <c r="C3730" s="5" t="s">
        <v>18</v>
      </c>
      <c r="D3730" s="5" t="s">
        <v>19</v>
      </c>
      <c r="E3730" s="5" t="s">
        <v>1588</v>
      </c>
      <c r="F3730" s="9">
        <v>18</v>
      </c>
      <c r="G3730" s="9">
        <v>197</v>
      </c>
      <c r="H3730" s="5" t="s">
        <v>21</v>
      </c>
      <c r="I3730" s="5" t="s">
        <v>9352</v>
      </c>
      <c r="J3730" s="12" t="str">
        <f>HYPERLINK("https://www.boe.es/gazeta/dias/1802/03/02/pdfs/GMD-1802-18.pdf#page=9","Abrir facsímil")</f>
        <v>Abrir facsímil</v>
      </c>
      <c r="K3730" s="15" t="s">
        <v>23</v>
      </c>
    </row>
    <row r="3731" spans="1:11" ht="42" customHeight="1">
      <c r="A3731" s="4" t="s">
        <v>9353</v>
      </c>
      <c r="B3731" s="5" t="s">
        <v>9354</v>
      </c>
      <c r="C3731" s="5" t="s">
        <v>35</v>
      </c>
      <c r="D3731" s="5" t="s">
        <v>36</v>
      </c>
      <c r="E3731" s="5" t="s">
        <v>611</v>
      </c>
      <c r="F3731" s="9">
        <v>68</v>
      </c>
      <c r="G3731" s="9">
        <v>832</v>
      </c>
      <c r="H3731" s="5" t="s">
        <v>21</v>
      </c>
      <c r="I3731" s="5" t="s">
        <v>9355</v>
      </c>
      <c r="J3731" s="12" t="str">
        <f>HYPERLINK("https://www.boe.es/gazeta/dias/1802/08/20/pdfs/GMD-1802-68.pdf#page=8","Abrir facsímil")</f>
        <v>Abrir facsímil</v>
      </c>
      <c r="K3731" s="15" t="s">
        <v>23</v>
      </c>
    </row>
    <row r="3732" spans="1:11" ht="42" customHeight="1">
      <c r="A3732" s="4" t="s">
        <v>9356</v>
      </c>
      <c r="B3732" s="5" t="s">
        <v>9357</v>
      </c>
      <c r="C3732" s="5" t="s">
        <v>18</v>
      </c>
      <c r="D3732" s="5" t="s">
        <v>19</v>
      </c>
      <c r="E3732" s="5" t="s">
        <v>20</v>
      </c>
      <c r="F3732" s="9">
        <v>84</v>
      </c>
      <c r="G3732" s="9">
        <v>1044</v>
      </c>
      <c r="H3732" s="5" t="s">
        <v>21</v>
      </c>
      <c r="I3732" s="5" t="s">
        <v>9358</v>
      </c>
      <c r="J3732" s="12" t="str">
        <f>HYPERLINK("https://www.boe.es/gazeta/dias/1802/10/15/pdfs/GMD-1802-84.pdf#page=12","Abrir facsímil")</f>
        <v>Abrir facsímil</v>
      </c>
      <c r="K3732" s="15" t="s">
        <v>23</v>
      </c>
    </row>
    <row r="3733" spans="1:11" ht="42" customHeight="1">
      <c r="A3733" s="4" t="s">
        <v>9359</v>
      </c>
      <c r="B3733" s="5" t="s">
        <v>9360</v>
      </c>
      <c r="C3733" s="5" t="s">
        <v>18</v>
      </c>
      <c r="D3733" s="5" t="s">
        <v>19</v>
      </c>
      <c r="E3733" s="5" t="s">
        <v>20</v>
      </c>
      <c r="F3733" s="9">
        <v>84</v>
      </c>
      <c r="G3733" s="9">
        <v>1040</v>
      </c>
      <c r="H3733" s="5" t="s">
        <v>21</v>
      </c>
      <c r="I3733" s="5" t="s">
        <v>9361</v>
      </c>
      <c r="J3733" s="12" t="str">
        <f>HYPERLINK("https://www.boe.es/gazeta/dias/1802/10/15/pdfs/GMD-1802-84.pdf#page=8","Abrir facsímil")</f>
        <v>Abrir facsímil</v>
      </c>
      <c r="K3733" s="15" t="s">
        <v>23</v>
      </c>
    </row>
    <row r="3734" spans="1:11" ht="42" customHeight="1">
      <c r="A3734" s="4" t="s">
        <v>9362</v>
      </c>
      <c r="B3734" s="5" t="s">
        <v>9363</v>
      </c>
      <c r="C3734" s="5" t="s">
        <v>90</v>
      </c>
      <c r="D3734" s="5" t="s">
        <v>91</v>
      </c>
      <c r="E3734" s="5" t="s">
        <v>436</v>
      </c>
      <c r="F3734" s="9">
        <v>58</v>
      </c>
      <c r="G3734" s="9">
        <v>704</v>
      </c>
      <c r="H3734" s="5" t="s">
        <v>21</v>
      </c>
      <c r="I3734" s="5" t="s">
        <v>9364</v>
      </c>
      <c r="J3734" s="12" t="str">
        <f>HYPERLINK("https://www.boe.es/gazeta/dias/1802/07/20/pdfs/GMD-1802-58.pdf#page=12","Abrir facsímil")</f>
        <v>Abrir facsímil</v>
      </c>
      <c r="K3734" s="15" t="s">
        <v>23</v>
      </c>
    </row>
    <row r="3735" spans="1:11" ht="42" customHeight="1">
      <c r="A3735" s="4" t="s">
        <v>9365</v>
      </c>
      <c r="B3735" s="5" t="s">
        <v>9366</v>
      </c>
      <c r="C3735" s="5" t="s">
        <v>29</v>
      </c>
      <c r="D3735" s="5" t="s">
        <v>30</v>
      </c>
      <c r="E3735" s="5" t="s">
        <v>131</v>
      </c>
      <c r="F3735" s="9">
        <v>11</v>
      </c>
      <c r="G3735" s="9">
        <v>114</v>
      </c>
      <c r="H3735" s="5" t="s">
        <v>21</v>
      </c>
      <c r="I3735" s="5" t="s">
        <v>9367</v>
      </c>
      <c r="J3735" s="12" t="str">
        <f>HYPERLINK("https://www.boe.es/gazeta/dias/1802/02/05/pdfs/GMD-1802-11.pdf#page=10","Abrir facsímil")</f>
        <v>Abrir facsímil</v>
      </c>
      <c r="K3735" s="15" t="s">
        <v>23</v>
      </c>
    </row>
    <row r="3736" spans="1:11" ht="42" customHeight="1">
      <c r="A3736" s="4" t="s">
        <v>9368</v>
      </c>
      <c r="B3736" s="5" t="s">
        <v>9369</v>
      </c>
      <c r="C3736" s="5" t="s">
        <v>42</v>
      </c>
      <c r="D3736" s="5" t="s">
        <v>43</v>
      </c>
      <c r="E3736" s="5" t="s">
        <v>44</v>
      </c>
      <c r="F3736" s="9">
        <v>99</v>
      </c>
      <c r="G3736" s="9" t="s">
        <v>548</v>
      </c>
      <c r="H3736" s="5" t="s">
        <v>21</v>
      </c>
      <c r="I3736" s="5" t="s">
        <v>9370</v>
      </c>
      <c r="J3736" s="12" t="str">
        <f>HYPERLINK("https://www.boe.es/gazeta/dias/1802/12/07/pdfs/GMD-D-1802-99.pdf#page=12","Abrir facsímil")</f>
        <v>Abrir facsímil</v>
      </c>
      <c r="K3736" s="15" t="s">
        <v>23</v>
      </c>
    </row>
    <row r="3737" spans="1:11" ht="42" customHeight="1">
      <c r="A3737" s="4" t="s">
        <v>9371</v>
      </c>
      <c r="B3737" s="5" t="s">
        <v>9372</v>
      </c>
      <c r="C3737" s="5" t="s">
        <v>18</v>
      </c>
      <c r="D3737" s="5" t="s">
        <v>19</v>
      </c>
      <c r="E3737" s="5" t="s">
        <v>49</v>
      </c>
      <c r="F3737" s="9">
        <v>83</v>
      </c>
      <c r="G3737" s="9">
        <v>1024</v>
      </c>
      <c r="H3737" s="5" t="s">
        <v>21</v>
      </c>
      <c r="I3737" s="5" t="s">
        <v>9373</v>
      </c>
      <c r="J3737" s="12" t="str">
        <f>HYPERLINK("https://www.boe.es/gazeta/dias/1802/10/12/pdfs/GMD-1802-83.pdf#page=12","Abrir facsímil")</f>
        <v>Abrir facsímil</v>
      </c>
      <c r="K3737" s="15" t="s">
        <v>23</v>
      </c>
    </row>
    <row r="3738" spans="1:11" ht="42" customHeight="1">
      <c r="A3738" s="4" t="s">
        <v>9374</v>
      </c>
      <c r="B3738" s="5" t="s">
        <v>9375</v>
      </c>
      <c r="C3738" s="5" t="s">
        <v>18</v>
      </c>
      <c r="D3738" s="5" t="s">
        <v>19</v>
      </c>
      <c r="E3738" s="5" t="s">
        <v>49</v>
      </c>
      <c r="F3738" s="9">
        <v>83</v>
      </c>
      <c r="G3738" s="9">
        <v>1025</v>
      </c>
      <c r="H3738" s="5" t="s">
        <v>21</v>
      </c>
      <c r="I3738" s="5" t="s">
        <v>9376</v>
      </c>
      <c r="J3738" s="12" t="str">
        <f>HYPERLINK("https://www.boe.es/gazeta/dias/1802/10/12/pdfs/GMD-1802-83.pdf#page=13","Abrir facsímil")</f>
        <v>Abrir facsímil</v>
      </c>
      <c r="K3738" s="15" t="s">
        <v>23</v>
      </c>
    </row>
    <row r="3739" spans="1:11" ht="42" customHeight="1">
      <c r="A3739" s="4" t="s">
        <v>9377</v>
      </c>
      <c r="B3739" s="5" t="s">
        <v>9377</v>
      </c>
      <c r="C3739" s="5" t="s">
        <v>35</v>
      </c>
      <c r="D3739" s="5" t="s">
        <v>36</v>
      </c>
      <c r="E3739" s="5" t="s">
        <v>181</v>
      </c>
      <c r="F3739" s="9">
        <v>55</v>
      </c>
      <c r="G3739" s="9">
        <v>661</v>
      </c>
      <c r="H3739" s="5" t="s">
        <v>21</v>
      </c>
      <c r="I3739" s="5" t="s">
        <v>9378</v>
      </c>
      <c r="J3739" s="12" t="str">
        <f>HYPERLINK("https://www.boe.es/gazeta/dias/1802/07/09/pdfs/GMD-1802-55.pdf#page=5","Abrir facsímil")</f>
        <v>Abrir facsímil</v>
      </c>
      <c r="K3739" s="15" t="s">
        <v>23</v>
      </c>
    </row>
    <row r="3740" spans="1:11" ht="42" customHeight="1">
      <c r="A3740" s="4" t="s">
        <v>9377</v>
      </c>
      <c r="B3740" s="5" t="s">
        <v>9377</v>
      </c>
      <c r="C3740" s="5" t="s">
        <v>18</v>
      </c>
      <c r="D3740" s="5" t="s">
        <v>19</v>
      </c>
      <c r="E3740" s="5" t="s">
        <v>258</v>
      </c>
      <c r="F3740" s="9">
        <v>63</v>
      </c>
      <c r="G3740" s="9">
        <v>768</v>
      </c>
      <c r="H3740" s="5" t="s">
        <v>21</v>
      </c>
      <c r="I3740" s="5" t="s">
        <v>9379</v>
      </c>
      <c r="J3740" s="12" t="str">
        <f>HYPERLINK("https://www.boe.es/gazeta/dias/1802/08/03/pdfs/GMD-1802-63.pdf#page=8","Abrir facsímil")</f>
        <v>Abrir facsímil</v>
      </c>
      <c r="K3740" s="15" t="s">
        <v>23</v>
      </c>
    </row>
    <row r="3741" spans="1:11" ht="42" customHeight="1">
      <c r="A3741" s="4" t="s">
        <v>9380</v>
      </c>
      <c r="B3741" s="5" t="s">
        <v>9380</v>
      </c>
      <c r="C3741" s="5" t="s">
        <v>35</v>
      </c>
      <c r="D3741" s="5" t="s">
        <v>36</v>
      </c>
      <c r="E3741" s="5" t="s">
        <v>109</v>
      </c>
      <c r="F3741" s="9">
        <v>10</v>
      </c>
      <c r="G3741" s="9">
        <v>94</v>
      </c>
      <c r="H3741" s="5" t="s">
        <v>21</v>
      </c>
      <c r="I3741" s="5" t="s">
        <v>9381</v>
      </c>
      <c r="J3741" s="12" t="str">
        <f>HYPERLINK("https://www.boe.es/gazeta/dias/1802/02/02/pdfs/GMD-1802-10.pdf#page=2","Abrir facsímil")</f>
        <v>Abrir facsímil</v>
      </c>
      <c r="K3741" s="15" t="s">
        <v>23</v>
      </c>
    </row>
    <row r="3742" spans="1:11" ht="42" customHeight="1">
      <c r="A3742" s="4" t="s">
        <v>9380</v>
      </c>
      <c r="B3742" s="5" t="s">
        <v>9380</v>
      </c>
      <c r="C3742" s="5" t="s">
        <v>35</v>
      </c>
      <c r="D3742" s="5" t="s">
        <v>36</v>
      </c>
      <c r="E3742" s="5" t="s">
        <v>131</v>
      </c>
      <c r="F3742" s="9">
        <v>11</v>
      </c>
      <c r="G3742" s="9">
        <v>109</v>
      </c>
      <c r="H3742" s="5" t="s">
        <v>21</v>
      </c>
      <c r="I3742" s="5" t="s">
        <v>9382</v>
      </c>
      <c r="J3742" s="12" t="str">
        <f>HYPERLINK("https://www.boe.es/gazeta/dias/1802/02/05/pdfs/GMD-1802-11.pdf#page=5","Abrir facsímil")</f>
        <v>Abrir facsímil</v>
      </c>
      <c r="K3742" s="15" t="s">
        <v>23</v>
      </c>
    </row>
    <row r="3743" spans="1:11" ht="42" customHeight="1">
      <c r="A3743" s="4" t="s">
        <v>9383</v>
      </c>
      <c r="B3743" s="5" t="s">
        <v>9384</v>
      </c>
      <c r="C3743" s="5" t="s">
        <v>18</v>
      </c>
      <c r="D3743" s="5" t="s">
        <v>19</v>
      </c>
      <c r="E3743" s="5" t="s">
        <v>175</v>
      </c>
      <c r="F3743" s="9">
        <v>37</v>
      </c>
      <c r="G3743" s="9">
        <v>443</v>
      </c>
      <c r="H3743" s="5" t="s">
        <v>21</v>
      </c>
      <c r="I3743" s="5" t="s">
        <v>9385</v>
      </c>
      <c r="J3743" s="12" t="str">
        <f>HYPERLINK("https://www.boe.es/gazeta/dias/1802/05/07/pdfs/GMD-1802-37.pdf#page=11","Abrir facsímil")</f>
        <v>Abrir facsímil</v>
      </c>
      <c r="K3743" s="15" t="s">
        <v>23</v>
      </c>
    </row>
    <row r="3744" spans="1:11" ht="42" customHeight="1">
      <c r="A3744" s="4" t="s">
        <v>9383</v>
      </c>
      <c r="B3744" s="5" t="s">
        <v>9384</v>
      </c>
      <c r="C3744" s="5" t="s">
        <v>18</v>
      </c>
      <c r="D3744" s="5" t="s">
        <v>19</v>
      </c>
      <c r="E3744" s="5" t="s">
        <v>590</v>
      </c>
      <c r="F3744" s="9">
        <v>38</v>
      </c>
      <c r="G3744" s="9">
        <v>456</v>
      </c>
      <c r="H3744" s="5" t="s">
        <v>21</v>
      </c>
      <c r="I3744" s="5" t="s">
        <v>9386</v>
      </c>
      <c r="J3744" s="12" t="str">
        <f>HYPERLINK("https://www.boe.es/gazeta/dias/1802/05/11/pdfs/GMD-1802-38.pdf#page=12","Abrir facsímil")</f>
        <v>Abrir facsímil</v>
      </c>
      <c r="K3744" s="15" t="s">
        <v>23</v>
      </c>
    </row>
    <row r="3745" spans="1:11" ht="42" customHeight="1">
      <c r="A3745" s="4" t="s">
        <v>9387</v>
      </c>
      <c r="B3745" s="5" t="s">
        <v>9388</v>
      </c>
      <c r="C3745" s="5" t="s">
        <v>29</v>
      </c>
      <c r="D3745" s="5" t="s">
        <v>30</v>
      </c>
      <c r="E3745" s="5" t="s">
        <v>670</v>
      </c>
      <c r="F3745" s="9">
        <v>40</v>
      </c>
      <c r="G3745" s="9">
        <v>483</v>
      </c>
      <c r="H3745" s="5" t="s">
        <v>21</v>
      </c>
      <c r="I3745" s="5" t="s">
        <v>9389</v>
      </c>
      <c r="J3745" s="12" t="str">
        <f>HYPERLINK("https://www.boe.es/gazeta/dias/1802/05/18/pdfs/GMD-1802-40.pdf#page=11","Abrir facsímil")</f>
        <v>Abrir facsímil</v>
      </c>
      <c r="K3745" s="15" t="s">
        <v>23</v>
      </c>
    </row>
    <row r="3746" spans="1:11" ht="42" customHeight="1">
      <c r="A3746" s="4" t="s">
        <v>9390</v>
      </c>
      <c r="B3746" s="5" t="s">
        <v>9390</v>
      </c>
      <c r="C3746" s="5" t="s">
        <v>18</v>
      </c>
      <c r="D3746" s="5" t="s">
        <v>19</v>
      </c>
      <c r="E3746" s="5" t="s">
        <v>678</v>
      </c>
      <c r="F3746" s="9">
        <v>15</v>
      </c>
      <c r="G3746" s="9">
        <v>153</v>
      </c>
      <c r="H3746" s="5" t="s">
        <v>21</v>
      </c>
      <c r="I3746" s="5" t="s">
        <v>9391</v>
      </c>
      <c r="J3746" s="12" t="str">
        <f>HYPERLINK("https://www.boe.es/gazeta/dias/1802/02/19/pdfs/GMD-1802-15.pdf#page=5","Abrir facsímil")</f>
        <v>Abrir facsímil</v>
      </c>
      <c r="K3746" s="15" t="s">
        <v>23</v>
      </c>
    </row>
    <row r="3747" spans="1:11" ht="42" customHeight="1">
      <c r="A3747" s="4" t="s">
        <v>9392</v>
      </c>
      <c r="B3747" s="5" t="s">
        <v>9393</v>
      </c>
      <c r="C3747" s="5" t="s">
        <v>35</v>
      </c>
      <c r="D3747" s="5" t="s">
        <v>36</v>
      </c>
      <c r="E3747" s="5" t="s">
        <v>900</v>
      </c>
      <c r="F3747" s="9">
        <v>16</v>
      </c>
      <c r="G3747" s="9">
        <v>163</v>
      </c>
      <c r="H3747" s="5" t="s">
        <v>21</v>
      </c>
      <c r="I3747" s="5" t="s">
        <v>9394</v>
      </c>
      <c r="J3747" s="12" t="str">
        <f>HYPERLINK("https://www.boe.es/gazeta/dias/1802/02/23/pdfs/GMD-1802-16.pdf#page=3","Abrir facsímil")</f>
        <v>Abrir facsímil</v>
      </c>
      <c r="K3747" s="15" t="s">
        <v>23</v>
      </c>
    </row>
    <row r="3748" spans="1:11" ht="42" customHeight="1">
      <c r="A3748" s="4" t="s">
        <v>9395</v>
      </c>
      <c r="B3748" s="5" t="s">
        <v>9395</v>
      </c>
      <c r="C3748" s="5" t="s">
        <v>160</v>
      </c>
      <c r="D3748" s="5" t="s">
        <v>91</v>
      </c>
      <c r="E3748" s="5" t="s">
        <v>453</v>
      </c>
      <c r="F3748" s="9">
        <v>52</v>
      </c>
      <c r="G3748" s="9">
        <v>625</v>
      </c>
      <c r="H3748" s="5" t="s">
        <v>21</v>
      </c>
      <c r="I3748" s="5" t="s">
        <v>9396</v>
      </c>
      <c r="J3748" s="12" t="str">
        <f>HYPERLINK("https://www.boe.es/gazeta/dias/1802/06/29/pdfs/GMD-1802-52.pdf#page=1","Abrir facsímil")</f>
        <v>Abrir facsímil</v>
      </c>
      <c r="K3748" s="15" t="s">
        <v>23</v>
      </c>
    </row>
    <row r="3749" spans="1:11" ht="42" customHeight="1">
      <c r="A3749" s="4" t="s">
        <v>9397</v>
      </c>
      <c r="B3749" s="5" t="s">
        <v>9398</v>
      </c>
      <c r="C3749" s="5" t="s">
        <v>35</v>
      </c>
      <c r="D3749" s="5" t="s">
        <v>36</v>
      </c>
      <c r="E3749" s="5" t="s">
        <v>655</v>
      </c>
      <c r="F3749" s="9">
        <v>46</v>
      </c>
      <c r="G3749" s="9">
        <v>549</v>
      </c>
      <c r="H3749" s="5" t="s">
        <v>21</v>
      </c>
      <c r="I3749" s="5" t="s">
        <v>9399</v>
      </c>
      <c r="J3749" s="12" t="str">
        <f>HYPERLINK("https://www.boe.es/gazeta/dias/1802/06/08/pdfs/GMD-1802-46.pdf#page=1","Abrir facsímil")</f>
        <v>Abrir facsímil</v>
      </c>
      <c r="K3749" s="15" t="s">
        <v>23</v>
      </c>
    </row>
    <row r="3750" spans="1:11" ht="42" customHeight="1">
      <c r="A3750" s="4" t="s">
        <v>9400</v>
      </c>
      <c r="B3750" s="5" t="s">
        <v>9400</v>
      </c>
      <c r="C3750" s="5" t="s">
        <v>35</v>
      </c>
      <c r="D3750" s="5" t="s">
        <v>36</v>
      </c>
      <c r="E3750" s="5" t="s">
        <v>99</v>
      </c>
      <c r="F3750" s="9">
        <v>86</v>
      </c>
      <c r="G3750" s="9">
        <v>1066</v>
      </c>
      <c r="H3750" s="5" t="s">
        <v>21</v>
      </c>
      <c r="I3750" s="5" t="s">
        <v>9401</v>
      </c>
      <c r="J3750" s="12" t="str">
        <f>HYPERLINK("https://www.boe.es/gazeta/dias/1802/10/22/pdfs/GMD-1802-86.pdf#page=6","Abrir facsímil")</f>
        <v>Abrir facsímil</v>
      </c>
      <c r="K3750" s="15" t="s">
        <v>23</v>
      </c>
    </row>
    <row r="3751" spans="1:11" ht="42" customHeight="1">
      <c r="A3751" s="4" t="s">
        <v>9402</v>
      </c>
      <c r="B3751" s="5" t="s">
        <v>9403</v>
      </c>
      <c r="C3751" s="5" t="s">
        <v>29</v>
      </c>
      <c r="D3751" s="5" t="s">
        <v>30</v>
      </c>
      <c r="E3751" s="5" t="s">
        <v>75</v>
      </c>
      <c r="F3751" s="9">
        <v>103</v>
      </c>
      <c r="G3751" s="9">
        <v>1264</v>
      </c>
      <c r="H3751" s="5" t="s">
        <v>21</v>
      </c>
      <c r="I3751" s="5" t="s">
        <v>9404</v>
      </c>
      <c r="J3751" s="12" t="str">
        <f>HYPERLINK("https://www.boe.es/gazeta/dias/1802/12/21/pdfs/GMD-1802-103.pdf#page=8","Abrir facsímil")</f>
        <v>Abrir facsímil</v>
      </c>
      <c r="K3751" s="15" t="s">
        <v>23</v>
      </c>
    </row>
    <row r="3752" spans="1:11" ht="42" customHeight="1">
      <c r="A3752" s="4" t="s">
        <v>9405</v>
      </c>
      <c r="B3752" s="5" t="s">
        <v>9406</v>
      </c>
      <c r="C3752" s="5" t="s">
        <v>29</v>
      </c>
      <c r="D3752" s="5" t="s">
        <v>30</v>
      </c>
      <c r="E3752" s="5" t="s">
        <v>181</v>
      </c>
      <c r="F3752" s="9">
        <v>55</v>
      </c>
      <c r="G3752" s="9">
        <v>667</v>
      </c>
      <c r="H3752" s="5" t="s">
        <v>21</v>
      </c>
      <c r="I3752" s="5" t="s">
        <v>9407</v>
      </c>
      <c r="J3752" s="12" t="str">
        <f>HYPERLINK("https://www.boe.es/gazeta/dias/1802/07/09/pdfs/GMD-1802-55.pdf#page=11","Abrir facsímil")</f>
        <v>Abrir facsímil</v>
      </c>
      <c r="K3752" s="15" t="s">
        <v>23</v>
      </c>
    </row>
    <row r="3753" spans="1:11" ht="42" customHeight="1">
      <c r="A3753" s="4" t="s">
        <v>9408</v>
      </c>
      <c r="B3753" s="5" t="s">
        <v>9409</v>
      </c>
      <c r="C3753" s="5" t="s">
        <v>90</v>
      </c>
      <c r="D3753" s="5" t="s">
        <v>91</v>
      </c>
      <c r="E3753" s="5" t="s">
        <v>152</v>
      </c>
      <c r="F3753" s="9">
        <v>25</v>
      </c>
      <c r="G3753" s="9">
        <v>285</v>
      </c>
      <c r="H3753" s="5" t="s">
        <v>21</v>
      </c>
      <c r="I3753" s="5" t="s">
        <v>9410</v>
      </c>
      <c r="J3753" s="12" t="str">
        <f>HYPERLINK("https://www.boe.es/gazeta/dias/1802/03/26/pdfs/GMD-1802-25.pdf#page=9","Abrir facsímil")</f>
        <v>Abrir facsímil</v>
      </c>
      <c r="K3753" s="15" t="s">
        <v>23</v>
      </c>
    </row>
    <row r="3754" spans="1:11" ht="42" customHeight="1">
      <c r="A3754" s="4" t="s">
        <v>9411</v>
      </c>
      <c r="B3754" s="5" t="s">
        <v>9411</v>
      </c>
      <c r="C3754" s="5" t="s">
        <v>29</v>
      </c>
      <c r="D3754" s="5" t="s">
        <v>30</v>
      </c>
      <c r="E3754" s="5" t="s">
        <v>332</v>
      </c>
      <c r="F3754" s="9">
        <v>24</v>
      </c>
      <c r="G3754" s="9">
        <v>265</v>
      </c>
      <c r="H3754" s="5" t="s">
        <v>21</v>
      </c>
      <c r="I3754" s="5" t="s">
        <v>9412</v>
      </c>
      <c r="J3754" s="12" t="str">
        <f>HYPERLINK("https://www.boe.es/gazeta/dias/1802/03/23/pdfs/GMD-1802-24.pdf#page=1","Abrir facsímil")</f>
        <v>Abrir facsímil</v>
      </c>
      <c r="K3754" s="15" t="s">
        <v>23</v>
      </c>
    </row>
    <row r="3755" spans="1:11" ht="42" customHeight="1">
      <c r="A3755" s="4" t="s">
        <v>9413</v>
      </c>
      <c r="B3755" s="5" t="s">
        <v>9414</v>
      </c>
      <c r="C3755" s="5" t="s">
        <v>35</v>
      </c>
      <c r="D3755" s="5" t="s">
        <v>36</v>
      </c>
      <c r="E3755" s="5" t="s">
        <v>429</v>
      </c>
      <c r="F3755" s="9">
        <v>91</v>
      </c>
      <c r="G3755" s="9">
        <v>1122</v>
      </c>
      <c r="H3755" s="5" t="s">
        <v>21</v>
      </c>
      <c r="I3755" s="5" t="s">
        <v>9415</v>
      </c>
      <c r="J3755" s="12" t="str">
        <f>HYPERLINK("https://www.boe.es/gazeta/dias/1802/11/09/pdfs/GMD-1802-91.pdf#page=2","Abrir facsímil")</f>
        <v>Abrir facsímil</v>
      </c>
      <c r="K3755" s="15" t="s">
        <v>23</v>
      </c>
    </row>
    <row r="3756" spans="1:11" ht="42" customHeight="1">
      <c r="A3756" s="4" t="s">
        <v>9416</v>
      </c>
      <c r="B3756" s="5" t="s">
        <v>9416</v>
      </c>
      <c r="C3756" s="5" t="s">
        <v>55</v>
      </c>
      <c r="D3756" s="5" t="s">
        <v>56</v>
      </c>
      <c r="E3756" s="5" t="s">
        <v>170</v>
      </c>
      <c r="F3756" s="9">
        <v>28</v>
      </c>
      <c r="G3756" s="9">
        <v>332</v>
      </c>
      <c r="H3756" s="5" t="s">
        <v>21</v>
      </c>
      <c r="I3756" s="5" t="s">
        <v>9417</v>
      </c>
      <c r="J3756" s="12" t="str">
        <f>HYPERLINK("https://www.boe.es/gazeta/dias/1802/04/06/pdfs/GMD-1802-28.pdf#page=12","Abrir facsímil")</f>
        <v>Abrir facsímil</v>
      </c>
      <c r="K3756" s="15" t="s">
        <v>23</v>
      </c>
    </row>
    <row r="3757" spans="1:11" ht="42" customHeight="1">
      <c r="A3757" s="4" t="s">
        <v>9416</v>
      </c>
      <c r="B3757" s="5" t="s">
        <v>9416</v>
      </c>
      <c r="C3757" s="5" t="s">
        <v>18</v>
      </c>
      <c r="D3757" s="5" t="s">
        <v>19</v>
      </c>
      <c r="E3757" s="5" t="s">
        <v>25</v>
      </c>
      <c r="F3757" s="9">
        <v>44</v>
      </c>
      <c r="G3757" s="9">
        <v>536</v>
      </c>
      <c r="H3757" s="5" t="s">
        <v>21</v>
      </c>
      <c r="I3757" s="5" t="s">
        <v>9418</v>
      </c>
      <c r="J3757" s="12" t="str">
        <f>HYPERLINK("https://www.boe.es/gazeta/dias/1802/06/01/pdfs/GMD-1802-44.pdf#page=12","Abrir facsímil")</f>
        <v>Abrir facsímil</v>
      </c>
      <c r="K3757" s="15" t="s">
        <v>23</v>
      </c>
    </row>
    <row r="3758" spans="1:11" ht="42" customHeight="1">
      <c r="A3758" s="4" t="s">
        <v>9416</v>
      </c>
      <c r="B3758" s="5" t="s">
        <v>9416</v>
      </c>
      <c r="C3758" s="5" t="s">
        <v>55</v>
      </c>
      <c r="D3758" s="5" t="s">
        <v>56</v>
      </c>
      <c r="E3758" s="5" t="s">
        <v>328</v>
      </c>
      <c r="F3758" s="9">
        <v>45</v>
      </c>
      <c r="G3758" s="9">
        <v>548</v>
      </c>
      <c r="H3758" s="5" t="s">
        <v>21</v>
      </c>
      <c r="I3758" s="5" t="s">
        <v>9419</v>
      </c>
      <c r="J3758" s="12" t="str">
        <f>HYPERLINK("https://www.boe.es/gazeta/dias/1802/06/04/pdfs/GMD-1802-45.pdf#page=12","Abrir facsímil")</f>
        <v>Abrir facsímil</v>
      </c>
      <c r="K3758" s="15" t="s">
        <v>23</v>
      </c>
    </row>
    <row r="3759" spans="1:11" ht="42" customHeight="1">
      <c r="A3759" s="4" t="s">
        <v>9420</v>
      </c>
      <c r="B3759" s="5" t="s">
        <v>9421</v>
      </c>
      <c r="C3759" s="5" t="s">
        <v>35</v>
      </c>
      <c r="D3759" s="5" t="s">
        <v>36</v>
      </c>
      <c r="E3759" s="5" t="s">
        <v>1588</v>
      </c>
      <c r="F3759" s="9">
        <v>18</v>
      </c>
      <c r="G3759" s="9">
        <v>191</v>
      </c>
      <c r="H3759" s="5" t="s">
        <v>21</v>
      </c>
      <c r="I3759" s="5" t="s">
        <v>9422</v>
      </c>
      <c r="J3759" s="12" t="str">
        <f>HYPERLINK("https://www.boe.es/gazeta/dias/1802/03/02/pdfs/GMD-1802-18.pdf#page=3","Abrir facsímil")</f>
        <v>Abrir facsímil</v>
      </c>
      <c r="K3759" s="15" t="s">
        <v>23</v>
      </c>
    </row>
    <row r="3760" spans="1:11" ht="42" customHeight="1">
      <c r="A3760" s="4" t="s">
        <v>9423</v>
      </c>
      <c r="B3760" s="5" t="s">
        <v>9423</v>
      </c>
      <c r="C3760" s="5" t="s">
        <v>90</v>
      </c>
      <c r="D3760" s="5" t="s">
        <v>91</v>
      </c>
      <c r="E3760" s="5" t="s">
        <v>181</v>
      </c>
      <c r="F3760" s="9">
        <v>55</v>
      </c>
      <c r="G3760" s="9">
        <v>667</v>
      </c>
      <c r="H3760" s="5" t="s">
        <v>21</v>
      </c>
      <c r="I3760" s="5" t="s">
        <v>9424</v>
      </c>
      <c r="J3760" s="12" t="str">
        <f>HYPERLINK("https://www.boe.es/gazeta/dias/1802/07/09/pdfs/GMD-1802-55.pdf#page=11","Abrir facsímil")</f>
        <v>Abrir facsímil</v>
      </c>
      <c r="K3760" s="15" t="s">
        <v>23</v>
      </c>
    </row>
    <row r="3761" spans="1:11" ht="42" customHeight="1">
      <c r="A3761" s="4" t="s">
        <v>9425</v>
      </c>
      <c r="B3761" s="5" t="s">
        <v>9425</v>
      </c>
      <c r="C3761" s="5" t="s">
        <v>90</v>
      </c>
      <c r="D3761" s="5" t="s">
        <v>91</v>
      </c>
      <c r="E3761" s="5" t="s">
        <v>206</v>
      </c>
      <c r="F3761" s="9">
        <v>22</v>
      </c>
      <c r="G3761" s="9">
        <v>241</v>
      </c>
      <c r="H3761" s="5" t="s">
        <v>21</v>
      </c>
      <c r="I3761" s="5" t="s">
        <v>9426</v>
      </c>
      <c r="J3761" s="12" t="str">
        <f>HYPERLINK("https://www.boe.es/gazeta/dias/1802/03/16/pdfs/GMD-1802-22.pdf#page=9","Abrir facsímil")</f>
        <v>Abrir facsímil</v>
      </c>
      <c r="K3761" s="15" t="s">
        <v>23</v>
      </c>
    </row>
    <row r="3762" spans="1:11" ht="42" customHeight="1">
      <c r="A3762" s="4" t="s">
        <v>9427</v>
      </c>
      <c r="B3762" s="5" t="s">
        <v>9427</v>
      </c>
      <c r="C3762" s="5" t="s">
        <v>29</v>
      </c>
      <c r="D3762" s="5" t="s">
        <v>30</v>
      </c>
      <c r="E3762" s="5" t="s">
        <v>86</v>
      </c>
      <c r="F3762" s="9">
        <v>26</v>
      </c>
      <c r="G3762" s="9">
        <v>297</v>
      </c>
      <c r="H3762" s="5" t="s">
        <v>21</v>
      </c>
      <c r="I3762" s="5" t="s">
        <v>9428</v>
      </c>
      <c r="J3762" s="12" t="str">
        <f>HYPERLINK("https://www.boe.es/gazeta/dias/1802/03/30/pdfs/GMD-1802-26.pdf#page=9","Abrir facsímil")</f>
        <v>Abrir facsímil</v>
      </c>
      <c r="K3762" s="15" t="s">
        <v>23</v>
      </c>
    </row>
    <row r="3763" spans="1:11" ht="42" customHeight="1">
      <c r="A3763" s="4" t="s">
        <v>9429</v>
      </c>
      <c r="B3763" s="5" t="s">
        <v>9429</v>
      </c>
      <c r="C3763" s="5" t="s">
        <v>18</v>
      </c>
      <c r="D3763" s="5" t="s">
        <v>19</v>
      </c>
      <c r="E3763" s="5" t="s">
        <v>20</v>
      </c>
      <c r="F3763" s="9">
        <v>84</v>
      </c>
      <c r="G3763" s="9">
        <v>1045</v>
      </c>
      <c r="H3763" s="5" t="s">
        <v>21</v>
      </c>
      <c r="I3763" s="5" t="s">
        <v>9430</v>
      </c>
      <c r="J3763" s="12" t="str">
        <f>HYPERLINK("https://www.boe.es/gazeta/dias/1802/10/15/pdfs/GMD-1802-84.pdf#page=13","Abrir facsímil")</f>
        <v>Abrir facsímil</v>
      </c>
      <c r="K3763" s="15" t="s">
        <v>23</v>
      </c>
    </row>
    <row r="3764" spans="1:11" ht="42" customHeight="1">
      <c r="A3764" s="4" t="s">
        <v>9431</v>
      </c>
      <c r="B3764" s="5" t="s">
        <v>9432</v>
      </c>
      <c r="C3764" s="5" t="s">
        <v>18</v>
      </c>
      <c r="D3764" s="5" t="s">
        <v>19</v>
      </c>
      <c r="E3764" s="5" t="s">
        <v>206</v>
      </c>
      <c r="F3764" s="9">
        <v>22</v>
      </c>
      <c r="G3764" s="9">
        <v>242</v>
      </c>
      <c r="H3764" s="5" t="s">
        <v>21</v>
      </c>
      <c r="I3764" s="5" t="s">
        <v>9433</v>
      </c>
      <c r="J3764" s="12" t="str">
        <f>HYPERLINK("https://www.boe.es/gazeta/dias/1802/03/16/pdfs/GMD-1802-22.pdf#page=10","Abrir facsímil")</f>
        <v>Abrir facsímil</v>
      </c>
      <c r="K3764" s="15" t="s">
        <v>23</v>
      </c>
    </row>
    <row r="3765" spans="1:11" ht="42" customHeight="1">
      <c r="A3765" s="4" t="s">
        <v>9434</v>
      </c>
      <c r="B3765" s="5" t="s">
        <v>9435</v>
      </c>
      <c r="C3765" s="5" t="s">
        <v>18</v>
      </c>
      <c r="D3765" s="5" t="s">
        <v>19</v>
      </c>
      <c r="E3765" s="5" t="s">
        <v>635</v>
      </c>
      <c r="F3765" s="9">
        <v>47</v>
      </c>
      <c r="G3765" s="9">
        <v>573</v>
      </c>
      <c r="H3765" s="5" t="s">
        <v>21</v>
      </c>
      <c r="I3765" s="5" t="s">
        <v>9436</v>
      </c>
      <c r="J3765" s="12" t="str">
        <f>HYPERLINK("https://www.boe.es/gazeta/dias/1802/06/11/pdfs/GMD-1802-47.pdf#page=9","Abrir facsímil")</f>
        <v>Abrir facsímil</v>
      </c>
      <c r="K3765" s="15" t="s">
        <v>23</v>
      </c>
    </row>
    <row r="3766" spans="1:11" ht="42" customHeight="1">
      <c r="A3766" s="4" t="s">
        <v>9437</v>
      </c>
      <c r="B3766" s="5" t="s">
        <v>9437</v>
      </c>
      <c r="C3766" s="5" t="s">
        <v>29</v>
      </c>
      <c r="D3766" s="5" t="s">
        <v>30</v>
      </c>
      <c r="E3766" s="5" t="s">
        <v>751</v>
      </c>
      <c r="F3766" s="9">
        <v>98</v>
      </c>
      <c r="G3766" s="9">
        <v>1214</v>
      </c>
      <c r="H3766" s="5" t="s">
        <v>21</v>
      </c>
      <c r="I3766" s="5" t="s">
        <v>9438</v>
      </c>
      <c r="J3766" s="12" t="str">
        <f>HYPERLINK("https://www.boe.es/gazeta/dias/1802/12/03/pdfs/GMD-1802-98.pdf#page=10","Abrir facsímil")</f>
        <v>Abrir facsímil</v>
      </c>
      <c r="K3766" s="15" t="s">
        <v>23</v>
      </c>
    </row>
    <row r="3767" spans="1:11" ht="42" customHeight="1">
      <c r="A3767" s="4" t="s">
        <v>9439</v>
      </c>
      <c r="B3767" s="5" t="s">
        <v>9439</v>
      </c>
      <c r="C3767" s="5" t="s">
        <v>42</v>
      </c>
      <c r="D3767" s="5" t="s">
        <v>43</v>
      </c>
      <c r="E3767" s="5" t="s">
        <v>44</v>
      </c>
      <c r="F3767" s="9">
        <v>99</v>
      </c>
      <c r="G3767" s="9" t="s">
        <v>558</v>
      </c>
      <c r="H3767" s="5" t="s">
        <v>21</v>
      </c>
      <c r="I3767" s="5" t="s">
        <v>9440</v>
      </c>
      <c r="J3767" s="12" t="str">
        <f>HYPERLINK("https://www.boe.es/gazeta/dias/1802/12/07/pdfs/GMD-D-1802-99.pdf#page=1","Abrir facsímil")</f>
        <v>Abrir facsímil</v>
      </c>
      <c r="K3767" s="15" t="s">
        <v>23</v>
      </c>
    </row>
    <row r="3768" spans="1:11" ht="42" customHeight="1">
      <c r="A3768" s="4" t="s">
        <v>9441</v>
      </c>
      <c r="B3768" s="5" t="s">
        <v>9441</v>
      </c>
      <c r="C3768" s="5" t="s">
        <v>18</v>
      </c>
      <c r="D3768" s="5" t="s">
        <v>19</v>
      </c>
      <c r="E3768" s="5" t="s">
        <v>881</v>
      </c>
      <c r="F3768" s="9">
        <v>65</v>
      </c>
      <c r="G3768" s="9">
        <v>795</v>
      </c>
      <c r="H3768" s="5" t="s">
        <v>21</v>
      </c>
      <c r="I3768" s="5" t="s">
        <v>9442</v>
      </c>
      <c r="J3768" s="12" t="str">
        <f>HYPERLINK("https://www.boe.es/gazeta/dias/1802/08/10/pdfs/GMD-1802-65.pdf#page=11","Abrir facsímil")</f>
        <v>Abrir facsímil</v>
      </c>
      <c r="K3768" s="15" t="s">
        <v>23</v>
      </c>
    </row>
    <row r="3769" spans="1:11" ht="42" customHeight="1">
      <c r="A3769" s="4" t="s">
        <v>9443</v>
      </c>
      <c r="B3769" s="5" t="s">
        <v>9443</v>
      </c>
      <c r="C3769" s="5" t="s">
        <v>55</v>
      </c>
      <c r="D3769" s="5" t="s">
        <v>56</v>
      </c>
      <c r="E3769" s="5" t="s">
        <v>881</v>
      </c>
      <c r="F3769" s="9">
        <v>65</v>
      </c>
      <c r="G3769" s="9">
        <v>795</v>
      </c>
      <c r="H3769" s="5" t="s">
        <v>21</v>
      </c>
      <c r="I3769" s="5" t="s">
        <v>9444</v>
      </c>
      <c r="J3769" s="12" t="str">
        <f>HYPERLINK("https://www.boe.es/gazeta/dias/1802/08/10/pdfs/GMD-1802-65.pdf#page=11","Abrir facsímil")</f>
        <v>Abrir facsímil</v>
      </c>
      <c r="K3769" s="15" t="s">
        <v>23</v>
      </c>
    </row>
    <row r="3770" spans="1:11" ht="42" customHeight="1">
      <c r="A3770" s="4" t="s">
        <v>9445</v>
      </c>
      <c r="B3770" s="5" t="s">
        <v>9445</v>
      </c>
      <c r="C3770" s="5" t="s">
        <v>18</v>
      </c>
      <c r="D3770" s="5" t="s">
        <v>19</v>
      </c>
      <c r="E3770" s="5" t="s">
        <v>20</v>
      </c>
      <c r="F3770" s="9">
        <v>84</v>
      </c>
      <c r="G3770" s="9">
        <v>1047</v>
      </c>
      <c r="H3770" s="5" t="s">
        <v>21</v>
      </c>
      <c r="I3770" s="5" t="s">
        <v>9446</v>
      </c>
      <c r="J3770" s="12" t="str">
        <f>HYPERLINK("https://www.boe.es/gazeta/dias/1802/10/15/pdfs/GMD-1802-84.pdf#page=15","Abrir facsímil")</f>
        <v>Abrir facsímil</v>
      </c>
      <c r="K3770" s="15" t="s">
        <v>23</v>
      </c>
    </row>
    <row r="3771" spans="1:11" ht="42" customHeight="1">
      <c r="A3771" s="4" t="s">
        <v>9447</v>
      </c>
      <c r="B3771" s="5" t="s">
        <v>9448</v>
      </c>
      <c r="C3771" s="5" t="s">
        <v>29</v>
      </c>
      <c r="D3771" s="5" t="s">
        <v>30</v>
      </c>
      <c r="E3771" s="5" t="s">
        <v>114</v>
      </c>
      <c r="F3771" s="9">
        <v>82</v>
      </c>
      <c r="G3771" s="9">
        <v>1011</v>
      </c>
      <c r="H3771" s="5" t="s">
        <v>21</v>
      </c>
      <c r="I3771" s="5" t="s">
        <v>9449</v>
      </c>
      <c r="J3771" s="12" t="str">
        <f>HYPERLINK("https://www.boe.es/gazeta/dias/1802/10/08/pdfs/GMD-1802-82.pdf#page=11","Abrir facsímil")</f>
        <v>Abrir facsímil</v>
      </c>
      <c r="K3771" s="15" t="s">
        <v>23</v>
      </c>
    </row>
    <row r="3772" spans="1:11" ht="42" customHeight="1">
      <c r="A3772" s="4" t="s">
        <v>9450</v>
      </c>
      <c r="B3772" s="5" t="s">
        <v>9450</v>
      </c>
      <c r="C3772" s="5" t="s">
        <v>35</v>
      </c>
      <c r="D3772" s="5" t="s">
        <v>36</v>
      </c>
      <c r="E3772" s="5" t="s">
        <v>99</v>
      </c>
      <c r="F3772" s="9">
        <v>86</v>
      </c>
      <c r="G3772" s="9">
        <v>1065</v>
      </c>
      <c r="H3772" s="5" t="s">
        <v>21</v>
      </c>
      <c r="I3772" s="5" t="s">
        <v>9451</v>
      </c>
      <c r="J3772" s="12" t="str">
        <f>HYPERLINK("https://www.boe.es/gazeta/dias/1802/10/22/pdfs/GMD-1802-86.pdf#page=5","Abrir facsímil")</f>
        <v>Abrir facsímil</v>
      </c>
      <c r="K3772" s="15" t="s">
        <v>23</v>
      </c>
    </row>
    <row r="3773" spans="1:11" ht="42" customHeight="1">
      <c r="A3773" s="4" t="s">
        <v>9452</v>
      </c>
      <c r="B3773" s="5" t="s">
        <v>9453</v>
      </c>
      <c r="C3773" s="5" t="s">
        <v>18</v>
      </c>
      <c r="D3773" s="5" t="s">
        <v>19</v>
      </c>
      <c r="E3773" s="5" t="s">
        <v>292</v>
      </c>
      <c r="F3773" s="9">
        <v>62</v>
      </c>
      <c r="G3773" s="9">
        <v>755</v>
      </c>
      <c r="H3773" s="5" t="s">
        <v>21</v>
      </c>
      <c r="I3773" s="5" t="s">
        <v>9454</v>
      </c>
      <c r="J3773" s="12" t="str">
        <f>HYPERLINK("https://www.boe.es/gazeta/dias/1802/07/30/pdfs/GMD-1802-62.pdf#page=11","Abrir facsímil")</f>
        <v>Abrir facsímil</v>
      </c>
      <c r="K3773" s="15" t="s">
        <v>23</v>
      </c>
    </row>
    <row r="3774" spans="1:11" ht="42" customHeight="1">
      <c r="A3774" s="4" t="s">
        <v>9455</v>
      </c>
      <c r="B3774" s="5" t="s">
        <v>9455</v>
      </c>
      <c r="C3774" s="5" t="s">
        <v>35</v>
      </c>
      <c r="D3774" s="5" t="s">
        <v>36</v>
      </c>
      <c r="E3774" s="5" t="s">
        <v>332</v>
      </c>
      <c r="F3774" s="9">
        <v>24</v>
      </c>
      <c r="G3774" s="9">
        <v>268</v>
      </c>
      <c r="H3774" s="5" t="s">
        <v>21</v>
      </c>
      <c r="I3774" s="5" t="s">
        <v>9456</v>
      </c>
      <c r="J3774" s="12" t="str">
        <f>HYPERLINK("https://www.boe.es/gazeta/dias/1802/03/23/pdfs/GMD-1802-24.pdf#page=4","Abrir facsímil")</f>
        <v>Abrir facsímil</v>
      </c>
      <c r="K3774" s="15" t="s">
        <v>23</v>
      </c>
    </row>
    <row r="3775" spans="1:11" ht="42" customHeight="1">
      <c r="A3775" s="4" t="s">
        <v>9457</v>
      </c>
      <c r="B3775" s="5" t="s">
        <v>9458</v>
      </c>
      <c r="C3775" s="5" t="s">
        <v>29</v>
      </c>
      <c r="D3775" s="5" t="s">
        <v>30</v>
      </c>
      <c r="E3775" s="5" t="s">
        <v>1618</v>
      </c>
      <c r="F3775" s="9">
        <v>31</v>
      </c>
      <c r="G3775" s="9">
        <v>363</v>
      </c>
      <c r="H3775" s="5" t="s">
        <v>21</v>
      </c>
      <c r="I3775" s="5" t="s">
        <v>9459</v>
      </c>
      <c r="J3775" s="12" t="str">
        <f>HYPERLINK("https://www.boe.es/gazeta/dias/1802/04/16/pdfs/GMD-1802-31.pdf#page=7","Abrir facsímil")</f>
        <v>Abrir facsímil</v>
      </c>
      <c r="K3775" s="15" t="s">
        <v>23</v>
      </c>
    </row>
    <row r="3776" spans="1:11" ht="42" customHeight="1">
      <c r="A3776" s="4" t="s">
        <v>9460</v>
      </c>
      <c r="B3776" s="5" t="s">
        <v>9460</v>
      </c>
      <c r="C3776" s="5" t="s">
        <v>29</v>
      </c>
      <c r="D3776" s="5" t="s">
        <v>30</v>
      </c>
      <c r="E3776" s="5" t="s">
        <v>25</v>
      </c>
      <c r="F3776" s="9">
        <v>44</v>
      </c>
      <c r="G3776" s="9">
        <v>528</v>
      </c>
      <c r="H3776" s="5" t="s">
        <v>21</v>
      </c>
      <c r="I3776" s="5" t="s">
        <v>9461</v>
      </c>
      <c r="J3776" s="12" t="str">
        <f>HYPERLINK("https://www.boe.es/gazeta/dias/1802/06/01/pdfs/GMD-1802-44.pdf#page=4","Abrir facsímil")</f>
        <v>Abrir facsímil</v>
      </c>
      <c r="K3776" s="15" t="s">
        <v>23</v>
      </c>
    </row>
    <row r="3777" spans="1:11" ht="42" customHeight="1">
      <c r="A3777" s="4" t="s">
        <v>9462</v>
      </c>
      <c r="B3777" s="5" t="s">
        <v>9463</v>
      </c>
      <c r="C3777" s="5" t="s">
        <v>35</v>
      </c>
      <c r="D3777" s="5" t="s">
        <v>36</v>
      </c>
      <c r="E3777" s="5" t="s">
        <v>1264</v>
      </c>
      <c r="F3777" s="9">
        <v>105</v>
      </c>
      <c r="G3777" s="9">
        <v>1281</v>
      </c>
      <c r="H3777" s="5" t="s">
        <v>21</v>
      </c>
      <c r="I3777" s="5" t="s">
        <v>9464</v>
      </c>
      <c r="J3777" s="12" t="str">
        <f>HYPERLINK("https://www.boe.es/gazeta/dias/1802/12/28/pdfs/GMD-1802-105.pdf#page=5","Abrir facsímil")</f>
        <v>Abrir facsímil</v>
      </c>
      <c r="K3777" s="15" t="s">
        <v>23</v>
      </c>
    </row>
    <row r="3778" spans="1:11" ht="42" customHeight="1">
      <c r="A3778" s="4" t="s">
        <v>9465</v>
      </c>
      <c r="B3778" s="5" t="s">
        <v>9465</v>
      </c>
      <c r="C3778" s="5" t="s">
        <v>90</v>
      </c>
      <c r="D3778" s="5" t="s">
        <v>91</v>
      </c>
      <c r="E3778" s="5" t="s">
        <v>439</v>
      </c>
      <c r="F3778" s="9">
        <v>76</v>
      </c>
      <c r="G3778" s="9">
        <v>932</v>
      </c>
      <c r="H3778" s="5" t="s">
        <v>21</v>
      </c>
      <c r="I3778" s="5" t="s">
        <v>9466</v>
      </c>
      <c r="J3778" s="12" t="str">
        <f>HYPERLINK("https://www.boe.es/gazeta/dias/1802/09/17/pdfs/GMD-1802-76.pdf#page=4","Abrir facsímil")</f>
        <v>Abrir facsímil</v>
      </c>
      <c r="K3778" s="15" t="s">
        <v>23</v>
      </c>
    </row>
    <row r="3779" spans="1:11" ht="42" customHeight="1">
      <c r="A3779" s="4" t="s">
        <v>9467</v>
      </c>
      <c r="B3779" s="5" t="s">
        <v>9468</v>
      </c>
      <c r="C3779" s="5" t="s">
        <v>18</v>
      </c>
      <c r="D3779" s="5" t="s">
        <v>19</v>
      </c>
      <c r="E3779" s="5" t="s">
        <v>1113</v>
      </c>
      <c r="F3779" s="9">
        <v>6</v>
      </c>
      <c r="G3779" s="9">
        <v>55</v>
      </c>
      <c r="H3779" s="5" t="s">
        <v>21</v>
      </c>
      <c r="I3779" s="5" t="s">
        <v>9469</v>
      </c>
      <c r="J3779" s="12" t="str">
        <f>HYPERLINK("https://www.boe.es/gazeta/dias/1802/01/19/pdfs/GMD-1802-6.pdf#page=3","Abrir facsímil")</f>
        <v>Abrir facsímil</v>
      </c>
      <c r="K3779" s="15" t="s">
        <v>23</v>
      </c>
    </row>
    <row r="3780" spans="1:11" ht="42" customHeight="1">
      <c r="A3780" s="4" t="s">
        <v>9470</v>
      </c>
      <c r="B3780" s="5" t="s">
        <v>9470</v>
      </c>
      <c r="C3780" s="5" t="s">
        <v>18</v>
      </c>
      <c r="D3780" s="5" t="s">
        <v>19</v>
      </c>
      <c r="E3780" s="5" t="s">
        <v>163</v>
      </c>
      <c r="F3780" s="9">
        <v>1</v>
      </c>
      <c r="G3780" s="9">
        <v>3</v>
      </c>
      <c r="H3780" s="5" t="s">
        <v>21</v>
      </c>
      <c r="I3780" s="5" t="s">
        <v>9471</v>
      </c>
      <c r="J3780" s="12" t="str">
        <f>HYPERLINK("https://www.boe.es/gazeta/dias/1802/01/01/pdfs/GMD-1802-1.pdf#page=3","Abrir facsímil")</f>
        <v>Abrir facsímil</v>
      </c>
      <c r="K3780" s="15" t="s">
        <v>23</v>
      </c>
    </row>
    <row r="3781" spans="1:11" ht="42" customHeight="1">
      <c r="A3781" s="4" t="s">
        <v>9470</v>
      </c>
      <c r="B3781" s="5" t="s">
        <v>9470</v>
      </c>
      <c r="C3781" s="5" t="s">
        <v>35</v>
      </c>
      <c r="D3781" s="5" t="s">
        <v>36</v>
      </c>
      <c r="E3781" s="5" t="s">
        <v>131</v>
      </c>
      <c r="F3781" s="9">
        <v>11</v>
      </c>
      <c r="G3781" s="9">
        <v>109</v>
      </c>
      <c r="H3781" s="5" t="s">
        <v>21</v>
      </c>
      <c r="I3781" s="5" t="s">
        <v>9472</v>
      </c>
      <c r="J3781" s="12" t="str">
        <f>HYPERLINK("https://www.boe.es/gazeta/dias/1802/02/05/pdfs/GMD-1802-11.pdf#page=5","Abrir facsímil")</f>
        <v>Abrir facsímil</v>
      </c>
      <c r="K3781" s="15" t="s">
        <v>23</v>
      </c>
    </row>
    <row r="3782" spans="1:11" ht="42" customHeight="1">
      <c r="A3782" s="4" t="s">
        <v>9470</v>
      </c>
      <c r="B3782" s="5" t="s">
        <v>9470</v>
      </c>
      <c r="C3782" s="5" t="s">
        <v>35</v>
      </c>
      <c r="D3782" s="5" t="s">
        <v>36</v>
      </c>
      <c r="E3782" s="5" t="s">
        <v>172</v>
      </c>
      <c r="F3782" s="9">
        <v>35</v>
      </c>
      <c r="G3782" s="9">
        <v>406</v>
      </c>
      <c r="H3782" s="5" t="s">
        <v>21</v>
      </c>
      <c r="I3782" s="5" t="s">
        <v>9473</v>
      </c>
      <c r="J3782" s="12" t="str">
        <f>HYPERLINK("https://www.boe.es/gazeta/dias/1802/04/30/pdfs/GMD-1802-35.pdf#page=6","Abrir facsímil")</f>
        <v>Abrir facsímil</v>
      </c>
      <c r="K3782" s="15" t="s">
        <v>23</v>
      </c>
    </row>
    <row r="3783" spans="1:11" ht="42" customHeight="1">
      <c r="A3783" s="4" t="s">
        <v>9470</v>
      </c>
      <c r="B3783" s="5" t="s">
        <v>9470</v>
      </c>
      <c r="C3783" s="5" t="s">
        <v>35</v>
      </c>
      <c r="D3783" s="5" t="s">
        <v>36</v>
      </c>
      <c r="E3783" s="5" t="s">
        <v>826</v>
      </c>
      <c r="F3783" s="9">
        <v>67</v>
      </c>
      <c r="G3783" s="9">
        <v>815</v>
      </c>
      <c r="H3783" s="5" t="s">
        <v>21</v>
      </c>
      <c r="I3783" s="5" t="s">
        <v>9474</v>
      </c>
      <c r="J3783" s="12" t="str">
        <f>HYPERLINK("https://www.boe.es/gazeta/dias/1802/08/17/pdfs/GMD-1802-67.pdf#page=3","Abrir facsímil")</f>
        <v>Abrir facsímil</v>
      </c>
      <c r="K3783" s="15" t="s">
        <v>23</v>
      </c>
    </row>
    <row r="3784" spans="1:11" ht="42" customHeight="1">
      <c r="A3784" s="4" t="s">
        <v>9475</v>
      </c>
      <c r="B3784" s="5" t="s">
        <v>9475</v>
      </c>
      <c r="C3784" s="5" t="s">
        <v>35</v>
      </c>
      <c r="D3784" s="5" t="s">
        <v>36</v>
      </c>
      <c r="E3784" s="5" t="s">
        <v>292</v>
      </c>
      <c r="F3784" s="9">
        <v>62</v>
      </c>
      <c r="G3784" s="9">
        <v>747</v>
      </c>
      <c r="H3784" s="5" t="s">
        <v>21</v>
      </c>
      <c r="I3784" s="5" t="s">
        <v>9476</v>
      </c>
      <c r="J3784" s="12" t="str">
        <f>HYPERLINK("https://www.boe.es/gazeta/dias/1802/07/30/pdfs/GMD-1802-62.pdf#page=3","Abrir facsímil")</f>
        <v>Abrir facsímil</v>
      </c>
      <c r="K3784" s="15" t="s">
        <v>23</v>
      </c>
    </row>
    <row r="3785" spans="1:11" ht="42" customHeight="1">
      <c r="A3785" s="4" t="s">
        <v>9477</v>
      </c>
      <c r="B3785" s="5" t="s">
        <v>9477</v>
      </c>
      <c r="C3785" s="5" t="s">
        <v>29</v>
      </c>
      <c r="D3785" s="5" t="s">
        <v>30</v>
      </c>
      <c r="E3785" s="5" t="s">
        <v>749</v>
      </c>
      <c r="F3785" s="9">
        <v>97</v>
      </c>
      <c r="G3785" s="9">
        <v>1199</v>
      </c>
      <c r="H3785" s="5" t="s">
        <v>21</v>
      </c>
      <c r="I3785" s="5" t="s">
        <v>9478</v>
      </c>
      <c r="J3785" s="12" t="str">
        <f>HYPERLINK("https://www.boe.es/gazeta/dias/1802/11/30/pdfs/GMD-1802-97.pdf#page=7","Abrir facsímil")</f>
        <v>Abrir facsímil</v>
      </c>
      <c r="K3785" s="15" t="s">
        <v>23</v>
      </c>
    </row>
    <row r="3786" spans="1:11" ht="42" customHeight="1">
      <c r="A3786" s="4" t="s">
        <v>9479</v>
      </c>
      <c r="B3786" s="5" t="s">
        <v>9480</v>
      </c>
      <c r="C3786" s="5" t="s">
        <v>35</v>
      </c>
      <c r="D3786" s="5" t="s">
        <v>36</v>
      </c>
      <c r="E3786" s="5" t="s">
        <v>206</v>
      </c>
      <c r="F3786" s="9">
        <v>22</v>
      </c>
      <c r="G3786" s="9">
        <v>234</v>
      </c>
      <c r="H3786" s="5" t="s">
        <v>21</v>
      </c>
      <c r="I3786" s="5" t="s">
        <v>9481</v>
      </c>
      <c r="J3786" s="12" t="str">
        <f>HYPERLINK("https://www.boe.es/gazeta/dias/1802/03/16/pdfs/GMD-1802-22.pdf#page=2","Abrir facsímil")</f>
        <v>Abrir facsímil</v>
      </c>
      <c r="K3786" s="15" t="s">
        <v>23</v>
      </c>
    </row>
    <row r="3787" spans="1:11" ht="42" customHeight="1">
      <c r="A3787" s="4" t="s">
        <v>9482</v>
      </c>
      <c r="B3787" s="5" t="s">
        <v>9483</v>
      </c>
      <c r="C3787" s="5" t="s">
        <v>18</v>
      </c>
      <c r="D3787" s="5" t="s">
        <v>19</v>
      </c>
      <c r="E3787" s="5" t="s">
        <v>196</v>
      </c>
      <c r="F3787" s="9">
        <v>2</v>
      </c>
      <c r="G3787" s="9">
        <v>15</v>
      </c>
      <c r="H3787" s="5" t="s">
        <v>21</v>
      </c>
      <c r="I3787" s="5" t="s">
        <v>9484</v>
      </c>
      <c r="J3787" s="12" t="str">
        <f>HYPERLINK("https://www.boe.es/gazeta/dias/1802/01/05/pdfs/GMD-1802-2.pdf#page=7","Abrir facsímil")</f>
        <v>Abrir facsímil</v>
      </c>
      <c r="K3787" s="15" t="s">
        <v>23</v>
      </c>
    </row>
    <row r="3788" spans="1:11" ht="42" customHeight="1">
      <c r="A3788" s="4" t="s">
        <v>9482</v>
      </c>
      <c r="B3788" s="5" t="s">
        <v>9483</v>
      </c>
      <c r="C3788" s="5" t="s">
        <v>18</v>
      </c>
      <c r="D3788" s="5" t="s">
        <v>19</v>
      </c>
      <c r="E3788" s="5" t="s">
        <v>1097</v>
      </c>
      <c r="F3788" s="9">
        <v>20</v>
      </c>
      <c r="G3788" s="9">
        <v>216</v>
      </c>
      <c r="H3788" s="5" t="s">
        <v>21</v>
      </c>
      <c r="I3788" s="5" t="s">
        <v>9485</v>
      </c>
      <c r="J3788" s="12" t="str">
        <f>HYPERLINK("https://www.boe.es/gazeta/dias/1802/03/09/pdfs/GMD-1802-20.pdf#page=4","Abrir facsímil")</f>
        <v>Abrir facsímil</v>
      </c>
      <c r="K3788" s="15" t="s">
        <v>23</v>
      </c>
    </row>
    <row r="3789" spans="1:11" ht="42" customHeight="1">
      <c r="A3789" s="4" t="s">
        <v>9486</v>
      </c>
      <c r="B3789" s="5" t="s">
        <v>9486</v>
      </c>
      <c r="C3789" s="5" t="s">
        <v>29</v>
      </c>
      <c r="D3789" s="5" t="s">
        <v>30</v>
      </c>
      <c r="E3789" s="5" t="s">
        <v>749</v>
      </c>
      <c r="F3789" s="9">
        <v>97</v>
      </c>
      <c r="G3789" s="9">
        <v>1197</v>
      </c>
      <c r="H3789" s="5" t="s">
        <v>21</v>
      </c>
      <c r="I3789" s="5" t="s">
        <v>9487</v>
      </c>
      <c r="J3789" s="12" t="str">
        <f>HYPERLINK("https://www.boe.es/gazeta/dias/1802/11/30/pdfs/GMD-1802-97.pdf#page=5","Abrir facsímil")</f>
        <v>Abrir facsímil</v>
      </c>
      <c r="K3789" s="15" t="s">
        <v>23</v>
      </c>
    </row>
    <row r="3790" spans="1:11" ht="42" customHeight="1">
      <c r="A3790" s="4" t="s">
        <v>9488</v>
      </c>
      <c r="B3790" s="5" t="s">
        <v>9488</v>
      </c>
      <c r="C3790" s="5" t="s">
        <v>29</v>
      </c>
      <c r="D3790" s="5" t="s">
        <v>30</v>
      </c>
      <c r="E3790" s="5" t="s">
        <v>1051</v>
      </c>
      <c r="F3790" s="9">
        <v>43</v>
      </c>
      <c r="G3790" s="9">
        <v>514</v>
      </c>
      <c r="H3790" s="5" t="s">
        <v>21</v>
      </c>
      <c r="I3790" s="5" t="s">
        <v>9489</v>
      </c>
      <c r="J3790" s="12" t="str">
        <f>HYPERLINK("https://www.boe.es/gazeta/dias/1802/05/28/pdfs/GMD-1802-43.pdf#page=6","Abrir facsímil")</f>
        <v>Abrir facsímil</v>
      </c>
      <c r="K3790" s="15" t="s">
        <v>23</v>
      </c>
    </row>
    <row r="3791" spans="1:11" ht="42" customHeight="1">
      <c r="A3791" s="4" t="s">
        <v>9490</v>
      </c>
      <c r="B3791" s="5" t="s">
        <v>9490</v>
      </c>
      <c r="C3791" s="5" t="s">
        <v>29</v>
      </c>
      <c r="D3791" s="5" t="s">
        <v>30</v>
      </c>
      <c r="E3791" s="5" t="s">
        <v>57</v>
      </c>
      <c r="F3791" s="9">
        <v>54</v>
      </c>
      <c r="G3791" s="9">
        <v>646</v>
      </c>
      <c r="H3791" s="5" t="s">
        <v>21</v>
      </c>
      <c r="I3791" s="5" t="s">
        <v>9491</v>
      </c>
      <c r="J3791" s="12" t="str">
        <f>HYPERLINK("https://www.boe.es/gazeta/dias/1802/07/06/pdfs/GMD-1802-54.pdf#page=2","Abrir facsímil")</f>
        <v>Abrir facsímil</v>
      </c>
      <c r="K3791" s="15" t="s">
        <v>23</v>
      </c>
    </row>
    <row r="3792" spans="1:11" ht="42" customHeight="1">
      <c r="A3792" s="4" t="s">
        <v>9492</v>
      </c>
      <c r="B3792" s="5" t="s">
        <v>9492</v>
      </c>
      <c r="C3792" s="5" t="s">
        <v>18</v>
      </c>
      <c r="D3792" s="5" t="s">
        <v>19</v>
      </c>
      <c r="E3792" s="5" t="s">
        <v>814</v>
      </c>
      <c r="F3792" s="9">
        <v>41</v>
      </c>
      <c r="G3792" s="9">
        <v>489</v>
      </c>
      <c r="H3792" s="5" t="s">
        <v>21</v>
      </c>
      <c r="I3792" s="5" t="s">
        <v>9493</v>
      </c>
      <c r="J3792" s="12" t="str">
        <f>HYPERLINK("https://www.boe.es/gazeta/dias/1802/05/21/pdfs/GMD-1802-41.pdf#page=5","Abrir facsímil")</f>
        <v>Abrir facsímil</v>
      </c>
      <c r="K3792" s="15" t="s">
        <v>23</v>
      </c>
    </row>
    <row r="3793" spans="1:11" ht="42" customHeight="1">
      <c r="A3793" s="4" t="s">
        <v>9494</v>
      </c>
      <c r="B3793" s="5" t="s">
        <v>9495</v>
      </c>
      <c r="C3793" s="5" t="s">
        <v>18</v>
      </c>
      <c r="D3793" s="5" t="s">
        <v>19</v>
      </c>
      <c r="E3793" s="5" t="s">
        <v>655</v>
      </c>
      <c r="F3793" s="9">
        <v>46</v>
      </c>
      <c r="G3793" s="9">
        <v>552</v>
      </c>
      <c r="H3793" s="5" t="s">
        <v>21</v>
      </c>
      <c r="I3793" s="5" t="s">
        <v>9496</v>
      </c>
      <c r="J3793" s="12" t="str">
        <f>HYPERLINK("https://www.boe.es/gazeta/dias/1802/06/08/pdfs/GMD-1802-46.pdf#page=4","Abrir facsímil")</f>
        <v>Abrir facsímil</v>
      </c>
      <c r="K3793" s="15" t="s">
        <v>23</v>
      </c>
    </row>
    <row r="3794" spans="1:11" ht="42" customHeight="1">
      <c r="A3794" s="4" t="s">
        <v>9497</v>
      </c>
      <c r="B3794" s="5" t="s">
        <v>9498</v>
      </c>
      <c r="C3794" s="5" t="s">
        <v>90</v>
      </c>
      <c r="D3794" s="5" t="s">
        <v>91</v>
      </c>
      <c r="E3794" s="5" t="s">
        <v>92</v>
      </c>
      <c r="F3794" s="9">
        <v>29</v>
      </c>
      <c r="G3794" s="9">
        <v>336</v>
      </c>
      <c r="H3794" s="5" t="s">
        <v>21</v>
      </c>
      <c r="I3794" s="5" t="s">
        <v>9499</v>
      </c>
      <c r="J3794" s="12" t="str">
        <f>HYPERLINK("https://www.boe.es/gazeta/dias/1802/04/09/pdfs/GMD-1802-29.pdf#page=4","Abrir facsímil")</f>
        <v>Abrir facsímil</v>
      </c>
      <c r="K3794" s="15" t="s">
        <v>23</v>
      </c>
    </row>
    <row r="3795" spans="1:11" ht="42" customHeight="1">
      <c r="A3795" s="4" t="s">
        <v>9500</v>
      </c>
      <c r="B3795" s="5" t="s">
        <v>9500</v>
      </c>
      <c r="C3795" s="5" t="s">
        <v>29</v>
      </c>
      <c r="D3795" s="5" t="s">
        <v>30</v>
      </c>
      <c r="E3795" s="5" t="s">
        <v>764</v>
      </c>
      <c r="F3795" s="9">
        <v>69</v>
      </c>
      <c r="G3795" s="9">
        <v>850</v>
      </c>
      <c r="H3795" s="5" t="s">
        <v>21</v>
      </c>
      <c r="I3795" s="5" t="s">
        <v>9501</v>
      </c>
      <c r="J3795" s="12" t="str">
        <f>HYPERLINK("https://www.boe.es/gazeta/dias/1802/08/24/pdfs/GMD-1802-69.pdf#page=10","Abrir facsímil")</f>
        <v>Abrir facsímil</v>
      </c>
      <c r="K3795" s="15" t="s">
        <v>23</v>
      </c>
    </row>
    <row r="3796" spans="1:11" ht="42" customHeight="1">
      <c r="A3796" s="4" t="s">
        <v>9502</v>
      </c>
      <c r="B3796" s="5" t="s">
        <v>9503</v>
      </c>
      <c r="C3796" s="5" t="s">
        <v>42</v>
      </c>
      <c r="D3796" s="5" t="s">
        <v>43</v>
      </c>
      <c r="E3796" s="5" t="s">
        <v>44</v>
      </c>
      <c r="F3796" s="9">
        <v>99</v>
      </c>
      <c r="G3796" s="9" t="s">
        <v>45</v>
      </c>
      <c r="H3796" s="5" t="s">
        <v>21</v>
      </c>
      <c r="I3796" s="5" t="s">
        <v>9504</v>
      </c>
      <c r="J3796" s="12" t="str">
        <f>HYPERLINK("https://www.boe.es/gazeta/dias/1802/12/07/pdfs/GMD-D-1802-99.pdf#page=14","Abrir facsímil")</f>
        <v>Abrir facsímil</v>
      </c>
      <c r="K3796" s="15" t="s">
        <v>23</v>
      </c>
    </row>
    <row r="3797" spans="1:11" ht="42" customHeight="1">
      <c r="A3797" s="4" t="s">
        <v>9505</v>
      </c>
      <c r="B3797" s="5" t="s">
        <v>9506</v>
      </c>
      <c r="C3797" s="5" t="s">
        <v>29</v>
      </c>
      <c r="D3797" s="5" t="s">
        <v>30</v>
      </c>
      <c r="E3797" s="5" t="s">
        <v>196</v>
      </c>
      <c r="F3797" s="9">
        <v>2</v>
      </c>
      <c r="G3797" s="9">
        <v>18</v>
      </c>
      <c r="H3797" s="5" t="s">
        <v>21</v>
      </c>
      <c r="I3797" s="5" t="s">
        <v>9507</v>
      </c>
      <c r="J3797" s="12" t="str">
        <f>HYPERLINK("https://www.boe.es/gazeta/dias/1802/01/05/pdfs/GMD-1802-2.pdf#page=10","Abrir facsímil")</f>
        <v>Abrir facsímil</v>
      </c>
      <c r="K3797" s="15" t="s">
        <v>23</v>
      </c>
    </row>
    <row r="3798" spans="1:11" ht="42" customHeight="1">
      <c r="A3798" s="4" t="s">
        <v>9508</v>
      </c>
      <c r="B3798" s="5" t="s">
        <v>9509</v>
      </c>
      <c r="C3798" s="5" t="s">
        <v>160</v>
      </c>
      <c r="D3798" s="5" t="s">
        <v>91</v>
      </c>
      <c r="E3798" s="5" t="s">
        <v>206</v>
      </c>
      <c r="F3798" s="9">
        <v>22</v>
      </c>
      <c r="G3798" s="9">
        <v>247</v>
      </c>
      <c r="H3798" s="5" t="s">
        <v>21</v>
      </c>
      <c r="I3798" s="5" t="s">
        <v>9510</v>
      </c>
      <c r="J3798" s="12" t="str">
        <f>HYPERLINK("https://www.boe.es/gazeta/dias/1802/03/16/pdfs/GMD-C-1802-22.pdf#page=3","Abrir facsímil")</f>
        <v>Abrir facsímil</v>
      </c>
      <c r="K3798" s="15" t="s">
        <v>23</v>
      </c>
    </row>
    <row r="3799" spans="1:11" ht="42" customHeight="1">
      <c r="A3799" s="4" t="s">
        <v>9508</v>
      </c>
      <c r="B3799" s="5" t="s">
        <v>9509</v>
      </c>
      <c r="C3799" s="5" t="s">
        <v>160</v>
      </c>
      <c r="D3799" s="5" t="s">
        <v>91</v>
      </c>
      <c r="E3799" s="5" t="s">
        <v>167</v>
      </c>
      <c r="F3799" s="9">
        <v>23</v>
      </c>
      <c r="G3799" s="9">
        <v>261</v>
      </c>
      <c r="H3799" s="5" t="s">
        <v>21</v>
      </c>
      <c r="I3799" s="5" t="s">
        <v>9511</v>
      </c>
      <c r="J3799" s="12" t="str">
        <f>HYPERLINK("https://www.boe.es/gazeta/dias/1802/03/19/pdfs/GMD-1802-23.pdf#page=9","Abrir facsímil")</f>
        <v>Abrir facsímil</v>
      </c>
      <c r="K3799" s="15" t="s">
        <v>23</v>
      </c>
    </row>
    <row r="3800" spans="1:11" ht="42" customHeight="1">
      <c r="A3800" s="4" t="s">
        <v>9512</v>
      </c>
      <c r="B3800" s="5" t="s">
        <v>9513</v>
      </c>
      <c r="C3800" s="5" t="s">
        <v>160</v>
      </c>
      <c r="D3800" s="5" t="s">
        <v>91</v>
      </c>
      <c r="E3800" s="5" t="s">
        <v>332</v>
      </c>
      <c r="F3800" s="9">
        <v>24</v>
      </c>
      <c r="G3800" s="9">
        <v>273</v>
      </c>
      <c r="H3800" s="5" t="s">
        <v>21</v>
      </c>
      <c r="I3800" s="5" t="s">
        <v>9514</v>
      </c>
      <c r="J3800" s="12" t="str">
        <f>HYPERLINK("https://www.boe.es/gazeta/dias/1802/03/23/pdfs/GMD-1802-24.pdf#page=9","Abrir facsímil")</f>
        <v>Abrir facsímil</v>
      </c>
      <c r="K3800" s="15" t="s">
        <v>23</v>
      </c>
    </row>
    <row r="3801" spans="1:11" ht="42" customHeight="1">
      <c r="A3801" s="4" t="s">
        <v>9508</v>
      </c>
      <c r="B3801" s="5" t="s">
        <v>9509</v>
      </c>
      <c r="C3801" s="5" t="s">
        <v>18</v>
      </c>
      <c r="D3801" s="5" t="s">
        <v>19</v>
      </c>
      <c r="E3801" s="5" t="s">
        <v>1749</v>
      </c>
      <c r="F3801" s="9">
        <v>60</v>
      </c>
      <c r="G3801" s="9">
        <v>730</v>
      </c>
      <c r="H3801" s="5" t="s">
        <v>21</v>
      </c>
      <c r="I3801" s="5" t="s">
        <v>9515</v>
      </c>
      <c r="J3801" s="12" t="str">
        <f>HYPERLINK("https://www.boe.es/gazeta/dias/1802/07/23/pdfs/GMD-1802-60.pdf#page=14","Abrir facsímil")</f>
        <v>Abrir facsímil</v>
      </c>
      <c r="K3801" s="15" t="s">
        <v>23</v>
      </c>
    </row>
    <row r="3802" spans="1:11" ht="42" customHeight="1">
      <c r="A3802" s="4" t="s">
        <v>9508</v>
      </c>
      <c r="B3802" s="5" t="s">
        <v>9509</v>
      </c>
      <c r="C3802" s="5" t="s">
        <v>160</v>
      </c>
      <c r="D3802" s="5" t="s">
        <v>91</v>
      </c>
      <c r="E3802" s="5" t="s">
        <v>517</v>
      </c>
      <c r="F3802" s="9">
        <v>61</v>
      </c>
      <c r="G3802" s="9">
        <v>743</v>
      </c>
      <c r="H3802" s="5" t="s">
        <v>21</v>
      </c>
      <c r="I3802" s="5" t="s">
        <v>9516</v>
      </c>
      <c r="J3802" s="12" t="str">
        <f>HYPERLINK("https://www.boe.es/gazeta/dias/1802/07/27/pdfs/GMD-1802-61.pdf#page=11","Abrir facsímil")</f>
        <v>Abrir facsímil</v>
      </c>
      <c r="K3802" s="15" t="s">
        <v>23</v>
      </c>
    </row>
    <row r="3803" spans="1:11" ht="42" customHeight="1">
      <c r="A3803" s="4" t="s">
        <v>9508</v>
      </c>
      <c r="B3803" s="5" t="s">
        <v>9509</v>
      </c>
      <c r="C3803" s="5" t="s">
        <v>18</v>
      </c>
      <c r="D3803" s="5" t="s">
        <v>19</v>
      </c>
      <c r="E3803" s="5" t="s">
        <v>292</v>
      </c>
      <c r="F3803" s="9">
        <v>62</v>
      </c>
      <c r="G3803" s="9">
        <v>755</v>
      </c>
      <c r="H3803" s="5" t="s">
        <v>21</v>
      </c>
      <c r="I3803" s="5" t="s">
        <v>9517</v>
      </c>
      <c r="J3803" s="12" t="str">
        <f>HYPERLINK("https://www.boe.es/gazeta/dias/1802/07/30/pdfs/GMD-1802-62.pdf#page=11","Abrir facsímil")</f>
        <v>Abrir facsímil</v>
      </c>
      <c r="K3803" s="15" t="s">
        <v>23</v>
      </c>
    </row>
    <row r="3804" spans="1:11" ht="42" customHeight="1">
      <c r="A3804" s="4" t="s">
        <v>9508</v>
      </c>
      <c r="B3804" s="5" t="s">
        <v>9509</v>
      </c>
      <c r="C3804" s="5" t="s">
        <v>18</v>
      </c>
      <c r="D3804" s="5" t="s">
        <v>19</v>
      </c>
      <c r="E3804" s="5" t="s">
        <v>1185</v>
      </c>
      <c r="F3804" s="9">
        <v>93</v>
      </c>
      <c r="G3804" s="9">
        <v>1151</v>
      </c>
      <c r="H3804" s="5" t="s">
        <v>21</v>
      </c>
      <c r="I3804" s="5" t="s">
        <v>9518</v>
      </c>
      <c r="J3804" s="12" t="str">
        <f>HYPERLINK("https://www.boe.es/gazeta/dias/1802/11/16/pdfs/GMD-1802-93.pdf#page=11","Abrir facsímil")</f>
        <v>Abrir facsímil</v>
      </c>
      <c r="K3804" s="15" t="s">
        <v>23</v>
      </c>
    </row>
    <row r="3805" spans="1:11" ht="42" customHeight="1">
      <c r="A3805" s="4" t="s">
        <v>9508</v>
      </c>
      <c r="B3805" s="5" t="s">
        <v>9509</v>
      </c>
      <c r="C3805" s="5" t="s">
        <v>35</v>
      </c>
      <c r="D3805" s="5" t="s">
        <v>36</v>
      </c>
      <c r="E3805" s="5" t="s">
        <v>823</v>
      </c>
      <c r="F3805" s="9">
        <v>94</v>
      </c>
      <c r="G3805" s="9">
        <v>1163</v>
      </c>
      <c r="H3805" s="5" t="s">
        <v>21</v>
      </c>
      <c r="I3805" s="5" t="s">
        <v>9519</v>
      </c>
      <c r="J3805" s="12" t="str">
        <f>HYPERLINK("https://www.boe.es/gazeta/dias/1802/11/19/pdfs/GMD-1802-94.pdf#page=11","Abrir facsímil")</f>
        <v>Abrir facsímil</v>
      </c>
      <c r="K3805" s="15" t="s">
        <v>23</v>
      </c>
    </row>
    <row r="3806" spans="1:11" ht="42" customHeight="1">
      <c r="A3806" s="4" t="s">
        <v>9520</v>
      </c>
      <c r="B3806" s="5" t="s">
        <v>9521</v>
      </c>
      <c r="C3806" s="5" t="s">
        <v>35</v>
      </c>
      <c r="D3806" s="5" t="s">
        <v>36</v>
      </c>
      <c r="E3806" s="5" t="s">
        <v>185</v>
      </c>
      <c r="F3806" s="9">
        <v>95</v>
      </c>
      <c r="G3806" s="9">
        <v>1175</v>
      </c>
      <c r="H3806" s="5" t="s">
        <v>21</v>
      </c>
      <c r="I3806" s="5" t="s">
        <v>9522</v>
      </c>
      <c r="J3806" s="12" t="str">
        <f>HYPERLINK("https://www.boe.es/gazeta/dias/1802/11/23/pdfs/GMD-1802-95.pdf#page=11","Abrir facsímil")</f>
        <v>Abrir facsímil</v>
      </c>
      <c r="K3806" s="15" t="s">
        <v>23</v>
      </c>
    </row>
    <row r="3807" spans="1:11" ht="42" customHeight="1">
      <c r="A3807" s="4" t="s">
        <v>9523</v>
      </c>
      <c r="B3807" s="5" t="s">
        <v>9524</v>
      </c>
      <c r="C3807" s="5" t="s">
        <v>35</v>
      </c>
      <c r="D3807" s="5" t="s">
        <v>36</v>
      </c>
      <c r="E3807" s="5" t="s">
        <v>611</v>
      </c>
      <c r="F3807" s="9">
        <v>68</v>
      </c>
      <c r="G3807" s="9">
        <v>829</v>
      </c>
      <c r="H3807" s="5" t="s">
        <v>21</v>
      </c>
      <c r="I3807" s="5" t="s">
        <v>9525</v>
      </c>
      <c r="J3807" s="12" t="str">
        <f>HYPERLINK("https://www.boe.es/gazeta/dias/1802/08/20/pdfs/GMD-1802-68.pdf#page=5","Abrir facsímil")</f>
        <v>Abrir facsímil</v>
      </c>
      <c r="K3807" s="15" t="s">
        <v>23</v>
      </c>
    </row>
    <row r="3808" spans="1:11" ht="42" customHeight="1">
      <c r="A3808" s="4" t="s">
        <v>9526</v>
      </c>
      <c r="B3808" s="5" t="s">
        <v>9526</v>
      </c>
      <c r="C3808" s="5" t="s">
        <v>35</v>
      </c>
      <c r="D3808" s="5" t="s">
        <v>36</v>
      </c>
      <c r="E3808" s="5" t="s">
        <v>114</v>
      </c>
      <c r="F3808" s="9">
        <v>82</v>
      </c>
      <c r="G3808" s="9">
        <v>1006</v>
      </c>
      <c r="H3808" s="5" t="s">
        <v>21</v>
      </c>
      <c r="I3808" s="5" t="s">
        <v>9527</v>
      </c>
      <c r="J3808" s="12" t="str">
        <f>HYPERLINK("https://www.boe.es/gazeta/dias/1802/10/08/pdfs/GMD-1802-82.pdf#page=6","Abrir facsímil")</f>
        <v>Abrir facsímil</v>
      </c>
      <c r="K3808" s="15" t="s">
        <v>23</v>
      </c>
    </row>
    <row r="3809" spans="1:11" ht="42" customHeight="1">
      <c r="A3809" s="4" t="s">
        <v>9528</v>
      </c>
      <c r="B3809" s="5" t="s">
        <v>9529</v>
      </c>
      <c r="C3809" s="5" t="s">
        <v>29</v>
      </c>
      <c r="D3809" s="5" t="s">
        <v>30</v>
      </c>
      <c r="E3809" s="5" t="s">
        <v>706</v>
      </c>
      <c r="F3809" s="9">
        <v>80</v>
      </c>
      <c r="G3809" s="9">
        <v>985</v>
      </c>
      <c r="H3809" s="5" t="s">
        <v>21</v>
      </c>
      <c r="I3809" s="5" t="s">
        <v>9530</v>
      </c>
      <c r="J3809" s="12" t="str">
        <f>HYPERLINK("https://www.boe.es/gazeta/dias/1802/10/01/pdfs/GMD-1802-80.pdf#page=9","Abrir facsímil")</f>
        <v>Abrir facsímil</v>
      </c>
      <c r="K3809" s="15" t="s">
        <v>23</v>
      </c>
    </row>
    <row r="3810" spans="1:11" ht="42" customHeight="1">
      <c r="A3810" s="4" t="s">
        <v>9531</v>
      </c>
      <c r="B3810" s="5" t="s">
        <v>9532</v>
      </c>
      <c r="C3810" s="5" t="s">
        <v>35</v>
      </c>
      <c r="D3810" s="5" t="s">
        <v>36</v>
      </c>
      <c r="E3810" s="5" t="s">
        <v>25</v>
      </c>
      <c r="F3810" s="9">
        <v>44</v>
      </c>
      <c r="G3810" s="9">
        <v>525</v>
      </c>
      <c r="H3810" s="5" t="s">
        <v>21</v>
      </c>
      <c r="I3810" s="5" t="s">
        <v>9533</v>
      </c>
      <c r="J3810" s="12" t="str">
        <f>HYPERLINK("https://www.boe.es/gazeta/dias/1802/06/01/pdfs/GMD-1802-44.pdf#page=1","Abrir facsímil")</f>
        <v>Abrir facsímil</v>
      </c>
      <c r="K3810" s="15" t="s">
        <v>23</v>
      </c>
    </row>
    <row r="3811" spans="1:11" ht="42" customHeight="1">
      <c r="A3811" s="4" t="s">
        <v>9534</v>
      </c>
      <c r="B3811" s="5" t="s">
        <v>9534</v>
      </c>
      <c r="C3811" s="5" t="s">
        <v>35</v>
      </c>
      <c r="D3811" s="5" t="s">
        <v>36</v>
      </c>
      <c r="E3811" s="5" t="s">
        <v>37</v>
      </c>
      <c r="F3811" s="9">
        <v>106</v>
      </c>
      <c r="G3811" s="9">
        <v>1290</v>
      </c>
      <c r="H3811" s="5" t="s">
        <v>21</v>
      </c>
      <c r="I3811" s="5" t="s">
        <v>9535</v>
      </c>
      <c r="J3811" s="12" t="str">
        <f>HYPERLINK("https://www.boe.es/gazeta/dias/1802/12/31/pdfs/GMD-1802-106.pdf#page=2","Abrir facsímil")</f>
        <v>Abrir facsímil</v>
      </c>
      <c r="K3811" s="15" t="s">
        <v>23</v>
      </c>
    </row>
    <row r="3812" spans="1:11" ht="42" customHeight="1">
      <c r="A3812" s="4" t="s">
        <v>9536</v>
      </c>
      <c r="B3812" s="5" t="s">
        <v>9536</v>
      </c>
      <c r="C3812" s="5" t="s">
        <v>160</v>
      </c>
      <c r="D3812" s="5" t="s">
        <v>91</v>
      </c>
      <c r="E3812" s="5" t="s">
        <v>517</v>
      </c>
      <c r="F3812" s="9">
        <v>61</v>
      </c>
      <c r="G3812" s="9">
        <v>735</v>
      </c>
      <c r="H3812" s="5" t="s">
        <v>21</v>
      </c>
      <c r="I3812" s="5" t="s">
        <v>9537</v>
      </c>
      <c r="J3812" s="12" t="str">
        <f>HYPERLINK("https://www.boe.es/gazeta/dias/1802/07/27/pdfs/GMD-1802-61.pdf#page=3","Abrir facsímil")</f>
        <v>Abrir facsímil</v>
      </c>
      <c r="K3812" s="15" t="s">
        <v>23</v>
      </c>
    </row>
    <row r="3813" spans="1:11" ht="42" customHeight="1">
      <c r="A3813" s="4" t="s">
        <v>9538</v>
      </c>
      <c r="B3813" s="5" t="s">
        <v>9538</v>
      </c>
      <c r="C3813" s="5" t="s">
        <v>35</v>
      </c>
      <c r="D3813" s="5" t="s">
        <v>36</v>
      </c>
      <c r="E3813" s="5" t="s">
        <v>757</v>
      </c>
      <c r="F3813" s="9">
        <v>104</v>
      </c>
      <c r="G3813" s="9">
        <v>1266</v>
      </c>
      <c r="H3813" s="5" t="s">
        <v>21</v>
      </c>
      <c r="I3813" s="5" t="s">
        <v>9539</v>
      </c>
      <c r="J3813" s="12" t="str">
        <f>HYPERLINK("https://www.boe.es/gazeta/dias/1802/12/24/pdfs/GMD-1802-104.pdf#page=2","Abrir facsímil")</f>
        <v>Abrir facsímil</v>
      </c>
      <c r="K3813" s="15" t="s">
        <v>23</v>
      </c>
    </row>
    <row r="3814" spans="1:11" ht="42" customHeight="1">
      <c r="A3814" s="4" t="s">
        <v>9540</v>
      </c>
      <c r="B3814" s="5" t="s">
        <v>9541</v>
      </c>
      <c r="C3814" s="5" t="s">
        <v>55</v>
      </c>
      <c r="D3814" s="5" t="s">
        <v>56</v>
      </c>
      <c r="E3814" s="5" t="s">
        <v>517</v>
      </c>
      <c r="F3814" s="9">
        <v>61</v>
      </c>
      <c r="G3814" s="9">
        <v>741</v>
      </c>
      <c r="H3814" s="5" t="s">
        <v>21</v>
      </c>
      <c r="I3814" s="5" t="s">
        <v>9542</v>
      </c>
      <c r="J3814" s="12" t="str">
        <f>HYPERLINK("https://www.boe.es/gazeta/dias/1802/07/27/pdfs/GMD-1802-61.pdf#page=9","Abrir facsímil")</f>
        <v>Abrir facsímil</v>
      </c>
      <c r="K3814" s="15" t="s">
        <v>23</v>
      </c>
    </row>
    <row r="3815" spans="1:11" ht="42" customHeight="1">
      <c r="A3815" s="4" t="s">
        <v>9543</v>
      </c>
      <c r="B3815" s="5" t="s">
        <v>9544</v>
      </c>
      <c r="C3815" s="5" t="s">
        <v>18</v>
      </c>
      <c r="D3815" s="5" t="s">
        <v>19</v>
      </c>
      <c r="E3815" s="5" t="s">
        <v>170</v>
      </c>
      <c r="F3815" s="9">
        <v>28</v>
      </c>
      <c r="G3815" s="9">
        <v>327</v>
      </c>
      <c r="H3815" s="5" t="s">
        <v>21</v>
      </c>
      <c r="I3815" s="5" t="s">
        <v>9545</v>
      </c>
      <c r="J3815" s="12" t="str">
        <f>HYPERLINK("https://www.boe.es/gazeta/dias/1802/04/06/pdfs/GMD-1802-28.pdf#page=7","Abrir facsímil")</f>
        <v>Abrir facsímil</v>
      </c>
      <c r="K3815" s="15" t="s">
        <v>23</v>
      </c>
    </row>
    <row r="3816" spans="1:11" ht="42" customHeight="1">
      <c r="A3816" s="4" t="s">
        <v>9543</v>
      </c>
      <c r="B3816" s="5" t="s">
        <v>9544</v>
      </c>
      <c r="C3816" s="5" t="s">
        <v>35</v>
      </c>
      <c r="D3816" s="5" t="s">
        <v>36</v>
      </c>
      <c r="E3816" s="5" t="s">
        <v>92</v>
      </c>
      <c r="F3816" s="9">
        <v>29</v>
      </c>
      <c r="G3816" s="9">
        <v>340</v>
      </c>
      <c r="H3816" s="5" t="s">
        <v>21</v>
      </c>
      <c r="I3816" s="5" t="s">
        <v>9546</v>
      </c>
      <c r="J3816" s="12" t="str">
        <f>HYPERLINK("https://www.boe.es/gazeta/dias/1802/04/09/pdfs/GMD-1802-29.pdf#page=8","Abrir facsímil")</f>
        <v>Abrir facsímil</v>
      </c>
      <c r="K3816" s="15" t="s">
        <v>23</v>
      </c>
    </row>
    <row r="3817" spans="1:11" ht="42" customHeight="1">
      <c r="A3817" s="4" t="s">
        <v>9543</v>
      </c>
      <c r="B3817" s="5" t="s">
        <v>9544</v>
      </c>
      <c r="C3817" s="5" t="s">
        <v>18</v>
      </c>
      <c r="D3817" s="5" t="s">
        <v>19</v>
      </c>
      <c r="E3817" s="5" t="s">
        <v>232</v>
      </c>
      <c r="F3817" s="9">
        <v>30</v>
      </c>
      <c r="G3817" s="9">
        <v>349</v>
      </c>
      <c r="H3817" s="5" t="s">
        <v>21</v>
      </c>
      <c r="I3817" s="5" t="s">
        <v>9547</v>
      </c>
      <c r="J3817" s="12" t="str">
        <f>HYPERLINK("https://www.boe.es/gazeta/dias/1802/04/13/pdfs/GMD-1802-30.pdf#page=5","Abrir facsímil")</f>
        <v>Abrir facsímil</v>
      </c>
      <c r="K3817" s="15" t="s">
        <v>23</v>
      </c>
    </row>
    <row r="3818" spans="1:11" ht="42" customHeight="1">
      <c r="A3818" s="4" t="s">
        <v>9548</v>
      </c>
      <c r="B3818" s="5" t="s">
        <v>9549</v>
      </c>
      <c r="C3818" s="5" t="s">
        <v>35</v>
      </c>
      <c r="D3818" s="5" t="s">
        <v>36</v>
      </c>
      <c r="E3818" s="5" t="s">
        <v>1618</v>
      </c>
      <c r="F3818" s="9">
        <v>31</v>
      </c>
      <c r="G3818" s="9">
        <v>363</v>
      </c>
      <c r="H3818" s="5" t="s">
        <v>21</v>
      </c>
      <c r="I3818" s="5" t="s">
        <v>9550</v>
      </c>
      <c r="J3818" s="12" t="str">
        <f>HYPERLINK("https://www.boe.es/gazeta/dias/1802/04/16/pdfs/GMD-1802-31.pdf#page=7","Abrir facsímil")</f>
        <v>Abrir facsímil</v>
      </c>
      <c r="K3818" s="15" t="s">
        <v>23</v>
      </c>
    </row>
    <row r="3819" spans="1:11" ht="42" customHeight="1">
      <c r="A3819" s="4" t="s">
        <v>9543</v>
      </c>
      <c r="B3819" s="5" t="s">
        <v>9544</v>
      </c>
      <c r="C3819" s="5" t="s">
        <v>160</v>
      </c>
      <c r="D3819" s="5" t="s">
        <v>91</v>
      </c>
      <c r="E3819" s="5" t="s">
        <v>670</v>
      </c>
      <c r="F3819" s="9">
        <v>40</v>
      </c>
      <c r="G3819" s="9">
        <v>477</v>
      </c>
      <c r="H3819" s="5" t="s">
        <v>21</v>
      </c>
      <c r="I3819" s="5" t="s">
        <v>9551</v>
      </c>
      <c r="J3819" s="12" t="str">
        <f>HYPERLINK("https://www.boe.es/gazeta/dias/1802/05/18/pdfs/GMD-1802-40.pdf#page=5","Abrir facsímil")</f>
        <v>Abrir facsímil</v>
      </c>
      <c r="K3819" s="15" t="s">
        <v>23</v>
      </c>
    </row>
    <row r="3820" spans="1:11" ht="42" customHeight="1">
      <c r="A3820" s="4" t="s">
        <v>9552</v>
      </c>
      <c r="B3820" s="5" t="s">
        <v>9553</v>
      </c>
      <c r="C3820" s="5" t="s">
        <v>29</v>
      </c>
      <c r="D3820" s="5" t="s">
        <v>30</v>
      </c>
      <c r="E3820" s="5" t="s">
        <v>1829</v>
      </c>
      <c r="F3820" s="9">
        <v>32</v>
      </c>
      <c r="G3820" s="9">
        <v>371</v>
      </c>
      <c r="H3820" s="5" t="s">
        <v>21</v>
      </c>
      <c r="I3820" s="5" t="s">
        <v>9554</v>
      </c>
      <c r="J3820" s="12" t="str">
        <f>HYPERLINK("https://www.boe.es/gazeta/dias/1802/04/20/pdfs/GMD-1802-32.pdf#page=3","Abrir facsímil")</f>
        <v>Abrir facsímil</v>
      </c>
      <c r="K3820" s="15" t="s">
        <v>23</v>
      </c>
    </row>
    <row r="3821" spans="1:11" ht="42" customHeight="1">
      <c r="A3821" s="4" t="s">
        <v>9555</v>
      </c>
      <c r="B3821" s="5" t="s">
        <v>9556</v>
      </c>
      <c r="C3821" s="5" t="s">
        <v>35</v>
      </c>
      <c r="D3821" s="5" t="s">
        <v>36</v>
      </c>
      <c r="E3821" s="5" t="s">
        <v>823</v>
      </c>
      <c r="F3821" s="9">
        <v>94</v>
      </c>
      <c r="G3821" s="9">
        <v>1157</v>
      </c>
      <c r="H3821" s="5" t="s">
        <v>21</v>
      </c>
      <c r="I3821" s="5" t="s">
        <v>9557</v>
      </c>
      <c r="J3821" s="12" t="str">
        <f>HYPERLINK("https://www.boe.es/gazeta/dias/1802/11/19/pdfs/GMD-1802-94.pdf#page=5","Abrir facsímil")</f>
        <v>Abrir facsímil</v>
      </c>
      <c r="K3821" s="15" t="s">
        <v>23</v>
      </c>
    </row>
    <row r="3822" spans="1:11" ht="42" customHeight="1">
      <c r="A3822" s="4" t="s">
        <v>9558</v>
      </c>
      <c r="B3822" s="5" t="s">
        <v>9559</v>
      </c>
      <c r="C3822" s="5" t="s">
        <v>29</v>
      </c>
      <c r="D3822" s="5" t="s">
        <v>30</v>
      </c>
      <c r="E3822" s="5" t="s">
        <v>1374</v>
      </c>
      <c r="F3822" s="9">
        <v>71</v>
      </c>
      <c r="G3822" s="9">
        <v>867</v>
      </c>
      <c r="H3822" s="5" t="s">
        <v>21</v>
      </c>
      <c r="I3822" s="5" t="s">
        <v>9560</v>
      </c>
      <c r="J3822" s="12" t="str">
        <f>HYPERLINK("https://www.boe.es/gazeta/dias/1802/08/31/pdfs/GMD-1802-71.pdf#page=3","Abrir facsímil")</f>
        <v>Abrir facsímil</v>
      </c>
      <c r="K3822" s="15" t="s">
        <v>23</v>
      </c>
    </row>
    <row r="3823" spans="1:11" ht="42" customHeight="1">
      <c r="A3823" s="4" t="s">
        <v>9561</v>
      </c>
      <c r="B3823" s="5" t="s">
        <v>9561</v>
      </c>
      <c r="C3823" s="5" t="s">
        <v>29</v>
      </c>
      <c r="D3823" s="5" t="s">
        <v>30</v>
      </c>
      <c r="E3823" s="5" t="s">
        <v>163</v>
      </c>
      <c r="F3823" s="9">
        <v>1</v>
      </c>
      <c r="G3823" s="9">
        <v>4</v>
      </c>
      <c r="H3823" s="5" t="s">
        <v>21</v>
      </c>
      <c r="I3823" s="5" t="s">
        <v>9562</v>
      </c>
      <c r="J3823" s="12" t="str">
        <f>HYPERLINK("https://www.boe.es/gazeta/dias/1802/01/01/pdfs/GMD-1802-1.pdf#page=4","Abrir facsímil")</f>
        <v>Abrir facsímil</v>
      </c>
      <c r="K3823" s="15" t="s">
        <v>23</v>
      </c>
    </row>
    <row r="3824" spans="1:11" ht="42" customHeight="1">
      <c r="A3824" s="4" t="s">
        <v>9563</v>
      </c>
      <c r="B3824" s="5" t="s">
        <v>9564</v>
      </c>
      <c r="C3824" s="5" t="s">
        <v>18</v>
      </c>
      <c r="D3824" s="5" t="s">
        <v>19</v>
      </c>
      <c r="E3824" s="5" t="s">
        <v>20</v>
      </c>
      <c r="F3824" s="9">
        <v>84</v>
      </c>
      <c r="G3824" s="9">
        <v>1043</v>
      </c>
      <c r="H3824" s="5" t="s">
        <v>21</v>
      </c>
      <c r="I3824" s="5" t="s">
        <v>9565</v>
      </c>
      <c r="J3824" s="12" t="str">
        <f>HYPERLINK("https://www.boe.es/gazeta/dias/1802/10/15/pdfs/GMD-1802-84.pdf#page=11","Abrir facsímil")</f>
        <v>Abrir facsímil</v>
      </c>
      <c r="K3824" s="15" t="s">
        <v>23</v>
      </c>
    </row>
    <row r="3825" spans="1:11" ht="42" customHeight="1">
      <c r="A3825" s="4" t="s">
        <v>9566</v>
      </c>
      <c r="B3825" s="5" t="s">
        <v>9567</v>
      </c>
      <c r="C3825" s="5" t="s">
        <v>18</v>
      </c>
      <c r="D3825" s="5" t="s">
        <v>19</v>
      </c>
      <c r="E3825" s="5" t="s">
        <v>49</v>
      </c>
      <c r="F3825" s="9">
        <v>83</v>
      </c>
      <c r="G3825" s="9">
        <v>1021</v>
      </c>
      <c r="H3825" s="5" t="s">
        <v>21</v>
      </c>
      <c r="I3825" s="5" t="s">
        <v>9568</v>
      </c>
      <c r="J3825" s="12" t="str">
        <f>HYPERLINK("https://www.boe.es/gazeta/dias/1802/10/12/pdfs/GMD-1802-83.pdf#page=9","Abrir facsímil")</f>
        <v>Abrir facsímil</v>
      </c>
      <c r="K3825" s="15" t="s">
        <v>23</v>
      </c>
    </row>
    <row r="3826" spans="1:11" ht="42" customHeight="1">
      <c r="A3826" s="4" t="s">
        <v>9569</v>
      </c>
      <c r="B3826" s="5" t="s">
        <v>9570</v>
      </c>
      <c r="C3826" s="5" t="s">
        <v>18</v>
      </c>
      <c r="D3826" s="5" t="s">
        <v>19</v>
      </c>
      <c r="E3826" s="5" t="s">
        <v>49</v>
      </c>
      <c r="F3826" s="9">
        <v>83</v>
      </c>
      <c r="G3826" s="9">
        <v>1024</v>
      </c>
      <c r="H3826" s="5" t="s">
        <v>21</v>
      </c>
      <c r="I3826" s="5" t="s">
        <v>9571</v>
      </c>
      <c r="J3826" s="12" t="str">
        <f>HYPERLINK("https://www.boe.es/gazeta/dias/1802/10/12/pdfs/GMD-1802-83.pdf#page=12","Abrir facsímil")</f>
        <v>Abrir facsímil</v>
      </c>
      <c r="K3826" s="15" t="s">
        <v>23</v>
      </c>
    </row>
    <row r="3827" spans="1:11" ht="42" customHeight="1">
      <c r="A3827" s="4" t="s">
        <v>9572</v>
      </c>
      <c r="B3827" s="5" t="s">
        <v>9573</v>
      </c>
      <c r="C3827" s="5" t="s">
        <v>18</v>
      </c>
      <c r="D3827" s="5" t="s">
        <v>19</v>
      </c>
      <c r="E3827" s="5" t="s">
        <v>196</v>
      </c>
      <c r="F3827" s="9">
        <v>2</v>
      </c>
      <c r="G3827" s="9">
        <v>12</v>
      </c>
      <c r="H3827" s="5" t="s">
        <v>21</v>
      </c>
      <c r="I3827" s="5" t="s">
        <v>9574</v>
      </c>
      <c r="J3827" s="12" t="str">
        <f>HYPERLINK("https://www.boe.es/gazeta/dias/1802/01/05/pdfs/GMD-1802-2.pdf#page=4","Abrir facsímil")</f>
        <v>Abrir facsímil</v>
      </c>
      <c r="K3827" s="15" t="s">
        <v>23</v>
      </c>
    </row>
    <row r="3828" spans="1:11" ht="42" customHeight="1">
      <c r="A3828" s="4" t="s">
        <v>9575</v>
      </c>
      <c r="B3828" s="5" t="s">
        <v>9575</v>
      </c>
      <c r="C3828" s="5" t="s">
        <v>35</v>
      </c>
      <c r="D3828" s="5" t="s">
        <v>36</v>
      </c>
      <c r="E3828" s="5" t="s">
        <v>206</v>
      </c>
      <c r="F3828" s="9">
        <v>22</v>
      </c>
      <c r="G3828" s="9">
        <v>234</v>
      </c>
      <c r="H3828" s="5" t="s">
        <v>21</v>
      </c>
      <c r="I3828" s="5" t="s">
        <v>9576</v>
      </c>
      <c r="J3828" s="12" t="str">
        <f>HYPERLINK("https://www.boe.es/gazeta/dias/1802/03/16/pdfs/GMD-1802-22.pdf#page=2","Abrir facsímil")</f>
        <v>Abrir facsímil</v>
      </c>
      <c r="K3828" s="15" t="s">
        <v>23</v>
      </c>
    </row>
    <row r="3829" spans="1:11" ht="42" customHeight="1">
      <c r="A3829" s="4" t="s">
        <v>9575</v>
      </c>
      <c r="B3829" s="5" t="s">
        <v>9575</v>
      </c>
      <c r="C3829" s="5" t="s">
        <v>35</v>
      </c>
      <c r="D3829" s="5" t="s">
        <v>36</v>
      </c>
      <c r="E3829" s="5" t="s">
        <v>631</v>
      </c>
      <c r="F3829" s="9">
        <v>36</v>
      </c>
      <c r="G3829" s="9">
        <v>421</v>
      </c>
      <c r="H3829" s="5" t="s">
        <v>21</v>
      </c>
      <c r="I3829" s="5" t="s">
        <v>9577</v>
      </c>
      <c r="J3829" s="12" t="str">
        <f>HYPERLINK("https://www.boe.es/gazeta/dias/1802/05/04/pdfs/GMD-1802-36.pdf#page=1","Abrir facsímil")</f>
        <v>Abrir facsímil</v>
      </c>
      <c r="K3829" s="15" t="s">
        <v>23</v>
      </c>
    </row>
    <row r="3830" spans="1:11" ht="42" customHeight="1">
      <c r="A3830" s="4" t="s">
        <v>9578</v>
      </c>
      <c r="B3830" s="5" t="s">
        <v>9579</v>
      </c>
      <c r="C3830" s="5" t="s">
        <v>18</v>
      </c>
      <c r="D3830" s="5" t="s">
        <v>19</v>
      </c>
      <c r="E3830" s="5" t="s">
        <v>196</v>
      </c>
      <c r="F3830" s="9">
        <v>2</v>
      </c>
      <c r="G3830" s="9">
        <v>12</v>
      </c>
      <c r="H3830" s="5" t="s">
        <v>21</v>
      </c>
      <c r="I3830" s="5" t="s">
        <v>9580</v>
      </c>
      <c r="J3830" s="12" t="str">
        <f>HYPERLINK("https://www.boe.es/gazeta/dias/1802/01/05/pdfs/GMD-1802-2.pdf#page=4","Abrir facsímil")</f>
        <v>Abrir facsímil</v>
      </c>
      <c r="K3830" s="15" t="s">
        <v>23</v>
      </c>
    </row>
    <row r="3831" spans="1:11" ht="42" customHeight="1">
      <c r="A3831" s="4" t="s">
        <v>9578</v>
      </c>
      <c r="B3831" s="5" t="s">
        <v>9579</v>
      </c>
      <c r="C3831" s="5" t="s">
        <v>90</v>
      </c>
      <c r="D3831" s="5" t="s">
        <v>91</v>
      </c>
      <c r="E3831" s="5" t="s">
        <v>1332</v>
      </c>
      <c r="F3831" s="9">
        <v>4</v>
      </c>
      <c r="G3831" s="9">
        <v>32</v>
      </c>
      <c r="H3831" s="5" t="s">
        <v>21</v>
      </c>
      <c r="I3831" s="5" t="s">
        <v>9581</v>
      </c>
      <c r="J3831" s="12" t="str">
        <f>HYPERLINK("https://www.boe.es/gazeta/dias/1802/01/12/pdfs/GMD-1802-4.pdf#page=4","Abrir facsímil")</f>
        <v>Abrir facsímil</v>
      </c>
      <c r="K3831" s="15" t="s">
        <v>23</v>
      </c>
    </row>
    <row r="3832" spans="1:11" ht="42" customHeight="1">
      <c r="A3832" s="4" t="s">
        <v>9578</v>
      </c>
      <c r="B3832" s="5" t="s">
        <v>9579</v>
      </c>
      <c r="C3832" s="5" t="s">
        <v>35</v>
      </c>
      <c r="D3832" s="5" t="s">
        <v>36</v>
      </c>
      <c r="E3832" s="5" t="s">
        <v>247</v>
      </c>
      <c r="F3832" s="9">
        <v>14</v>
      </c>
      <c r="G3832" s="9">
        <v>144</v>
      </c>
      <c r="H3832" s="5" t="s">
        <v>21</v>
      </c>
      <c r="I3832" s="5" t="s">
        <v>9582</v>
      </c>
      <c r="J3832" s="12" t="str">
        <f>HYPERLINK("https://www.boe.es/gazeta/dias/1802/02/16/pdfs/GMD-1802-14.pdf#page=8","Abrir facsímil")</f>
        <v>Abrir facsímil</v>
      </c>
      <c r="K3832" s="15" t="s">
        <v>23</v>
      </c>
    </row>
    <row r="3833" spans="1:11" ht="42" customHeight="1">
      <c r="A3833" s="4" t="s">
        <v>9578</v>
      </c>
      <c r="B3833" s="5" t="s">
        <v>9579</v>
      </c>
      <c r="C3833" s="5" t="s">
        <v>35</v>
      </c>
      <c r="D3833" s="5" t="s">
        <v>36</v>
      </c>
      <c r="E3833" s="5" t="s">
        <v>1381</v>
      </c>
      <c r="F3833" s="9">
        <v>17</v>
      </c>
      <c r="G3833" s="9">
        <v>179</v>
      </c>
      <c r="H3833" s="5" t="s">
        <v>21</v>
      </c>
      <c r="I3833" s="5" t="s">
        <v>9583</v>
      </c>
      <c r="J3833" s="12" t="str">
        <f>HYPERLINK("https://www.boe.es/gazeta/dias/1802/02/26/pdfs/GMD-1802-17.pdf#page=3","Abrir facsímil")</f>
        <v>Abrir facsímil</v>
      </c>
      <c r="K3833" s="15" t="s">
        <v>23</v>
      </c>
    </row>
    <row r="3834" spans="1:11" ht="42" customHeight="1">
      <c r="A3834" s="4" t="s">
        <v>9578</v>
      </c>
      <c r="B3834" s="5" t="s">
        <v>9579</v>
      </c>
      <c r="C3834" s="5" t="s">
        <v>160</v>
      </c>
      <c r="D3834" s="5" t="s">
        <v>91</v>
      </c>
      <c r="E3834" s="5" t="s">
        <v>299</v>
      </c>
      <c r="F3834" s="9">
        <v>19</v>
      </c>
      <c r="G3834" s="9">
        <v>204</v>
      </c>
      <c r="H3834" s="5" t="s">
        <v>21</v>
      </c>
      <c r="I3834" s="5" t="s">
        <v>9584</v>
      </c>
      <c r="J3834" s="12" t="str">
        <f>HYPERLINK("https://www.boe.es/gazeta/dias/1802/03/05/pdfs/GMD-1802-19.pdf#page=4","Abrir facsímil")</f>
        <v>Abrir facsímil</v>
      </c>
      <c r="K3834" s="15" t="s">
        <v>23</v>
      </c>
    </row>
    <row r="3835" spans="1:11" ht="42" customHeight="1">
      <c r="A3835" s="4" t="s">
        <v>9578</v>
      </c>
      <c r="B3835" s="5" t="s">
        <v>9579</v>
      </c>
      <c r="C3835" s="5" t="s">
        <v>35</v>
      </c>
      <c r="D3835" s="5" t="s">
        <v>36</v>
      </c>
      <c r="E3835" s="5" t="s">
        <v>206</v>
      </c>
      <c r="F3835" s="9">
        <v>22</v>
      </c>
      <c r="G3835" s="9">
        <v>234</v>
      </c>
      <c r="H3835" s="5" t="s">
        <v>21</v>
      </c>
      <c r="I3835" s="5" t="s">
        <v>9585</v>
      </c>
      <c r="J3835" s="12" t="str">
        <f>HYPERLINK("https://www.boe.es/gazeta/dias/1802/03/16/pdfs/GMD-1802-22.pdf#page=2","Abrir facsímil")</f>
        <v>Abrir facsímil</v>
      </c>
      <c r="K3835" s="15" t="s">
        <v>23</v>
      </c>
    </row>
    <row r="3836" spans="1:11" ht="42" customHeight="1">
      <c r="A3836" s="4" t="s">
        <v>9578</v>
      </c>
      <c r="B3836" s="5" t="s">
        <v>9579</v>
      </c>
      <c r="C3836" s="5" t="s">
        <v>29</v>
      </c>
      <c r="D3836" s="5" t="s">
        <v>30</v>
      </c>
      <c r="E3836" s="5" t="s">
        <v>86</v>
      </c>
      <c r="F3836" s="9">
        <v>26</v>
      </c>
      <c r="G3836" s="9">
        <v>294</v>
      </c>
      <c r="H3836" s="5" t="s">
        <v>21</v>
      </c>
      <c r="I3836" s="5" t="s">
        <v>9586</v>
      </c>
      <c r="J3836" s="12" t="str">
        <f>HYPERLINK("https://www.boe.es/gazeta/dias/1802/03/30/pdfs/GMD-1802-26.pdf#page=6","Abrir facsímil")</f>
        <v>Abrir facsímil</v>
      </c>
      <c r="K3836" s="15" t="s">
        <v>23</v>
      </c>
    </row>
    <row r="3837" spans="1:11" ht="42" customHeight="1">
      <c r="A3837" s="4" t="s">
        <v>9578</v>
      </c>
      <c r="B3837" s="5" t="s">
        <v>9579</v>
      </c>
      <c r="C3837" s="5" t="s">
        <v>35</v>
      </c>
      <c r="D3837" s="5" t="s">
        <v>36</v>
      </c>
      <c r="E3837" s="5" t="s">
        <v>631</v>
      </c>
      <c r="F3837" s="9">
        <v>36</v>
      </c>
      <c r="G3837" s="9">
        <v>421</v>
      </c>
      <c r="H3837" s="5" t="s">
        <v>21</v>
      </c>
      <c r="I3837" s="5" t="s">
        <v>9587</v>
      </c>
      <c r="J3837" s="12" t="str">
        <f>HYPERLINK("https://www.boe.es/gazeta/dias/1802/05/04/pdfs/GMD-1802-36.pdf#page=1","Abrir facsímil")</f>
        <v>Abrir facsímil</v>
      </c>
      <c r="K3837" s="15" t="s">
        <v>23</v>
      </c>
    </row>
    <row r="3838" spans="1:11" ht="42" customHeight="1">
      <c r="A3838" s="4" t="s">
        <v>9578</v>
      </c>
      <c r="B3838" s="5" t="s">
        <v>9579</v>
      </c>
      <c r="C3838" s="5" t="s">
        <v>35</v>
      </c>
      <c r="D3838" s="5" t="s">
        <v>36</v>
      </c>
      <c r="E3838" s="5" t="s">
        <v>436</v>
      </c>
      <c r="F3838" s="9">
        <v>58</v>
      </c>
      <c r="G3838" s="9">
        <v>696</v>
      </c>
      <c r="H3838" s="5" t="s">
        <v>21</v>
      </c>
      <c r="I3838" s="5" t="s">
        <v>9588</v>
      </c>
      <c r="J3838" s="12" t="str">
        <f>HYPERLINK("https://www.boe.es/gazeta/dias/1802/07/20/pdfs/GMD-1802-58.pdf#page=4","Abrir facsímil")</f>
        <v>Abrir facsímil</v>
      </c>
      <c r="K3838" s="15" t="s">
        <v>23</v>
      </c>
    </row>
    <row r="3839" spans="1:11" ht="42" customHeight="1">
      <c r="A3839" s="4" t="s">
        <v>9589</v>
      </c>
      <c r="B3839" s="5" t="s">
        <v>9590</v>
      </c>
      <c r="C3839" s="5" t="s">
        <v>35</v>
      </c>
      <c r="D3839" s="5" t="s">
        <v>36</v>
      </c>
      <c r="E3839" s="5" t="s">
        <v>886</v>
      </c>
      <c r="F3839" s="9">
        <v>7</v>
      </c>
      <c r="G3839" s="9">
        <v>63</v>
      </c>
      <c r="H3839" s="5" t="s">
        <v>21</v>
      </c>
      <c r="I3839" s="5" t="s">
        <v>9591</v>
      </c>
      <c r="J3839" s="12" t="str">
        <f>HYPERLINK("https://www.boe.es/gazeta/dias/1802/01/22/pdfs/GMD-1802-7.pdf#page=3","Abrir facsímil")</f>
        <v>Abrir facsímil</v>
      </c>
      <c r="K3839" s="15" t="s">
        <v>23</v>
      </c>
    </row>
    <row r="3840" spans="1:11" ht="42" customHeight="1">
      <c r="A3840" s="4" t="s">
        <v>9589</v>
      </c>
      <c r="B3840" s="5" t="s">
        <v>9590</v>
      </c>
      <c r="C3840" s="5" t="s">
        <v>29</v>
      </c>
      <c r="D3840" s="5" t="s">
        <v>30</v>
      </c>
      <c r="E3840" s="5" t="s">
        <v>181</v>
      </c>
      <c r="F3840" s="9">
        <v>55</v>
      </c>
      <c r="G3840" s="9">
        <v>660</v>
      </c>
      <c r="H3840" s="5" t="s">
        <v>21</v>
      </c>
      <c r="I3840" s="5" t="s">
        <v>9592</v>
      </c>
      <c r="J3840" s="12" t="str">
        <f>HYPERLINK("https://www.boe.es/gazeta/dias/1802/07/09/pdfs/GMD-1802-55.pdf#page=4","Abrir facsímil")</f>
        <v>Abrir facsímil</v>
      </c>
      <c r="K3840" s="15" t="s">
        <v>23</v>
      </c>
    </row>
    <row r="3841" spans="1:11" ht="42" customHeight="1">
      <c r="A3841" s="4" t="s">
        <v>9589</v>
      </c>
      <c r="B3841" s="5" t="s">
        <v>9590</v>
      </c>
      <c r="C3841" s="5" t="s">
        <v>29</v>
      </c>
      <c r="D3841" s="5" t="s">
        <v>30</v>
      </c>
      <c r="E3841" s="5" t="s">
        <v>1749</v>
      </c>
      <c r="F3841" s="9">
        <v>60</v>
      </c>
      <c r="G3841" s="9">
        <v>724</v>
      </c>
      <c r="H3841" s="5" t="s">
        <v>21</v>
      </c>
      <c r="I3841" s="5" t="s">
        <v>9593</v>
      </c>
      <c r="J3841" s="12" t="str">
        <f>HYPERLINK("https://www.boe.es/gazeta/dias/1802/07/23/pdfs/GMD-1802-60.pdf#page=8","Abrir facsímil")</f>
        <v>Abrir facsímil</v>
      </c>
      <c r="K3841" s="15" t="s">
        <v>23</v>
      </c>
    </row>
    <row r="3842" spans="1:11" ht="42" customHeight="1">
      <c r="A3842" s="4" t="s">
        <v>9594</v>
      </c>
      <c r="B3842" s="5" t="s">
        <v>9594</v>
      </c>
      <c r="C3842" s="5" t="s">
        <v>35</v>
      </c>
      <c r="D3842" s="5" t="s">
        <v>36</v>
      </c>
      <c r="E3842" s="5" t="s">
        <v>49</v>
      </c>
      <c r="F3842" s="9">
        <v>83</v>
      </c>
      <c r="G3842" s="9">
        <v>1015</v>
      </c>
      <c r="H3842" s="5" t="s">
        <v>21</v>
      </c>
      <c r="I3842" s="5" t="s">
        <v>9595</v>
      </c>
      <c r="J3842" s="12" t="str">
        <f>HYPERLINK("https://www.boe.es/gazeta/dias/1802/10/12/pdfs/GMD-1802-83.pdf#page=3","Abrir facsímil")</f>
        <v>Abrir facsímil</v>
      </c>
      <c r="K3842" s="15" t="s">
        <v>23</v>
      </c>
    </row>
    <row r="3843" spans="1:11" ht="42" customHeight="1">
      <c r="A3843" s="4" t="s">
        <v>9596</v>
      </c>
      <c r="B3843" s="5" t="s">
        <v>9596</v>
      </c>
      <c r="C3843" s="5" t="s">
        <v>29</v>
      </c>
      <c r="D3843" s="5" t="s">
        <v>30</v>
      </c>
      <c r="E3843" s="5" t="s">
        <v>381</v>
      </c>
      <c r="F3843" s="9">
        <v>13</v>
      </c>
      <c r="G3843" s="9">
        <v>127</v>
      </c>
      <c r="H3843" s="5" t="s">
        <v>21</v>
      </c>
      <c r="I3843" s="5" t="s">
        <v>9597</v>
      </c>
      <c r="J3843" s="12" t="str">
        <f>HYPERLINK("https://www.boe.es/gazeta/dias/1802/02/12/pdfs/GMD-1802-13.pdf#page=3","Abrir facsímil")</f>
        <v>Abrir facsímil</v>
      </c>
      <c r="K3843" s="15" t="s">
        <v>23</v>
      </c>
    </row>
    <row r="3844" spans="1:11" ht="42" customHeight="1">
      <c r="A3844" s="4" t="s">
        <v>9596</v>
      </c>
      <c r="B3844" s="5" t="s">
        <v>9596</v>
      </c>
      <c r="C3844" s="5" t="s">
        <v>29</v>
      </c>
      <c r="D3844" s="5" t="s">
        <v>30</v>
      </c>
      <c r="E3844" s="5" t="s">
        <v>710</v>
      </c>
      <c r="F3844" s="9">
        <v>85</v>
      </c>
      <c r="G3844" s="9">
        <v>1053</v>
      </c>
      <c r="H3844" s="5" t="s">
        <v>21</v>
      </c>
      <c r="I3844" s="5" t="s">
        <v>9598</v>
      </c>
      <c r="J3844" s="12" t="str">
        <f>HYPERLINK("https://www.boe.es/gazeta/dias/1802/10/19/pdfs/GMD-1802-85.pdf#page=5","Abrir facsímil")</f>
        <v>Abrir facsímil</v>
      </c>
      <c r="K3844" s="15" t="s">
        <v>23</v>
      </c>
    </row>
    <row r="3845" spans="1:11" ht="42" customHeight="1">
      <c r="A3845" s="4" t="s">
        <v>9599</v>
      </c>
      <c r="B3845" s="5" t="s">
        <v>9600</v>
      </c>
      <c r="C3845" s="5" t="s">
        <v>35</v>
      </c>
      <c r="D3845" s="5" t="s">
        <v>36</v>
      </c>
      <c r="E3845" s="5" t="s">
        <v>631</v>
      </c>
      <c r="F3845" s="9">
        <v>36</v>
      </c>
      <c r="G3845" s="9">
        <v>425</v>
      </c>
      <c r="H3845" s="5" t="s">
        <v>21</v>
      </c>
      <c r="I3845" s="5" t="s">
        <v>9601</v>
      </c>
      <c r="J3845" s="12" t="str">
        <f>HYPERLINK("https://www.boe.es/gazeta/dias/1802/05/04/pdfs/GMD-1802-36.pdf#page=5","Abrir facsímil")</f>
        <v>Abrir facsímil</v>
      </c>
      <c r="K3845" s="15" t="s">
        <v>23</v>
      </c>
    </row>
    <row r="3846" spans="1:11" ht="42" customHeight="1">
      <c r="A3846" s="4" t="s">
        <v>9602</v>
      </c>
      <c r="B3846" s="5" t="s">
        <v>9603</v>
      </c>
      <c r="C3846" s="5" t="s">
        <v>35</v>
      </c>
      <c r="D3846" s="5" t="s">
        <v>36</v>
      </c>
      <c r="E3846" s="5" t="s">
        <v>86</v>
      </c>
      <c r="F3846" s="9">
        <v>26</v>
      </c>
      <c r="G3846" s="9">
        <v>294</v>
      </c>
      <c r="H3846" s="5" t="s">
        <v>21</v>
      </c>
      <c r="I3846" s="5" t="s">
        <v>9604</v>
      </c>
      <c r="J3846" s="12" t="str">
        <f>HYPERLINK("https://www.boe.es/gazeta/dias/1802/03/30/pdfs/GMD-1802-26.pdf#page=6","Abrir facsímil")</f>
        <v>Abrir facsímil</v>
      </c>
      <c r="K3846" s="15" t="s">
        <v>23</v>
      </c>
    </row>
    <row r="3847" spans="1:11" ht="42" customHeight="1">
      <c r="A3847" s="4" t="s">
        <v>9605</v>
      </c>
      <c r="B3847" s="5" t="s">
        <v>9606</v>
      </c>
      <c r="C3847" s="5" t="s">
        <v>55</v>
      </c>
      <c r="D3847" s="5" t="s">
        <v>56</v>
      </c>
      <c r="E3847" s="5" t="s">
        <v>114</v>
      </c>
      <c r="F3847" s="9">
        <v>82</v>
      </c>
      <c r="G3847" s="9">
        <v>1012</v>
      </c>
      <c r="H3847" s="5" t="s">
        <v>21</v>
      </c>
      <c r="I3847" s="5" t="s">
        <v>9607</v>
      </c>
      <c r="J3847" s="12" t="str">
        <f>HYPERLINK("https://www.boe.es/gazeta/dias/1802/10/08/pdfs/GMD-1802-82.pdf#page=12","Abrir facsímil")</f>
        <v>Abrir facsímil</v>
      </c>
      <c r="K3847" s="15" t="s">
        <v>23</v>
      </c>
    </row>
    <row r="3848" spans="1:11" ht="42" customHeight="1">
      <c r="A3848" s="4" t="s">
        <v>9608</v>
      </c>
      <c r="B3848" s="5" t="s">
        <v>9609</v>
      </c>
      <c r="C3848" s="5" t="s">
        <v>18</v>
      </c>
      <c r="D3848" s="5" t="s">
        <v>19</v>
      </c>
      <c r="E3848" s="5" t="s">
        <v>20</v>
      </c>
      <c r="F3848" s="9">
        <v>84</v>
      </c>
      <c r="G3848" s="9">
        <v>1044</v>
      </c>
      <c r="H3848" s="5" t="s">
        <v>21</v>
      </c>
      <c r="I3848" s="5" t="s">
        <v>9610</v>
      </c>
      <c r="J3848" s="12" t="str">
        <f>HYPERLINK("https://www.boe.es/gazeta/dias/1802/10/15/pdfs/GMD-1802-84.pdf#page=12","Abrir facsímil")</f>
        <v>Abrir facsímil</v>
      </c>
      <c r="K3848" s="15" t="s">
        <v>23</v>
      </c>
    </row>
    <row r="3849" spans="1:11" ht="42" customHeight="1">
      <c r="A3849" s="4" t="s">
        <v>9611</v>
      </c>
      <c r="B3849" s="5" t="s">
        <v>9612</v>
      </c>
      <c r="C3849" s="5" t="s">
        <v>29</v>
      </c>
      <c r="D3849" s="5" t="s">
        <v>30</v>
      </c>
      <c r="E3849" s="5" t="s">
        <v>172</v>
      </c>
      <c r="F3849" s="9">
        <v>35</v>
      </c>
      <c r="G3849" s="9">
        <v>413</v>
      </c>
      <c r="H3849" s="5" t="s">
        <v>21</v>
      </c>
      <c r="I3849" s="5" t="s">
        <v>9613</v>
      </c>
      <c r="J3849" s="12" t="str">
        <f>HYPERLINK("https://www.boe.es/gazeta/dias/1802/04/30/pdfs/GMD-1802-35.pdf#page=13","Abrir facsímil")</f>
        <v>Abrir facsímil</v>
      </c>
      <c r="K3849" s="15" t="s">
        <v>23</v>
      </c>
    </row>
    <row r="3850" spans="1:11" ht="42" customHeight="1">
      <c r="A3850" s="4" t="s">
        <v>9614</v>
      </c>
      <c r="B3850" s="5" t="s">
        <v>9615</v>
      </c>
      <c r="C3850" s="5" t="s">
        <v>35</v>
      </c>
      <c r="D3850" s="5" t="s">
        <v>36</v>
      </c>
      <c r="E3850" s="5" t="s">
        <v>146</v>
      </c>
      <c r="F3850" s="9">
        <v>42</v>
      </c>
      <c r="G3850" s="9">
        <v>503</v>
      </c>
      <c r="H3850" s="5" t="s">
        <v>21</v>
      </c>
      <c r="I3850" s="5" t="s">
        <v>9616</v>
      </c>
      <c r="J3850" s="12" t="str">
        <f>HYPERLINK("https://www.boe.es/gazeta/dias/1802/05/25/pdfs/GMD-1802-42.pdf#page=7","Abrir facsímil")</f>
        <v>Abrir facsímil</v>
      </c>
      <c r="K3850" s="15" t="s">
        <v>23</v>
      </c>
    </row>
    <row r="3851" spans="1:11" ht="42" customHeight="1">
      <c r="A3851" s="4" t="s">
        <v>9617</v>
      </c>
      <c r="B3851" s="5" t="s">
        <v>9618</v>
      </c>
      <c r="C3851" s="5" t="s">
        <v>29</v>
      </c>
      <c r="D3851" s="5" t="s">
        <v>30</v>
      </c>
      <c r="E3851" s="5" t="s">
        <v>146</v>
      </c>
      <c r="F3851" s="9">
        <v>42</v>
      </c>
      <c r="G3851" s="9">
        <v>503</v>
      </c>
      <c r="H3851" s="5" t="s">
        <v>21</v>
      </c>
      <c r="I3851" s="5" t="s">
        <v>9619</v>
      </c>
      <c r="J3851" s="12" t="str">
        <f>HYPERLINK("https://www.boe.es/gazeta/dias/1802/05/25/pdfs/GMD-1802-42.pdf#page=7","Abrir facsímil")</f>
        <v>Abrir facsímil</v>
      </c>
      <c r="K3851" s="15" t="s">
        <v>23</v>
      </c>
    </row>
    <row r="3852" spans="1:11" ht="42" customHeight="1">
      <c r="A3852" s="4" t="s">
        <v>9620</v>
      </c>
      <c r="B3852" s="5" t="s">
        <v>9621</v>
      </c>
      <c r="C3852" s="5" t="s">
        <v>29</v>
      </c>
      <c r="D3852" s="5" t="s">
        <v>30</v>
      </c>
      <c r="E3852" s="5" t="s">
        <v>152</v>
      </c>
      <c r="F3852" s="9">
        <v>25</v>
      </c>
      <c r="G3852" s="9">
        <v>285</v>
      </c>
      <c r="H3852" s="5" t="s">
        <v>21</v>
      </c>
      <c r="I3852" s="5" t="s">
        <v>9622</v>
      </c>
      <c r="J3852" s="12" t="str">
        <f>HYPERLINK("https://www.boe.es/gazeta/dias/1802/03/26/pdfs/GMD-1802-25.pdf#page=9","Abrir facsímil")</f>
        <v>Abrir facsímil</v>
      </c>
      <c r="K3852" s="15" t="s">
        <v>23</v>
      </c>
    </row>
    <row r="3853" spans="1:11" ht="42" customHeight="1">
      <c r="A3853" s="4" t="s">
        <v>9623</v>
      </c>
      <c r="B3853" s="5" t="s">
        <v>9624</v>
      </c>
      <c r="C3853" s="5" t="s">
        <v>18</v>
      </c>
      <c r="D3853" s="5" t="s">
        <v>19</v>
      </c>
      <c r="E3853" s="5" t="s">
        <v>49</v>
      </c>
      <c r="F3853" s="9">
        <v>83</v>
      </c>
      <c r="G3853" s="9">
        <v>1025</v>
      </c>
      <c r="H3853" s="5" t="s">
        <v>21</v>
      </c>
      <c r="I3853" s="5" t="s">
        <v>9625</v>
      </c>
      <c r="J3853" s="12" t="str">
        <f>HYPERLINK("https://www.boe.es/gazeta/dias/1802/10/12/pdfs/GMD-1802-83.pdf#page=13","Abrir facsímil")</f>
        <v>Abrir facsímil</v>
      </c>
      <c r="K3853" s="15" t="s">
        <v>23</v>
      </c>
    </row>
    <row r="3854" spans="1:11" ht="42" customHeight="1">
      <c r="A3854" s="4" t="s">
        <v>9626</v>
      </c>
      <c r="B3854" s="5" t="s">
        <v>9626</v>
      </c>
      <c r="C3854" s="5" t="s">
        <v>90</v>
      </c>
      <c r="D3854" s="5" t="s">
        <v>91</v>
      </c>
      <c r="E3854" s="5" t="s">
        <v>49</v>
      </c>
      <c r="F3854" s="9">
        <v>83</v>
      </c>
      <c r="G3854" s="9">
        <v>1018</v>
      </c>
      <c r="H3854" s="5" t="s">
        <v>21</v>
      </c>
      <c r="I3854" s="5" t="s">
        <v>9627</v>
      </c>
      <c r="J3854" s="12" t="str">
        <f>HYPERLINK("https://www.boe.es/gazeta/dias/1802/10/12/pdfs/GMD-1802-83.pdf#page=6","Abrir facsímil")</f>
        <v>Abrir facsímil</v>
      </c>
      <c r="K3854" s="15" t="s">
        <v>23</v>
      </c>
    </row>
    <row r="3855" spans="1:11" ht="42" customHeight="1">
      <c r="A3855" s="4" t="s">
        <v>9628</v>
      </c>
      <c r="B3855" s="5" t="s">
        <v>9629</v>
      </c>
      <c r="C3855" s="5" t="s">
        <v>35</v>
      </c>
      <c r="D3855" s="5" t="s">
        <v>36</v>
      </c>
      <c r="E3855" s="5" t="s">
        <v>185</v>
      </c>
      <c r="F3855" s="9">
        <v>95</v>
      </c>
      <c r="G3855" s="9">
        <v>1175</v>
      </c>
      <c r="H3855" s="5" t="s">
        <v>21</v>
      </c>
      <c r="I3855" s="5" t="s">
        <v>9630</v>
      </c>
      <c r="J3855" s="12" t="str">
        <f>HYPERLINK("https://www.boe.es/gazeta/dias/1802/11/23/pdfs/GMD-1802-95.pdf#page=11","Abrir facsímil")</f>
        <v>Abrir facsímil</v>
      </c>
      <c r="K3855" s="15" t="s">
        <v>23</v>
      </c>
    </row>
    <row r="3856" spans="1:11" ht="42" customHeight="1">
      <c r="A3856" s="4" t="s">
        <v>9631</v>
      </c>
      <c r="B3856" s="5" t="s">
        <v>9632</v>
      </c>
      <c r="C3856" s="5" t="s">
        <v>18</v>
      </c>
      <c r="D3856" s="5" t="s">
        <v>19</v>
      </c>
      <c r="E3856" s="5" t="s">
        <v>20</v>
      </c>
      <c r="F3856" s="9">
        <v>84</v>
      </c>
      <c r="G3856" s="9">
        <v>1042</v>
      </c>
      <c r="H3856" s="5" t="s">
        <v>21</v>
      </c>
      <c r="I3856" s="5" t="s">
        <v>9633</v>
      </c>
      <c r="J3856" s="12" t="str">
        <f>HYPERLINK("https://www.boe.es/gazeta/dias/1802/10/15/pdfs/GMD-1802-84.pdf#page=10","Abrir facsímil")</f>
        <v>Abrir facsímil</v>
      </c>
      <c r="K3856" s="15" t="s">
        <v>23</v>
      </c>
    </row>
    <row r="3857" spans="1:11" ht="42" customHeight="1">
      <c r="A3857" s="4" t="s">
        <v>9634</v>
      </c>
      <c r="B3857" s="5" t="s">
        <v>9635</v>
      </c>
      <c r="C3857" s="5" t="s">
        <v>18</v>
      </c>
      <c r="D3857" s="5" t="s">
        <v>19</v>
      </c>
      <c r="E3857" s="5" t="s">
        <v>49</v>
      </c>
      <c r="F3857" s="9">
        <v>83</v>
      </c>
      <c r="G3857" s="9">
        <v>1022</v>
      </c>
      <c r="H3857" s="5" t="s">
        <v>21</v>
      </c>
      <c r="I3857" s="5" t="s">
        <v>9636</v>
      </c>
      <c r="J3857" s="12" t="str">
        <f>HYPERLINK("https://www.boe.es/gazeta/dias/1802/10/12/pdfs/GMD-1802-83.pdf#page=10","Abrir facsímil")</f>
        <v>Abrir facsímil</v>
      </c>
      <c r="K3857" s="15" t="s">
        <v>23</v>
      </c>
    </row>
    <row r="3858" spans="1:11" ht="42" customHeight="1">
      <c r="A3858" s="4" t="s">
        <v>9637</v>
      </c>
      <c r="B3858" s="5" t="s">
        <v>9638</v>
      </c>
      <c r="C3858" s="5" t="s">
        <v>35</v>
      </c>
      <c r="D3858" s="5" t="s">
        <v>36</v>
      </c>
      <c r="E3858" s="5" t="s">
        <v>385</v>
      </c>
      <c r="F3858" s="9">
        <v>70</v>
      </c>
      <c r="G3858" s="9">
        <v>853</v>
      </c>
      <c r="H3858" s="5" t="s">
        <v>21</v>
      </c>
      <c r="I3858" s="5" t="s">
        <v>9639</v>
      </c>
      <c r="J3858" s="12" t="str">
        <f>HYPERLINK("https://www.boe.es/gazeta/dias/1802/08/27/pdfs/GMD-1802-70.pdf#page=1","Abrir facsímil")</f>
        <v>Abrir facsímil</v>
      </c>
      <c r="K3858" s="15" t="s">
        <v>23</v>
      </c>
    </row>
    <row r="3859" spans="1:11" ht="42" customHeight="1">
      <c r="A3859" s="4" t="s">
        <v>9640</v>
      </c>
      <c r="B3859" s="5" t="s">
        <v>9641</v>
      </c>
      <c r="C3859" s="5" t="s">
        <v>55</v>
      </c>
      <c r="D3859" s="5" t="s">
        <v>56</v>
      </c>
      <c r="E3859" s="5" t="s">
        <v>75</v>
      </c>
      <c r="F3859" s="9">
        <v>103</v>
      </c>
      <c r="G3859" s="9">
        <v>1262</v>
      </c>
      <c r="H3859" s="5" t="s">
        <v>21</v>
      </c>
      <c r="I3859" s="5" t="s">
        <v>9642</v>
      </c>
      <c r="J3859" s="12" t="str">
        <f>HYPERLINK("https://www.boe.es/gazeta/dias/1802/12/21/pdfs/GMD-1802-103.pdf#page=6","Abrir facsímil")</f>
        <v>Abrir facsímil</v>
      </c>
      <c r="K3859" s="15" t="s">
        <v>23</v>
      </c>
    </row>
    <row r="3860" spans="1:11" ht="42" customHeight="1">
      <c r="A3860" s="4" t="s">
        <v>9643</v>
      </c>
      <c r="B3860" s="5" t="s">
        <v>9644</v>
      </c>
      <c r="C3860" s="5" t="s">
        <v>42</v>
      </c>
      <c r="D3860" s="5" t="s">
        <v>43</v>
      </c>
      <c r="E3860" s="5" t="s">
        <v>44</v>
      </c>
      <c r="F3860" s="9">
        <v>99</v>
      </c>
      <c r="G3860" s="9" t="s">
        <v>554</v>
      </c>
      <c r="H3860" s="5" t="s">
        <v>21</v>
      </c>
      <c r="I3860" s="5" t="s">
        <v>9645</v>
      </c>
      <c r="J3860" s="12" t="str">
        <f>HYPERLINK("https://www.boe.es/gazeta/dias/1802/12/07/pdfs/GMD-D-1802-99.pdf#page=4","Abrir facsímil")</f>
        <v>Abrir facsímil</v>
      </c>
      <c r="K3860" s="15" t="s">
        <v>23</v>
      </c>
    </row>
    <row r="3861" spans="1:11" ht="42" customHeight="1">
      <c r="A3861" s="4" t="s">
        <v>9646</v>
      </c>
      <c r="B3861" s="5" t="s">
        <v>9647</v>
      </c>
      <c r="C3861" s="5" t="s">
        <v>42</v>
      </c>
      <c r="D3861" s="5" t="s">
        <v>43</v>
      </c>
      <c r="E3861" s="5" t="s">
        <v>44</v>
      </c>
      <c r="F3861" s="9">
        <v>99</v>
      </c>
      <c r="G3861" s="9" t="s">
        <v>554</v>
      </c>
      <c r="H3861" s="5" t="s">
        <v>21</v>
      </c>
      <c r="I3861" s="5" t="s">
        <v>9648</v>
      </c>
      <c r="J3861" s="12" t="str">
        <f>HYPERLINK("https://www.boe.es/gazeta/dias/1802/12/07/pdfs/GMD-D-1802-99.pdf#page=4","Abrir facsímil")</f>
        <v>Abrir facsímil</v>
      </c>
      <c r="K3861" s="15" t="s">
        <v>23</v>
      </c>
    </row>
    <row r="3862" spans="1:11" ht="42" customHeight="1">
      <c r="A3862" s="4" t="s">
        <v>9649</v>
      </c>
      <c r="B3862" s="5" t="s">
        <v>9650</v>
      </c>
      <c r="C3862" s="5" t="s">
        <v>29</v>
      </c>
      <c r="D3862" s="5" t="s">
        <v>30</v>
      </c>
      <c r="E3862" s="5" t="s">
        <v>247</v>
      </c>
      <c r="F3862" s="9">
        <v>14</v>
      </c>
      <c r="G3862" s="9">
        <v>145</v>
      </c>
      <c r="H3862" s="5" t="s">
        <v>21</v>
      </c>
      <c r="I3862" s="5" t="s">
        <v>9651</v>
      </c>
      <c r="J3862" s="12" t="str">
        <f>HYPERLINK("https://www.boe.es/gazeta/dias/1802/02/16/pdfs/GMD-1802-14.pdf#page=9","Abrir facsímil")</f>
        <v>Abrir facsímil</v>
      </c>
      <c r="K3862" s="15" t="s">
        <v>23</v>
      </c>
    </row>
    <row r="3863" spans="1:11" ht="42" customHeight="1">
      <c r="A3863" s="4" t="s">
        <v>9652</v>
      </c>
      <c r="B3863" s="5" t="s">
        <v>9653</v>
      </c>
      <c r="C3863" s="5" t="s">
        <v>18</v>
      </c>
      <c r="D3863" s="5" t="s">
        <v>19</v>
      </c>
      <c r="E3863" s="5" t="s">
        <v>20</v>
      </c>
      <c r="F3863" s="9">
        <v>84</v>
      </c>
      <c r="G3863" s="9">
        <v>1042</v>
      </c>
      <c r="H3863" s="5" t="s">
        <v>21</v>
      </c>
      <c r="I3863" s="5" t="s">
        <v>9654</v>
      </c>
      <c r="J3863" s="12" t="str">
        <f>HYPERLINK("https://www.boe.es/gazeta/dias/1802/10/15/pdfs/GMD-1802-84.pdf#page=10","Abrir facsímil")</f>
        <v>Abrir facsímil</v>
      </c>
      <c r="K3863" s="15" t="s">
        <v>23</v>
      </c>
    </row>
    <row r="3864" spans="1:11" ht="42" customHeight="1">
      <c r="A3864" s="4" t="s">
        <v>9655</v>
      </c>
      <c r="B3864" s="5" t="s">
        <v>9655</v>
      </c>
      <c r="C3864" s="5" t="s">
        <v>35</v>
      </c>
      <c r="D3864" s="5" t="s">
        <v>36</v>
      </c>
      <c r="E3864" s="5" t="s">
        <v>31</v>
      </c>
      <c r="F3864" s="9">
        <v>27</v>
      </c>
      <c r="G3864" s="9">
        <v>310</v>
      </c>
      <c r="H3864" s="5" t="s">
        <v>21</v>
      </c>
      <c r="I3864" s="5" t="s">
        <v>9656</v>
      </c>
      <c r="J3864" s="12" t="str">
        <f>HYPERLINK("https://www.boe.es/gazeta/dias/1802/04/02/pdfs/GMD-1802-27.pdf#page=6","Abrir facsímil")</f>
        <v>Abrir facsímil</v>
      </c>
      <c r="K3864" s="15" t="s">
        <v>23</v>
      </c>
    </row>
    <row r="3865" spans="1:11" ht="42" customHeight="1">
      <c r="A3865" s="4" t="s">
        <v>9657</v>
      </c>
      <c r="B3865" s="5" t="s">
        <v>9658</v>
      </c>
      <c r="C3865" s="5" t="s">
        <v>35</v>
      </c>
      <c r="D3865" s="5" t="s">
        <v>36</v>
      </c>
      <c r="E3865" s="5" t="s">
        <v>133</v>
      </c>
      <c r="F3865" s="9">
        <v>33</v>
      </c>
      <c r="G3865" s="9">
        <v>382</v>
      </c>
      <c r="H3865" s="5" t="s">
        <v>21</v>
      </c>
      <c r="I3865" s="5" t="s">
        <v>9659</v>
      </c>
      <c r="J3865" s="12" t="str">
        <f>HYPERLINK("https://www.boe.es/gazeta/dias/1802/04/23/pdfs/GMD-1802-33.pdf#page=2","Abrir facsímil")</f>
        <v>Abrir facsímil</v>
      </c>
      <c r="K3865" s="15" t="s">
        <v>23</v>
      </c>
    </row>
    <row r="3866" spans="1:11" ht="42" customHeight="1">
      <c r="A3866" s="4" t="s">
        <v>9660</v>
      </c>
      <c r="B3866" s="5" t="s">
        <v>9661</v>
      </c>
      <c r="C3866" s="5" t="s">
        <v>18</v>
      </c>
      <c r="D3866" s="5" t="s">
        <v>19</v>
      </c>
      <c r="E3866" s="5" t="s">
        <v>453</v>
      </c>
      <c r="F3866" s="9">
        <v>52</v>
      </c>
      <c r="G3866" s="9">
        <v>632</v>
      </c>
      <c r="H3866" s="5" t="s">
        <v>21</v>
      </c>
      <c r="I3866" s="5" t="s">
        <v>9662</v>
      </c>
      <c r="J3866" s="12" t="str">
        <f>HYPERLINK("https://www.boe.es/gazeta/dias/1802/06/29/pdfs/GMD-1802-52.pdf#page=8","Abrir facsímil")</f>
        <v>Abrir facsímil</v>
      </c>
      <c r="K3866" s="15" t="s">
        <v>9663</v>
      </c>
    </row>
    <row r="3867" spans="1:11" ht="42" customHeight="1">
      <c r="A3867" s="4" t="s">
        <v>9664</v>
      </c>
      <c r="B3867" s="5" t="s">
        <v>9664</v>
      </c>
      <c r="C3867" s="5" t="s">
        <v>35</v>
      </c>
      <c r="D3867" s="5" t="s">
        <v>36</v>
      </c>
      <c r="E3867" s="5" t="s">
        <v>247</v>
      </c>
      <c r="F3867" s="9">
        <v>14</v>
      </c>
      <c r="G3867" s="9">
        <v>142</v>
      </c>
      <c r="H3867" s="5" t="s">
        <v>21</v>
      </c>
      <c r="I3867" s="5" t="s">
        <v>9665</v>
      </c>
      <c r="J3867" s="12" t="str">
        <f>HYPERLINK("https://www.boe.es/gazeta/dias/1802/02/16/pdfs/GMD-1802-14.pdf#page=6","Abrir facsímil")</f>
        <v>Abrir facsímil</v>
      </c>
      <c r="K3867" s="15" t="s">
        <v>23</v>
      </c>
    </row>
    <row r="3868" spans="1:11" ht="42" customHeight="1">
      <c r="A3868" s="4" t="s">
        <v>9666</v>
      </c>
      <c r="B3868" s="5" t="s">
        <v>9666</v>
      </c>
      <c r="C3868" s="5" t="s">
        <v>42</v>
      </c>
      <c r="D3868" s="5" t="s">
        <v>43</v>
      </c>
      <c r="E3868" s="5" t="s">
        <v>44</v>
      </c>
      <c r="F3868" s="9">
        <v>99</v>
      </c>
      <c r="G3868" s="9" t="s">
        <v>322</v>
      </c>
      <c r="H3868" s="5" t="s">
        <v>21</v>
      </c>
      <c r="I3868" s="5" t="s">
        <v>9667</v>
      </c>
      <c r="J3868" s="12" t="str">
        <f>HYPERLINK("https://www.boe.es/gazeta/dias/1802/12/07/pdfs/GMD-D-1802-99.pdf#page=10","Abrir facsímil")</f>
        <v>Abrir facsímil</v>
      </c>
      <c r="K3868" s="15" t="s">
        <v>23</v>
      </c>
    </row>
    <row r="3869" spans="1:11" ht="42" customHeight="1">
      <c r="A3869" s="4" t="s">
        <v>9668</v>
      </c>
      <c r="B3869" s="5" t="s">
        <v>9668</v>
      </c>
      <c r="C3869" s="5" t="s">
        <v>160</v>
      </c>
      <c r="D3869" s="5" t="s">
        <v>91</v>
      </c>
      <c r="E3869" s="5" t="s">
        <v>20</v>
      </c>
      <c r="F3869" s="9">
        <v>84</v>
      </c>
      <c r="G3869" s="9">
        <v>1043</v>
      </c>
      <c r="H3869" s="5" t="s">
        <v>21</v>
      </c>
      <c r="I3869" s="5" t="s">
        <v>9669</v>
      </c>
      <c r="J3869" s="12" t="str">
        <f>HYPERLINK("https://www.boe.es/gazeta/dias/1802/10/15/pdfs/GMD-1802-84.pdf#page=11","Abrir facsímil")</f>
        <v>Abrir facsímil</v>
      </c>
      <c r="K3869" s="15" t="s">
        <v>23</v>
      </c>
    </row>
    <row r="3870" spans="1:11" ht="42" customHeight="1">
      <c r="A3870" s="4" t="s">
        <v>9670</v>
      </c>
      <c r="B3870" s="5" t="s">
        <v>9670</v>
      </c>
      <c r="C3870" s="5" t="s">
        <v>18</v>
      </c>
      <c r="D3870" s="5" t="s">
        <v>19</v>
      </c>
      <c r="E3870" s="5" t="s">
        <v>764</v>
      </c>
      <c r="F3870" s="9">
        <v>69</v>
      </c>
      <c r="G3870" s="9">
        <v>849</v>
      </c>
      <c r="H3870" s="5" t="s">
        <v>21</v>
      </c>
      <c r="I3870" s="5" t="s">
        <v>9671</v>
      </c>
      <c r="J3870" s="12" t="str">
        <f>HYPERLINK("https://www.boe.es/gazeta/dias/1802/08/24/pdfs/GMD-1802-69.pdf#page=9","Abrir facsímil")</f>
        <v>Abrir facsímil</v>
      </c>
      <c r="K3870" s="15" t="s">
        <v>23</v>
      </c>
    </row>
    <row r="3871" spans="1:11" ht="42" customHeight="1">
      <c r="A3871" s="4" t="s">
        <v>9672</v>
      </c>
      <c r="B3871" s="5" t="s">
        <v>9672</v>
      </c>
      <c r="C3871" s="5" t="s">
        <v>29</v>
      </c>
      <c r="D3871" s="5" t="s">
        <v>30</v>
      </c>
      <c r="E3871" s="5" t="s">
        <v>109</v>
      </c>
      <c r="F3871" s="9">
        <v>10</v>
      </c>
      <c r="G3871" s="9">
        <v>98</v>
      </c>
      <c r="H3871" s="5" t="s">
        <v>21</v>
      </c>
      <c r="I3871" s="5" t="s">
        <v>9673</v>
      </c>
      <c r="J3871" s="12" t="str">
        <f>HYPERLINK("https://www.boe.es/gazeta/dias/1802/02/02/pdfs/GMD-1802-10.pdf#page=6","Abrir facsímil")</f>
        <v>Abrir facsímil</v>
      </c>
      <c r="K3871" s="15" t="s">
        <v>23</v>
      </c>
    </row>
    <row r="3872" spans="1:11" ht="42" customHeight="1">
      <c r="A3872" s="4" t="s">
        <v>9674</v>
      </c>
      <c r="B3872" s="5" t="s">
        <v>9674</v>
      </c>
      <c r="C3872" s="5" t="s">
        <v>42</v>
      </c>
      <c r="D3872" s="5" t="s">
        <v>43</v>
      </c>
      <c r="E3872" s="5" t="s">
        <v>44</v>
      </c>
      <c r="F3872" s="9">
        <v>99</v>
      </c>
      <c r="G3872" s="9" t="s">
        <v>544</v>
      </c>
      <c r="H3872" s="5" t="s">
        <v>21</v>
      </c>
      <c r="I3872" s="5" t="s">
        <v>9675</v>
      </c>
      <c r="J3872" s="12" t="str">
        <f>HYPERLINK("https://www.boe.es/gazeta/dias/1802/12/07/pdfs/GMD-D-1802-99.pdf#page=11","Abrir facsímil")</f>
        <v>Abrir facsímil</v>
      </c>
      <c r="K3872" s="15" t="s">
        <v>23</v>
      </c>
    </row>
    <row r="3873" spans="1:11" ht="42" customHeight="1">
      <c r="A3873" s="4" t="s">
        <v>9676</v>
      </c>
      <c r="B3873" s="5" t="s">
        <v>9676</v>
      </c>
      <c r="C3873" s="5" t="s">
        <v>35</v>
      </c>
      <c r="D3873" s="5" t="s">
        <v>36</v>
      </c>
      <c r="E3873" s="5" t="s">
        <v>299</v>
      </c>
      <c r="F3873" s="9">
        <v>19</v>
      </c>
      <c r="G3873" s="9">
        <v>205</v>
      </c>
      <c r="H3873" s="5" t="s">
        <v>21</v>
      </c>
      <c r="I3873" s="5" t="s">
        <v>9677</v>
      </c>
      <c r="J3873" s="12" t="str">
        <f>HYPERLINK("https://www.boe.es/gazeta/dias/1802/03/05/pdfs/GMD-1802-19.pdf#page=5","Abrir facsímil")</f>
        <v>Abrir facsímil</v>
      </c>
      <c r="K3873" s="15" t="s">
        <v>23</v>
      </c>
    </row>
    <row r="3874" spans="1:11" ht="42" customHeight="1">
      <c r="A3874" s="4" t="s">
        <v>9678</v>
      </c>
      <c r="B3874" s="5" t="s">
        <v>9678</v>
      </c>
      <c r="C3874" s="5" t="s">
        <v>18</v>
      </c>
      <c r="D3874" s="5" t="s">
        <v>19</v>
      </c>
      <c r="E3874" s="5" t="s">
        <v>152</v>
      </c>
      <c r="F3874" s="9">
        <v>25</v>
      </c>
      <c r="G3874" s="9">
        <v>277</v>
      </c>
      <c r="H3874" s="5" t="s">
        <v>21</v>
      </c>
      <c r="I3874" s="5" t="s">
        <v>9679</v>
      </c>
      <c r="J3874" s="12" t="str">
        <f>HYPERLINK("https://www.boe.es/gazeta/dias/1802/03/26/pdfs/GMD-1802-25.pdf#page=1","Abrir facsímil")</f>
        <v>Abrir facsímil</v>
      </c>
      <c r="K3874" s="15" t="s">
        <v>23</v>
      </c>
    </row>
    <row r="3875" spans="1:11" ht="42" customHeight="1">
      <c r="A3875" s="4" t="s">
        <v>9680</v>
      </c>
      <c r="B3875" s="5" t="s">
        <v>9681</v>
      </c>
      <c r="C3875" s="5" t="s">
        <v>35</v>
      </c>
      <c r="D3875" s="5" t="s">
        <v>36</v>
      </c>
      <c r="E3875" s="5" t="s">
        <v>292</v>
      </c>
      <c r="F3875" s="9">
        <v>62</v>
      </c>
      <c r="G3875" s="9">
        <v>752</v>
      </c>
      <c r="H3875" s="5" t="s">
        <v>21</v>
      </c>
      <c r="I3875" s="5" t="s">
        <v>9682</v>
      </c>
      <c r="J3875" s="12" t="str">
        <f>HYPERLINK("https://www.boe.es/gazeta/dias/1802/07/30/pdfs/GMD-1802-62.pdf#page=8","Abrir facsímil")</f>
        <v>Abrir facsímil</v>
      </c>
      <c r="K3875" s="15" t="s">
        <v>23</v>
      </c>
    </row>
    <row r="3876" spans="1:11" ht="42" customHeight="1">
      <c r="A3876" s="4" t="s">
        <v>9683</v>
      </c>
      <c r="B3876" s="5" t="s">
        <v>9684</v>
      </c>
      <c r="C3876" s="5" t="s">
        <v>55</v>
      </c>
      <c r="D3876" s="5" t="s">
        <v>56</v>
      </c>
      <c r="E3876" s="5" t="s">
        <v>332</v>
      </c>
      <c r="F3876" s="9">
        <v>24</v>
      </c>
      <c r="G3876" s="9">
        <v>268</v>
      </c>
      <c r="H3876" s="5" t="s">
        <v>21</v>
      </c>
      <c r="I3876" s="5" t="s">
        <v>9685</v>
      </c>
      <c r="J3876" s="12" t="str">
        <f>HYPERLINK("https://www.boe.es/gazeta/dias/1802/03/23/pdfs/GMD-1802-24.pdf#page=4","Abrir facsímil")</f>
        <v>Abrir facsímil</v>
      </c>
      <c r="K3876" s="15" t="s">
        <v>23</v>
      </c>
    </row>
    <row r="3877" spans="1:11" ht="42" customHeight="1">
      <c r="A3877" s="4" t="s">
        <v>9686</v>
      </c>
      <c r="B3877" s="5" t="s">
        <v>9687</v>
      </c>
      <c r="C3877" s="5" t="s">
        <v>18</v>
      </c>
      <c r="D3877" s="5" t="s">
        <v>19</v>
      </c>
      <c r="E3877" s="5" t="s">
        <v>49</v>
      </c>
      <c r="F3877" s="9">
        <v>83</v>
      </c>
      <c r="G3877" s="9">
        <v>1024</v>
      </c>
      <c r="H3877" s="5" t="s">
        <v>21</v>
      </c>
      <c r="I3877" s="5" t="s">
        <v>9688</v>
      </c>
      <c r="J3877" s="12" t="str">
        <f>HYPERLINK("https://www.boe.es/gazeta/dias/1802/10/12/pdfs/GMD-1802-83.pdf#page=12","Abrir facsímil")</f>
        <v>Abrir facsímil</v>
      </c>
      <c r="K3877" s="15" t="s">
        <v>23</v>
      </c>
    </row>
    <row r="3878" spans="1:11" ht="42" customHeight="1">
      <c r="A3878" s="4" t="s">
        <v>9689</v>
      </c>
      <c r="B3878" s="5" t="s">
        <v>9690</v>
      </c>
      <c r="C3878" s="5" t="s">
        <v>18</v>
      </c>
      <c r="D3878" s="5" t="s">
        <v>19</v>
      </c>
      <c r="E3878" s="5" t="s">
        <v>49</v>
      </c>
      <c r="F3878" s="9">
        <v>83</v>
      </c>
      <c r="G3878" s="9">
        <v>1026</v>
      </c>
      <c r="H3878" s="5" t="s">
        <v>21</v>
      </c>
      <c r="I3878" s="5" t="s">
        <v>9691</v>
      </c>
      <c r="J3878" s="12" t="str">
        <f>HYPERLINK("https://www.boe.es/gazeta/dias/1802/10/12/pdfs/GMD-1802-83.pdf#page=14","Abrir facsímil")</f>
        <v>Abrir facsímil</v>
      </c>
      <c r="K3878" s="15" t="s">
        <v>23</v>
      </c>
    </row>
    <row r="3879" spans="1:11" ht="42" customHeight="1">
      <c r="A3879" s="4" t="s">
        <v>9692</v>
      </c>
      <c r="B3879" s="5" t="s">
        <v>9693</v>
      </c>
      <c r="C3879" s="5" t="s">
        <v>18</v>
      </c>
      <c r="D3879" s="5" t="s">
        <v>19</v>
      </c>
      <c r="E3879" s="5" t="s">
        <v>152</v>
      </c>
      <c r="F3879" s="9">
        <v>25</v>
      </c>
      <c r="G3879" s="9">
        <v>285</v>
      </c>
      <c r="H3879" s="5" t="s">
        <v>21</v>
      </c>
      <c r="I3879" s="5" t="s">
        <v>9694</v>
      </c>
      <c r="J3879" s="12" t="str">
        <f>HYPERLINK("https://www.boe.es/gazeta/dias/1802/03/26/pdfs/GMD-1802-25.pdf#page=9","Abrir facsímil")</f>
        <v>Abrir facsímil</v>
      </c>
      <c r="K3879" s="15" t="s">
        <v>23</v>
      </c>
    </row>
    <row r="3880" spans="1:11" ht="42" customHeight="1">
      <c r="A3880" s="4" t="s">
        <v>9695</v>
      </c>
      <c r="B3880" s="5" t="s">
        <v>9695</v>
      </c>
      <c r="C3880" s="5" t="s">
        <v>29</v>
      </c>
      <c r="D3880" s="5" t="s">
        <v>30</v>
      </c>
      <c r="E3880" s="5" t="s">
        <v>86</v>
      </c>
      <c r="F3880" s="9">
        <v>26</v>
      </c>
      <c r="G3880" s="9">
        <v>296</v>
      </c>
      <c r="H3880" s="5" t="s">
        <v>21</v>
      </c>
      <c r="I3880" s="5" t="s">
        <v>9696</v>
      </c>
      <c r="J3880" s="12" t="str">
        <f>HYPERLINK("https://www.boe.es/gazeta/dias/1802/03/30/pdfs/GMD-1802-26.pdf#page=8","Abrir facsímil")</f>
        <v>Abrir facsímil</v>
      </c>
      <c r="K3880" s="15" t="s">
        <v>23</v>
      </c>
    </row>
    <row r="3881" spans="1:11" ht="42" customHeight="1">
      <c r="A3881" s="4" t="s">
        <v>9697</v>
      </c>
      <c r="B3881" s="5" t="s">
        <v>9697</v>
      </c>
      <c r="C3881" s="5" t="s">
        <v>572</v>
      </c>
      <c r="D3881" s="5" t="s">
        <v>573</v>
      </c>
      <c r="E3881" s="5" t="s">
        <v>574</v>
      </c>
      <c r="F3881" s="9" t="s">
        <v>575</v>
      </c>
      <c r="G3881" s="9">
        <v>705</v>
      </c>
      <c r="H3881" s="5" t="s">
        <v>21</v>
      </c>
      <c r="I3881" s="5" t="s">
        <v>9698</v>
      </c>
      <c r="J3881" s="12" t="str">
        <f>HYPERLINK("https://www.boe.es/gazeta/dias/1802/07/21/pdfs/GMD-1802-59E.pdf#page=1","Abrir facsímil")</f>
        <v>Abrir facsímil</v>
      </c>
      <c r="K3881" s="15" t="s">
        <v>23</v>
      </c>
    </row>
    <row r="3882" spans="1:11" ht="42" customHeight="1">
      <c r="A3882" s="4" t="s">
        <v>9699</v>
      </c>
      <c r="B3882" s="5" t="s">
        <v>9700</v>
      </c>
      <c r="C3882" s="5" t="s">
        <v>160</v>
      </c>
      <c r="D3882" s="5" t="s">
        <v>91</v>
      </c>
      <c r="E3882" s="5" t="s">
        <v>710</v>
      </c>
      <c r="F3882" s="9">
        <v>85</v>
      </c>
      <c r="G3882" s="9">
        <v>1058</v>
      </c>
      <c r="H3882" s="5" t="s">
        <v>21</v>
      </c>
      <c r="I3882" s="5" t="s">
        <v>9701</v>
      </c>
      <c r="J3882" s="12" t="str">
        <f>HYPERLINK("https://www.boe.es/gazeta/dias/1802/10/19/pdfs/GMD-1802-85.pdf#page=10","Abrir facsímil")</f>
        <v>Abrir facsímil</v>
      </c>
      <c r="K3882" s="15" t="s">
        <v>23</v>
      </c>
    </row>
    <row r="3883" spans="1:11" ht="42" customHeight="1">
      <c r="A3883" s="4" t="s">
        <v>9702</v>
      </c>
      <c r="B3883" s="5" t="s">
        <v>9702</v>
      </c>
      <c r="C3883" s="5" t="s">
        <v>18</v>
      </c>
      <c r="D3883" s="5" t="s">
        <v>19</v>
      </c>
      <c r="E3883" s="5" t="s">
        <v>152</v>
      </c>
      <c r="F3883" s="9">
        <v>25</v>
      </c>
      <c r="G3883" s="9">
        <v>284</v>
      </c>
      <c r="H3883" s="5" t="s">
        <v>21</v>
      </c>
      <c r="I3883" s="5" t="s">
        <v>9703</v>
      </c>
      <c r="J3883" s="12" t="str">
        <f>HYPERLINK("https://www.boe.es/gazeta/dias/1802/03/26/pdfs/GMD-1802-25.pdf#page=8","Abrir facsímil")</f>
        <v>Abrir facsímil</v>
      </c>
      <c r="K3883" s="15" t="s">
        <v>23</v>
      </c>
    </row>
    <row r="3884" spans="1:11" ht="42" customHeight="1">
      <c r="A3884" s="4" t="s">
        <v>9704</v>
      </c>
      <c r="B3884" s="5" t="s">
        <v>9704</v>
      </c>
      <c r="C3884" s="5" t="s">
        <v>18</v>
      </c>
      <c r="D3884" s="5" t="s">
        <v>19</v>
      </c>
      <c r="E3884" s="5" t="s">
        <v>152</v>
      </c>
      <c r="F3884" s="9">
        <v>25</v>
      </c>
      <c r="G3884" s="9">
        <v>285</v>
      </c>
      <c r="H3884" s="5" t="s">
        <v>21</v>
      </c>
      <c r="I3884" s="5" t="s">
        <v>9705</v>
      </c>
      <c r="J3884" s="12" t="str">
        <f>HYPERLINK("https://www.boe.es/gazeta/dias/1802/03/26/pdfs/GMD-1802-25.pdf#page=9","Abrir facsímil")</f>
        <v>Abrir facsímil</v>
      </c>
      <c r="K3884" s="15" t="s">
        <v>23</v>
      </c>
    </row>
    <row r="3885" spans="1:11" ht="42" customHeight="1">
      <c r="A3885" s="4" t="s">
        <v>9706</v>
      </c>
      <c r="B3885" s="5" t="s">
        <v>9706</v>
      </c>
      <c r="C3885" s="5" t="s">
        <v>29</v>
      </c>
      <c r="D3885" s="5" t="s">
        <v>30</v>
      </c>
      <c r="E3885" s="5" t="s">
        <v>152</v>
      </c>
      <c r="F3885" s="9">
        <v>25</v>
      </c>
      <c r="G3885" s="9">
        <v>284</v>
      </c>
      <c r="H3885" s="5" t="s">
        <v>21</v>
      </c>
      <c r="I3885" s="5" t="s">
        <v>9707</v>
      </c>
      <c r="J3885" s="12" t="str">
        <f>HYPERLINK("https://www.boe.es/gazeta/dias/1802/03/26/pdfs/GMD-1802-25.pdf#page=8","Abrir facsímil")</f>
        <v>Abrir facsímil</v>
      </c>
      <c r="K3885" s="15" t="s">
        <v>23</v>
      </c>
    </row>
    <row r="3886" spans="1:11" ht="42" customHeight="1">
      <c r="A3886" s="4" t="s">
        <v>9706</v>
      </c>
      <c r="B3886" s="5" t="s">
        <v>9706</v>
      </c>
      <c r="C3886" s="5" t="s">
        <v>35</v>
      </c>
      <c r="D3886" s="5" t="s">
        <v>36</v>
      </c>
      <c r="E3886" s="5" t="s">
        <v>148</v>
      </c>
      <c r="F3886" s="9">
        <v>66</v>
      </c>
      <c r="G3886" s="9">
        <v>808</v>
      </c>
      <c r="H3886" s="5" t="s">
        <v>21</v>
      </c>
      <c r="I3886" s="5" t="s">
        <v>9708</v>
      </c>
      <c r="J3886" s="12" t="str">
        <f>HYPERLINK("https://www.boe.es/gazeta/dias/1802/08/13/pdfs/GMD-1802-66.pdf#page=12","Abrir facsímil")</f>
        <v>Abrir facsímil</v>
      </c>
      <c r="K3886" s="15" t="s">
        <v>23</v>
      </c>
    </row>
    <row r="3887" spans="1:11" ht="42" customHeight="1">
      <c r="A3887" s="4" t="s">
        <v>9709</v>
      </c>
      <c r="B3887" s="5" t="s">
        <v>9710</v>
      </c>
      <c r="C3887" s="5" t="s">
        <v>160</v>
      </c>
      <c r="D3887" s="5" t="s">
        <v>91</v>
      </c>
      <c r="E3887" s="5" t="s">
        <v>92</v>
      </c>
      <c r="F3887" s="9">
        <v>29</v>
      </c>
      <c r="G3887" s="9">
        <v>344</v>
      </c>
      <c r="H3887" s="5" t="s">
        <v>21</v>
      </c>
      <c r="I3887" s="5" t="s">
        <v>9711</v>
      </c>
      <c r="J3887" s="12" t="str">
        <f>HYPERLINK("https://www.boe.es/gazeta/dias/1802/04/09/pdfs/GMD-1802-29.pdf#page=12","Abrir facsímil")</f>
        <v>Abrir facsímil</v>
      </c>
      <c r="K3887" s="15" t="s">
        <v>23</v>
      </c>
    </row>
    <row r="3888" spans="1:11" ht="42" customHeight="1">
      <c r="A3888" s="4" t="s">
        <v>9712</v>
      </c>
      <c r="B3888" s="5" t="s">
        <v>9712</v>
      </c>
      <c r="C3888" s="5" t="s">
        <v>18</v>
      </c>
      <c r="D3888" s="5" t="s">
        <v>19</v>
      </c>
      <c r="E3888" s="5" t="s">
        <v>1618</v>
      </c>
      <c r="F3888" s="9">
        <v>31</v>
      </c>
      <c r="G3888" s="9">
        <v>366</v>
      </c>
      <c r="H3888" s="5" t="s">
        <v>21</v>
      </c>
      <c r="I3888" s="5" t="s">
        <v>9713</v>
      </c>
      <c r="J3888" s="12" t="str">
        <f>HYPERLINK("https://www.boe.es/gazeta/dias/1802/04/16/pdfs/GMD-1802-31.pdf#page=10","Abrir facsímil")</f>
        <v>Abrir facsímil</v>
      </c>
      <c r="K3888" s="15" t="s">
        <v>23</v>
      </c>
    </row>
    <row r="3889" spans="1:11" ht="42" customHeight="1">
      <c r="A3889" s="4" t="s">
        <v>9714</v>
      </c>
      <c r="B3889" s="5" t="s">
        <v>9715</v>
      </c>
      <c r="C3889" s="5" t="s">
        <v>29</v>
      </c>
      <c r="D3889" s="5" t="s">
        <v>30</v>
      </c>
      <c r="E3889" s="5" t="s">
        <v>339</v>
      </c>
      <c r="F3889" s="9">
        <v>39</v>
      </c>
      <c r="G3889" s="9">
        <v>468</v>
      </c>
      <c r="H3889" s="5" t="s">
        <v>21</v>
      </c>
      <c r="I3889" s="5" t="s">
        <v>9716</v>
      </c>
      <c r="J3889" s="12" t="str">
        <f>HYPERLINK("https://www.boe.es/gazeta/dias/1802/05/14/pdfs/GMD-1802-39.pdf#page=12","Abrir facsímil")</f>
        <v>Abrir facsímil</v>
      </c>
      <c r="K3889" s="15" t="s">
        <v>23</v>
      </c>
    </row>
    <row r="3890" spans="1:11" ht="42" customHeight="1">
      <c r="A3890" s="4" t="s">
        <v>9717</v>
      </c>
      <c r="B3890" s="5" t="s">
        <v>9718</v>
      </c>
      <c r="C3890" s="5" t="s">
        <v>29</v>
      </c>
      <c r="D3890" s="5" t="s">
        <v>30</v>
      </c>
      <c r="E3890" s="5" t="s">
        <v>635</v>
      </c>
      <c r="F3890" s="9">
        <v>47</v>
      </c>
      <c r="G3890" s="9">
        <v>573</v>
      </c>
      <c r="H3890" s="5" t="s">
        <v>21</v>
      </c>
      <c r="I3890" s="5" t="s">
        <v>9719</v>
      </c>
      <c r="J3890" s="12" t="str">
        <f>HYPERLINK("https://www.boe.es/gazeta/dias/1802/06/11/pdfs/GMD-1802-47.pdf#page=9","Abrir facsímil")</f>
        <v>Abrir facsímil</v>
      </c>
      <c r="K3890" s="15" t="s">
        <v>23</v>
      </c>
    </row>
    <row r="3891" spans="1:11" ht="42" customHeight="1">
      <c r="A3891" s="4" t="s">
        <v>9720</v>
      </c>
      <c r="B3891" s="5" t="s">
        <v>9721</v>
      </c>
      <c r="C3891" s="5" t="s">
        <v>55</v>
      </c>
      <c r="D3891" s="5" t="s">
        <v>56</v>
      </c>
      <c r="E3891" s="5" t="s">
        <v>631</v>
      </c>
      <c r="F3891" s="9">
        <v>36</v>
      </c>
      <c r="G3891" s="9">
        <v>422</v>
      </c>
      <c r="H3891" s="5" t="s">
        <v>21</v>
      </c>
      <c r="I3891" s="5" t="s">
        <v>9722</v>
      </c>
      <c r="J3891" s="12" t="str">
        <f>HYPERLINK("https://www.boe.es/gazeta/dias/1802/05/04/pdfs/GMD-1802-36.pdf#page=2","Abrir facsímil")</f>
        <v>Abrir facsímil</v>
      </c>
      <c r="K3891" s="15" t="s">
        <v>23</v>
      </c>
    </row>
    <row r="3892" spans="1:11" ht="42" customHeight="1">
      <c r="A3892" s="4" t="s">
        <v>9723</v>
      </c>
      <c r="B3892" s="5" t="s">
        <v>9723</v>
      </c>
      <c r="C3892" s="5" t="s">
        <v>18</v>
      </c>
      <c r="D3892" s="5" t="s">
        <v>19</v>
      </c>
      <c r="E3892" s="5" t="s">
        <v>339</v>
      </c>
      <c r="F3892" s="9">
        <v>39</v>
      </c>
      <c r="G3892" s="9">
        <v>470</v>
      </c>
      <c r="H3892" s="5" t="s">
        <v>21</v>
      </c>
      <c r="I3892" s="5" t="s">
        <v>9724</v>
      </c>
      <c r="J3892" s="12" t="str">
        <f>HYPERLINK("https://www.boe.es/gazeta/dias/1802/05/14/pdfs/GMD-1802-39.pdf#page=14","Abrir facsímil")</f>
        <v>Abrir facsímil</v>
      </c>
      <c r="K3892" s="15" t="s">
        <v>23</v>
      </c>
    </row>
    <row r="3893" spans="1:11" ht="42" customHeight="1">
      <c r="A3893" s="4" t="s">
        <v>9725</v>
      </c>
      <c r="B3893" s="5" t="s">
        <v>9726</v>
      </c>
      <c r="C3893" s="5" t="s">
        <v>29</v>
      </c>
      <c r="D3893" s="5" t="s">
        <v>30</v>
      </c>
      <c r="E3893" s="5" t="s">
        <v>751</v>
      </c>
      <c r="F3893" s="9">
        <v>98</v>
      </c>
      <c r="G3893" s="9">
        <v>1205</v>
      </c>
      <c r="H3893" s="5" t="s">
        <v>21</v>
      </c>
      <c r="I3893" s="5" t="s">
        <v>9727</v>
      </c>
      <c r="J3893" s="12" t="str">
        <f>HYPERLINK("https://www.boe.es/gazeta/dias/1802/12/03/pdfs/GMD-1802-98.pdf#page=1","Abrir facsímil")</f>
        <v>Abrir facsímil</v>
      </c>
      <c r="K3893" s="15" t="s">
        <v>23</v>
      </c>
    </row>
    <row r="3894" spans="1:11" ht="42" customHeight="1">
      <c r="A3894" s="4" t="s">
        <v>9728</v>
      </c>
      <c r="B3894" s="5" t="s">
        <v>9729</v>
      </c>
      <c r="C3894" s="5" t="s">
        <v>35</v>
      </c>
      <c r="D3894" s="5" t="s">
        <v>36</v>
      </c>
      <c r="E3894" s="5" t="s">
        <v>389</v>
      </c>
      <c r="F3894" s="9">
        <v>96</v>
      </c>
      <c r="G3894" s="9">
        <v>1181</v>
      </c>
      <c r="H3894" s="5" t="s">
        <v>21</v>
      </c>
      <c r="I3894" s="5" t="s">
        <v>9730</v>
      </c>
      <c r="J3894" s="12" t="str">
        <f>HYPERLINK("https://www.boe.es/gazeta/dias/1802/11/26/pdfs/GMD-1802-96.pdf#page=1","Abrir facsímil")</f>
        <v>Abrir facsímil</v>
      </c>
      <c r="K3894" s="15" t="s">
        <v>23</v>
      </c>
    </row>
    <row r="3895" spans="1:11" ht="42" customHeight="1">
      <c r="A3895" s="4" t="s">
        <v>9728</v>
      </c>
      <c r="B3895" s="5" t="s">
        <v>9729</v>
      </c>
      <c r="C3895" s="5" t="s">
        <v>18</v>
      </c>
      <c r="D3895" s="5" t="s">
        <v>19</v>
      </c>
      <c r="E3895" s="5" t="s">
        <v>44</v>
      </c>
      <c r="F3895" s="9">
        <v>99</v>
      </c>
      <c r="G3895" s="9">
        <v>1218</v>
      </c>
      <c r="H3895" s="5" t="s">
        <v>21</v>
      </c>
      <c r="I3895" s="5" t="s">
        <v>9731</v>
      </c>
      <c r="J3895" s="12" t="str">
        <f>HYPERLINK("https://www.boe.es/gazeta/dias/1802/12/07/pdfs/GMD-1802-99.pdf#page=2","Abrir facsímil")</f>
        <v>Abrir facsímil</v>
      </c>
      <c r="K3895" s="15" t="s">
        <v>23</v>
      </c>
    </row>
    <row r="3896" spans="1:11" ht="42" customHeight="1">
      <c r="A3896" s="4" t="s">
        <v>9732</v>
      </c>
      <c r="B3896" s="5" t="s">
        <v>9733</v>
      </c>
      <c r="C3896" s="5" t="s">
        <v>18</v>
      </c>
      <c r="D3896" s="5" t="s">
        <v>19</v>
      </c>
      <c r="E3896" s="5" t="s">
        <v>764</v>
      </c>
      <c r="F3896" s="9">
        <v>69</v>
      </c>
      <c r="G3896" s="9">
        <v>849</v>
      </c>
      <c r="H3896" s="5" t="s">
        <v>21</v>
      </c>
      <c r="I3896" s="5" t="s">
        <v>9734</v>
      </c>
      <c r="J3896" s="12" t="str">
        <f>HYPERLINK("https://www.boe.es/gazeta/dias/1802/08/24/pdfs/GMD-1802-69.pdf#page=9","Abrir facsímil")</f>
        <v>Abrir facsímil</v>
      </c>
      <c r="K3896" s="15" t="s">
        <v>23</v>
      </c>
    </row>
    <row r="3897" spans="1:11" ht="42" customHeight="1">
      <c r="A3897" s="4" t="s">
        <v>9735</v>
      </c>
      <c r="B3897" s="5" t="s">
        <v>9736</v>
      </c>
      <c r="C3897" s="5" t="s">
        <v>18</v>
      </c>
      <c r="D3897" s="5" t="s">
        <v>19</v>
      </c>
      <c r="E3897" s="5" t="s">
        <v>20</v>
      </c>
      <c r="F3897" s="9">
        <v>84</v>
      </c>
      <c r="G3897" s="9">
        <v>1041</v>
      </c>
      <c r="H3897" s="5" t="s">
        <v>21</v>
      </c>
      <c r="I3897" s="5" t="s">
        <v>9737</v>
      </c>
      <c r="J3897" s="12" t="str">
        <f>HYPERLINK("https://www.boe.es/gazeta/dias/1802/10/15/pdfs/GMD-1802-84.pdf#page=9","Abrir facsímil")</f>
        <v>Abrir facsímil</v>
      </c>
      <c r="K3897" s="15" t="s">
        <v>23</v>
      </c>
    </row>
    <row r="3898" spans="1:11" ht="42" customHeight="1">
      <c r="A3898" s="4" t="s">
        <v>9738</v>
      </c>
      <c r="B3898" s="5" t="s">
        <v>9739</v>
      </c>
      <c r="C3898" s="5" t="s">
        <v>18</v>
      </c>
      <c r="D3898" s="5" t="s">
        <v>19</v>
      </c>
      <c r="E3898" s="5" t="s">
        <v>20</v>
      </c>
      <c r="F3898" s="9">
        <v>84</v>
      </c>
      <c r="G3898" s="9">
        <v>1040</v>
      </c>
      <c r="H3898" s="5" t="s">
        <v>21</v>
      </c>
      <c r="I3898" s="5" t="s">
        <v>9740</v>
      </c>
      <c r="J3898" s="12" t="str">
        <f>HYPERLINK("https://www.boe.es/gazeta/dias/1802/10/15/pdfs/GMD-1802-84.pdf#page=8","Abrir facsímil")</f>
        <v>Abrir facsímil</v>
      </c>
      <c r="K3898" s="15" t="s">
        <v>23</v>
      </c>
    </row>
    <row r="3899" spans="1:11" ht="42" customHeight="1">
      <c r="A3899" s="4" t="s">
        <v>9741</v>
      </c>
      <c r="B3899" s="5" t="s">
        <v>9741</v>
      </c>
      <c r="C3899" s="5" t="s">
        <v>18</v>
      </c>
      <c r="D3899" s="5" t="s">
        <v>19</v>
      </c>
      <c r="E3899" s="5" t="s">
        <v>1588</v>
      </c>
      <c r="F3899" s="9">
        <v>18</v>
      </c>
      <c r="G3899" s="9">
        <v>197</v>
      </c>
      <c r="H3899" s="5" t="s">
        <v>21</v>
      </c>
      <c r="I3899" s="5" t="s">
        <v>9742</v>
      </c>
      <c r="J3899" s="12" t="str">
        <f>HYPERLINK("https://www.boe.es/gazeta/dias/1802/03/02/pdfs/GMD-1802-18.pdf#page=9","Abrir facsímil")</f>
        <v>Abrir facsímil</v>
      </c>
      <c r="K3899" s="15" t="s">
        <v>23</v>
      </c>
    </row>
    <row r="3900" spans="1:11" ht="42" customHeight="1">
      <c r="A3900" s="4" t="s">
        <v>9743</v>
      </c>
      <c r="B3900" s="5" t="s">
        <v>9744</v>
      </c>
      <c r="C3900" s="5" t="s">
        <v>29</v>
      </c>
      <c r="D3900" s="5" t="s">
        <v>30</v>
      </c>
      <c r="E3900" s="5" t="s">
        <v>163</v>
      </c>
      <c r="F3900" s="9">
        <v>1</v>
      </c>
      <c r="G3900" s="9">
        <v>7</v>
      </c>
      <c r="H3900" s="5" t="s">
        <v>21</v>
      </c>
      <c r="I3900" s="5" t="s">
        <v>9745</v>
      </c>
      <c r="J3900" s="12" t="str">
        <f>HYPERLINK("https://www.boe.es/gazeta/dias/1802/01/01/pdfs/GMD-1802-1.pdf#page=7","Abrir facsímil")</f>
        <v>Abrir facsímil</v>
      </c>
      <c r="K3900" s="15" t="s">
        <v>23</v>
      </c>
    </row>
    <row r="3901" spans="1:11" ht="42" customHeight="1">
      <c r="A3901" s="4" t="s">
        <v>9746</v>
      </c>
      <c r="B3901" s="5" t="s">
        <v>9747</v>
      </c>
      <c r="C3901" s="5" t="s">
        <v>29</v>
      </c>
      <c r="D3901" s="5" t="s">
        <v>30</v>
      </c>
      <c r="E3901" s="5" t="s">
        <v>20</v>
      </c>
      <c r="F3901" s="9">
        <v>84</v>
      </c>
      <c r="G3901" s="9">
        <v>1040</v>
      </c>
      <c r="H3901" s="5" t="s">
        <v>21</v>
      </c>
      <c r="I3901" s="5" t="s">
        <v>9748</v>
      </c>
      <c r="J3901" s="12" t="str">
        <f>HYPERLINK("https://www.boe.es/gazeta/dias/1802/10/15/pdfs/GMD-1802-84.pdf#page=8","Abrir facsímil")</f>
        <v>Abrir facsímil</v>
      </c>
      <c r="K3901" s="15" t="s">
        <v>23</v>
      </c>
    </row>
    <row r="3902" spans="1:11" ht="42" customHeight="1">
      <c r="A3902" s="4" t="s">
        <v>9749</v>
      </c>
      <c r="B3902" s="5" t="s">
        <v>9750</v>
      </c>
      <c r="C3902" s="5" t="s">
        <v>29</v>
      </c>
      <c r="D3902" s="5" t="s">
        <v>30</v>
      </c>
      <c r="E3902" s="5" t="s">
        <v>491</v>
      </c>
      <c r="F3902" s="9">
        <v>57</v>
      </c>
      <c r="G3902" s="9">
        <v>689</v>
      </c>
      <c r="H3902" s="5" t="s">
        <v>21</v>
      </c>
      <c r="I3902" s="5" t="s">
        <v>9751</v>
      </c>
      <c r="J3902" s="12" t="str">
        <f>HYPERLINK("https://www.boe.es/gazeta/dias/1802/07/16/pdfs/GMD-1802-57.pdf#page=9","Abrir facsímil")</f>
        <v>Abrir facsímil</v>
      </c>
      <c r="K3902" s="15" t="s">
        <v>23</v>
      </c>
    </row>
    <row r="3903" spans="1:11" ht="42" customHeight="1">
      <c r="A3903" s="4" t="s">
        <v>9752</v>
      </c>
      <c r="B3903" s="5" t="s">
        <v>9753</v>
      </c>
      <c r="C3903" s="5" t="s">
        <v>29</v>
      </c>
      <c r="D3903" s="5" t="s">
        <v>30</v>
      </c>
      <c r="E3903" s="5" t="s">
        <v>1332</v>
      </c>
      <c r="F3903" s="9">
        <v>4</v>
      </c>
      <c r="G3903" s="9">
        <v>37</v>
      </c>
      <c r="H3903" s="5" t="s">
        <v>21</v>
      </c>
      <c r="I3903" s="5" t="s">
        <v>9754</v>
      </c>
      <c r="J3903" s="12" t="str">
        <f>HYPERLINK("https://www.boe.es/gazeta/dias/1802/01/12/pdfs/GMD-1802-4.pdf#page=9","Abrir facsímil")</f>
        <v>Abrir facsímil</v>
      </c>
      <c r="K3903" s="15" t="s">
        <v>23</v>
      </c>
    </row>
    <row r="3904" spans="1:11" ht="42" customHeight="1">
      <c r="A3904" s="4" t="s">
        <v>9755</v>
      </c>
      <c r="B3904" s="5" t="s">
        <v>9756</v>
      </c>
      <c r="C3904" s="5" t="s">
        <v>18</v>
      </c>
      <c r="D3904" s="5" t="s">
        <v>19</v>
      </c>
      <c r="E3904" s="5" t="s">
        <v>20</v>
      </c>
      <c r="F3904" s="9">
        <v>84</v>
      </c>
      <c r="G3904" s="9">
        <v>1040</v>
      </c>
      <c r="H3904" s="5" t="s">
        <v>21</v>
      </c>
      <c r="I3904" s="5" t="s">
        <v>9757</v>
      </c>
      <c r="J3904" s="12" t="str">
        <f>HYPERLINK("https://www.boe.es/gazeta/dias/1802/10/15/pdfs/GMD-1802-84.pdf#page=8","Abrir facsímil")</f>
        <v>Abrir facsímil</v>
      </c>
      <c r="K3904" s="15" t="s">
        <v>23</v>
      </c>
    </row>
    <row r="3905" spans="1:11" ht="42" customHeight="1">
      <c r="A3905" s="4" t="s">
        <v>9758</v>
      </c>
      <c r="B3905" s="5" t="s">
        <v>9759</v>
      </c>
      <c r="C3905" s="5" t="s">
        <v>29</v>
      </c>
      <c r="D3905" s="5" t="s">
        <v>30</v>
      </c>
      <c r="E3905" s="5" t="s">
        <v>49</v>
      </c>
      <c r="F3905" s="9">
        <v>83</v>
      </c>
      <c r="G3905" s="9">
        <v>1023</v>
      </c>
      <c r="H3905" s="5" t="s">
        <v>21</v>
      </c>
      <c r="I3905" s="5" t="s">
        <v>9760</v>
      </c>
      <c r="J3905" s="12" t="str">
        <f>HYPERLINK("https://www.boe.es/gazeta/dias/1802/10/12/pdfs/GMD-1802-83.pdf#page=11","Abrir facsímil")</f>
        <v>Abrir facsímil</v>
      </c>
      <c r="K3905" s="15" t="s">
        <v>23</v>
      </c>
    </row>
    <row r="3906" spans="1:11" ht="42" customHeight="1">
      <c r="A3906" s="4" t="s">
        <v>9761</v>
      </c>
      <c r="B3906" s="5" t="s">
        <v>9762</v>
      </c>
      <c r="C3906" s="5" t="s">
        <v>35</v>
      </c>
      <c r="D3906" s="5" t="s">
        <v>36</v>
      </c>
      <c r="E3906" s="5" t="s">
        <v>754</v>
      </c>
      <c r="F3906" s="9">
        <v>101</v>
      </c>
      <c r="G3906" s="9">
        <v>1238</v>
      </c>
      <c r="H3906" s="5" t="s">
        <v>21</v>
      </c>
      <c r="I3906" s="5" t="s">
        <v>9763</v>
      </c>
      <c r="J3906" s="12" t="str">
        <f>HYPERLINK("https://www.boe.es/gazeta/dias/1802/12/14/pdfs/GMD-1802-101.pdf#page=2","Abrir facsímil")</f>
        <v>Abrir facsímil</v>
      </c>
      <c r="K3906" s="15" t="s">
        <v>23</v>
      </c>
    </row>
    <row r="3907" spans="1:11" ht="42" customHeight="1">
      <c r="A3907" s="4" t="s">
        <v>9764</v>
      </c>
      <c r="B3907" s="5" t="s">
        <v>9764</v>
      </c>
      <c r="C3907" s="5" t="s">
        <v>90</v>
      </c>
      <c r="D3907" s="5" t="s">
        <v>91</v>
      </c>
      <c r="E3907" s="5" t="s">
        <v>670</v>
      </c>
      <c r="F3907" s="9">
        <v>40</v>
      </c>
      <c r="G3907" s="9">
        <v>483</v>
      </c>
      <c r="H3907" s="5" t="s">
        <v>21</v>
      </c>
      <c r="I3907" s="5" t="s">
        <v>9765</v>
      </c>
      <c r="J3907" s="12" t="str">
        <f>HYPERLINK("https://www.boe.es/gazeta/dias/1802/05/18/pdfs/GMD-1802-40.pdf#page=11","Abrir facsímil")</f>
        <v>Abrir facsímil</v>
      </c>
      <c r="K3907" s="15" t="s">
        <v>23</v>
      </c>
    </row>
    <row r="3908" spans="1:11" ht="42" customHeight="1">
      <c r="A3908" s="4" t="s">
        <v>9766</v>
      </c>
      <c r="B3908" s="5" t="s">
        <v>9766</v>
      </c>
      <c r="C3908" s="5" t="s">
        <v>42</v>
      </c>
      <c r="D3908" s="5" t="s">
        <v>43</v>
      </c>
      <c r="E3908" s="5" t="s">
        <v>44</v>
      </c>
      <c r="F3908" s="9">
        <v>99</v>
      </c>
      <c r="G3908" s="9" t="s">
        <v>322</v>
      </c>
      <c r="H3908" s="5" t="s">
        <v>21</v>
      </c>
      <c r="I3908" s="5" t="s">
        <v>9767</v>
      </c>
      <c r="J3908" s="12" t="str">
        <f>HYPERLINK("https://www.boe.es/gazeta/dias/1802/12/07/pdfs/GMD-D-1802-99.pdf#page=10","Abrir facsímil")</f>
        <v>Abrir facsímil</v>
      </c>
      <c r="K3908" s="15" t="s">
        <v>23</v>
      </c>
    </row>
    <row r="3909" spans="1:11" ht="42" customHeight="1">
      <c r="A3909" s="4" t="s">
        <v>9768</v>
      </c>
      <c r="B3909" s="5" t="s">
        <v>9769</v>
      </c>
      <c r="C3909" s="5" t="s">
        <v>55</v>
      </c>
      <c r="D3909" s="5" t="s">
        <v>56</v>
      </c>
      <c r="E3909" s="5" t="s">
        <v>381</v>
      </c>
      <c r="F3909" s="9">
        <v>13</v>
      </c>
      <c r="G3909" s="9">
        <v>132</v>
      </c>
      <c r="H3909" s="5" t="s">
        <v>21</v>
      </c>
      <c r="I3909" s="5" t="s">
        <v>9770</v>
      </c>
      <c r="J3909" s="12" t="str">
        <f>HYPERLINK("https://www.boe.es/gazeta/dias/1802/02/12/pdfs/GMD-1802-13.pdf#page=8","Abrir facsímil")</f>
        <v>Abrir facsímil</v>
      </c>
      <c r="K3909" s="15" t="s">
        <v>23</v>
      </c>
    </row>
    <row r="3910" spans="1:11" ht="42" customHeight="1">
      <c r="A3910" s="4" t="s">
        <v>9768</v>
      </c>
      <c r="B3910" s="5" t="s">
        <v>9769</v>
      </c>
      <c r="C3910" s="5" t="s">
        <v>90</v>
      </c>
      <c r="D3910" s="5" t="s">
        <v>91</v>
      </c>
      <c r="E3910" s="5" t="s">
        <v>181</v>
      </c>
      <c r="F3910" s="9">
        <v>55</v>
      </c>
      <c r="G3910" s="9">
        <v>667</v>
      </c>
      <c r="H3910" s="5" t="s">
        <v>21</v>
      </c>
      <c r="I3910" s="5" t="s">
        <v>9771</v>
      </c>
      <c r="J3910" s="12" t="str">
        <f>HYPERLINK("https://www.boe.es/gazeta/dias/1802/07/09/pdfs/GMD-1802-55.pdf#page=11","Abrir facsímil")</f>
        <v>Abrir facsímil</v>
      </c>
      <c r="K3910" s="15" t="s">
        <v>23</v>
      </c>
    </row>
    <row r="3911" spans="1:11" ht="42" customHeight="1">
      <c r="A3911" s="4" t="s">
        <v>9768</v>
      </c>
      <c r="B3911" s="5" t="s">
        <v>9769</v>
      </c>
      <c r="C3911" s="5" t="s">
        <v>572</v>
      </c>
      <c r="D3911" s="5" t="s">
        <v>573</v>
      </c>
      <c r="E3911" s="5" t="s">
        <v>574</v>
      </c>
      <c r="F3911" s="9" t="s">
        <v>575</v>
      </c>
      <c r="G3911" s="9">
        <v>705</v>
      </c>
      <c r="H3911" s="5" t="s">
        <v>21</v>
      </c>
      <c r="I3911" s="5" t="s">
        <v>9772</v>
      </c>
      <c r="J3911" s="12" t="str">
        <f>HYPERLINK("https://www.boe.es/gazeta/dias/1802/07/21/pdfs/GMD-1802-59E.pdf#page=1","Abrir facsímil")</f>
        <v>Abrir facsímil</v>
      </c>
      <c r="K3911" s="15" t="s">
        <v>23</v>
      </c>
    </row>
    <row r="3912" spans="1:11" ht="42" customHeight="1">
      <c r="A3912" s="4" t="s">
        <v>9768</v>
      </c>
      <c r="B3912" s="5" t="s">
        <v>9769</v>
      </c>
      <c r="C3912" s="5" t="s">
        <v>90</v>
      </c>
      <c r="D3912" s="5" t="s">
        <v>91</v>
      </c>
      <c r="E3912" s="5" t="s">
        <v>574</v>
      </c>
      <c r="F3912" s="9" t="s">
        <v>575</v>
      </c>
      <c r="G3912" s="9">
        <v>706</v>
      </c>
      <c r="H3912" s="5" t="s">
        <v>21</v>
      </c>
      <c r="I3912" s="5" t="s">
        <v>9773</v>
      </c>
      <c r="J3912" s="12" t="str">
        <f>HYPERLINK("https://www.boe.es/gazeta/dias/1802/07/21/pdfs/GMD-1802-59E.pdf#page=2","Abrir facsímil")</f>
        <v>Abrir facsímil</v>
      </c>
      <c r="K3912" s="15" t="s">
        <v>23</v>
      </c>
    </row>
    <row r="3913" spans="1:11" ht="42" customHeight="1">
      <c r="A3913" s="4" t="s">
        <v>9768</v>
      </c>
      <c r="B3913" s="5" t="s">
        <v>9769</v>
      </c>
      <c r="C3913" s="5" t="s">
        <v>90</v>
      </c>
      <c r="D3913" s="5" t="s">
        <v>91</v>
      </c>
      <c r="E3913" s="5" t="s">
        <v>574</v>
      </c>
      <c r="F3913" s="9" t="s">
        <v>575</v>
      </c>
      <c r="G3913" s="9">
        <v>708</v>
      </c>
      <c r="H3913" s="5" t="s">
        <v>21</v>
      </c>
      <c r="I3913" s="5" t="s">
        <v>9774</v>
      </c>
      <c r="J3913" s="12" t="str">
        <f>HYPERLINK("https://www.boe.es/gazeta/dias/1802/07/21/pdfs/GMD-1802-59E.pdf#page=4","Abrir facsímil")</f>
        <v>Abrir facsímil</v>
      </c>
      <c r="K3913" s="15" t="s">
        <v>23</v>
      </c>
    </row>
    <row r="3914" spans="1:11" ht="42" customHeight="1">
      <c r="A3914" s="4" t="s">
        <v>9768</v>
      </c>
      <c r="B3914" s="5" t="s">
        <v>9769</v>
      </c>
      <c r="C3914" s="5" t="s">
        <v>572</v>
      </c>
      <c r="D3914" s="5" t="s">
        <v>573</v>
      </c>
      <c r="E3914" s="5" t="s">
        <v>574</v>
      </c>
      <c r="F3914" s="9" t="s">
        <v>575</v>
      </c>
      <c r="G3914" s="9">
        <v>710</v>
      </c>
      <c r="H3914" s="5" t="s">
        <v>21</v>
      </c>
      <c r="I3914" s="5" t="s">
        <v>9775</v>
      </c>
      <c r="J3914" s="12" t="str">
        <f>HYPERLINK("https://www.boe.es/gazeta/dias/1802/07/21/pdfs/GMD-1802-59E.pdf#page=6","Abrir facsímil")</f>
        <v>Abrir facsímil</v>
      </c>
      <c r="K3914" s="15" t="s">
        <v>23</v>
      </c>
    </row>
    <row r="3915" spans="1:11" ht="42" customHeight="1">
      <c r="A3915" s="4" t="s">
        <v>9768</v>
      </c>
      <c r="B3915" s="5" t="s">
        <v>9769</v>
      </c>
      <c r="C3915" s="5" t="s">
        <v>90</v>
      </c>
      <c r="D3915" s="5" t="s">
        <v>91</v>
      </c>
      <c r="E3915" s="5" t="s">
        <v>574</v>
      </c>
      <c r="F3915" s="9" t="s">
        <v>575</v>
      </c>
      <c r="G3915" s="9">
        <v>711</v>
      </c>
      <c r="H3915" s="5" t="s">
        <v>21</v>
      </c>
      <c r="I3915" s="5" t="s">
        <v>9776</v>
      </c>
      <c r="J3915" s="12" t="str">
        <f>HYPERLINK("https://www.boe.es/gazeta/dias/1802/07/21/pdfs/GMD-1802-59E.pdf#page=7","Abrir facsímil")</f>
        <v>Abrir facsímil</v>
      </c>
      <c r="K3915" s="15" t="s">
        <v>23</v>
      </c>
    </row>
    <row r="3916" spans="1:11" ht="42" customHeight="1">
      <c r="A3916" s="4" t="s">
        <v>9768</v>
      </c>
      <c r="B3916" s="5" t="s">
        <v>9769</v>
      </c>
      <c r="C3916" s="5" t="s">
        <v>572</v>
      </c>
      <c r="D3916" s="5" t="s">
        <v>573</v>
      </c>
      <c r="E3916" s="5" t="s">
        <v>574</v>
      </c>
      <c r="F3916" s="9" t="s">
        <v>575</v>
      </c>
      <c r="G3916" s="9">
        <v>712</v>
      </c>
      <c r="H3916" s="5" t="s">
        <v>21</v>
      </c>
      <c r="I3916" s="5" t="s">
        <v>9777</v>
      </c>
      <c r="J3916" s="12" t="str">
        <f>HYPERLINK("https://www.boe.es/gazeta/dias/1802/07/21/pdfs/GMD-1802-59E.pdf#page=8","Abrir facsímil")</f>
        <v>Abrir facsímil</v>
      </c>
      <c r="K3916" s="15" t="s">
        <v>23</v>
      </c>
    </row>
    <row r="3917" spans="1:11" ht="42" customHeight="1">
      <c r="A3917" s="4" t="s">
        <v>9768</v>
      </c>
      <c r="B3917" s="5" t="s">
        <v>9769</v>
      </c>
      <c r="C3917" s="5" t="s">
        <v>572</v>
      </c>
      <c r="D3917" s="5" t="s">
        <v>573</v>
      </c>
      <c r="E3917" s="5" t="s">
        <v>574</v>
      </c>
      <c r="F3917" s="9" t="s">
        <v>575</v>
      </c>
      <c r="G3917" s="9">
        <v>714</v>
      </c>
      <c r="H3917" s="5" t="s">
        <v>21</v>
      </c>
      <c r="I3917" s="5" t="s">
        <v>9778</v>
      </c>
      <c r="J3917" s="12" t="str">
        <f>HYPERLINK("https://www.boe.es/gazeta/dias/1802/07/21/pdfs/GMD-1802-59E.pdf#page=10","Abrir facsímil")</f>
        <v>Abrir facsímil</v>
      </c>
      <c r="K3917" s="15" t="s">
        <v>23</v>
      </c>
    </row>
    <row r="3918" spans="1:11" ht="42" customHeight="1">
      <c r="A3918" s="4" t="s">
        <v>9768</v>
      </c>
      <c r="B3918" s="5" t="s">
        <v>9769</v>
      </c>
      <c r="C3918" s="5" t="s">
        <v>90</v>
      </c>
      <c r="D3918" s="5" t="s">
        <v>91</v>
      </c>
      <c r="E3918" s="5" t="s">
        <v>258</v>
      </c>
      <c r="F3918" s="9">
        <v>63</v>
      </c>
      <c r="G3918" s="9">
        <v>766</v>
      </c>
      <c r="H3918" s="5" t="s">
        <v>21</v>
      </c>
      <c r="I3918" s="5" t="s">
        <v>9779</v>
      </c>
      <c r="J3918" s="12" t="str">
        <f>HYPERLINK("https://www.boe.es/gazeta/dias/1802/08/03/pdfs/GMD-1802-63.pdf#page=6","Abrir facsímil")</f>
        <v>Abrir facsímil</v>
      </c>
      <c r="K3918" s="15" t="s">
        <v>23</v>
      </c>
    </row>
    <row r="3919" spans="1:11" ht="42" customHeight="1">
      <c r="A3919" s="4" t="s">
        <v>9768</v>
      </c>
      <c r="B3919" s="5" t="s">
        <v>9769</v>
      </c>
      <c r="C3919" s="5" t="s">
        <v>90</v>
      </c>
      <c r="D3919" s="5" t="s">
        <v>91</v>
      </c>
      <c r="E3919" s="5" t="s">
        <v>49</v>
      </c>
      <c r="F3919" s="9">
        <v>83</v>
      </c>
      <c r="G3919" s="9">
        <v>1018</v>
      </c>
      <c r="H3919" s="5" t="s">
        <v>21</v>
      </c>
      <c r="I3919" s="5" t="s">
        <v>9780</v>
      </c>
      <c r="J3919" s="12" t="str">
        <f>HYPERLINK("https://www.boe.es/gazeta/dias/1802/10/12/pdfs/GMD-1802-83.pdf#page=6","Abrir facsímil")</f>
        <v>Abrir facsímil</v>
      </c>
      <c r="K3919" s="15" t="s">
        <v>23</v>
      </c>
    </row>
    <row r="3920" spans="1:11" ht="42" customHeight="1">
      <c r="A3920" s="4" t="s">
        <v>9768</v>
      </c>
      <c r="B3920" s="5" t="s">
        <v>9769</v>
      </c>
      <c r="C3920" s="5" t="s">
        <v>90</v>
      </c>
      <c r="D3920" s="5" t="s">
        <v>91</v>
      </c>
      <c r="E3920" s="5" t="s">
        <v>710</v>
      </c>
      <c r="F3920" s="9">
        <v>85</v>
      </c>
      <c r="G3920" s="9">
        <v>1056</v>
      </c>
      <c r="H3920" s="5" t="s">
        <v>21</v>
      </c>
      <c r="I3920" s="5" t="s">
        <v>9781</v>
      </c>
      <c r="J3920" s="12" t="str">
        <f>HYPERLINK("https://www.boe.es/gazeta/dias/1802/10/19/pdfs/GMD-1802-85.pdf#page=8","Abrir facsímil")</f>
        <v>Abrir facsímil</v>
      </c>
      <c r="K3920" s="15" t="s">
        <v>23</v>
      </c>
    </row>
    <row r="3921" spans="1:11" ht="42" customHeight="1">
      <c r="A3921" s="4" t="s">
        <v>9782</v>
      </c>
      <c r="B3921" s="5" t="s">
        <v>9783</v>
      </c>
      <c r="C3921" s="5" t="s">
        <v>90</v>
      </c>
      <c r="D3921" s="5" t="s">
        <v>91</v>
      </c>
      <c r="E3921" s="5" t="s">
        <v>530</v>
      </c>
      <c r="F3921" s="9">
        <v>48</v>
      </c>
      <c r="G3921" s="9">
        <v>586</v>
      </c>
      <c r="H3921" s="5" t="s">
        <v>21</v>
      </c>
      <c r="I3921" s="5" t="s">
        <v>9784</v>
      </c>
      <c r="J3921" s="12" t="str">
        <f>HYPERLINK("https://www.boe.es/gazeta/dias/1802/06/15/pdfs/GMD-1802-48.pdf#page=10","Abrir facsímil")</f>
        <v>Abrir facsímil</v>
      </c>
      <c r="K3921" s="15" t="s">
        <v>23</v>
      </c>
    </row>
    <row r="3922" spans="1:11" ht="42" customHeight="1">
      <c r="A3922" s="4" t="s">
        <v>9785</v>
      </c>
      <c r="B3922" s="5" t="s">
        <v>9786</v>
      </c>
      <c r="C3922" s="5" t="s">
        <v>29</v>
      </c>
      <c r="D3922" s="5" t="s">
        <v>30</v>
      </c>
      <c r="E3922" s="5" t="s">
        <v>574</v>
      </c>
      <c r="F3922" s="9" t="s">
        <v>575</v>
      </c>
      <c r="G3922" s="9">
        <v>711</v>
      </c>
      <c r="H3922" s="5" t="s">
        <v>21</v>
      </c>
      <c r="I3922" s="5" t="s">
        <v>9787</v>
      </c>
      <c r="J3922" s="12" t="str">
        <f>HYPERLINK("https://www.boe.es/gazeta/dias/1802/07/21/pdfs/GMD-1802-59E.pdf#page=7","Abrir facsímil")</f>
        <v>Abrir facsímil</v>
      </c>
      <c r="K3922" s="15" t="s">
        <v>23</v>
      </c>
    </row>
    <row r="3923" spans="1:11" ht="42" customHeight="1">
      <c r="A3923" s="4" t="s">
        <v>9788</v>
      </c>
      <c r="B3923" s="5" t="s">
        <v>9789</v>
      </c>
      <c r="C3923" s="5" t="s">
        <v>35</v>
      </c>
      <c r="D3923" s="5" t="s">
        <v>36</v>
      </c>
      <c r="E3923" s="5" t="s">
        <v>826</v>
      </c>
      <c r="F3923" s="9">
        <v>67</v>
      </c>
      <c r="G3923" s="9">
        <v>814</v>
      </c>
      <c r="H3923" s="5" t="s">
        <v>21</v>
      </c>
      <c r="I3923" s="5" t="s">
        <v>9790</v>
      </c>
      <c r="J3923" s="12" t="str">
        <f>HYPERLINK("https://www.boe.es/gazeta/dias/1802/08/17/pdfs/GMD-1802-67.pdf#page=2","Abrir facsímil")</f>
        <v>Abrir facsímil</v>
      </c>
      <c r="K3923" s="15" t="s">
        <v>23</v>
      </c>
    </row>
    <row r="3924" spans="1:11" ht="42" customHeight="1">
      <c r="A3924" s="4" t="s">
        <v>9791</v>
      </c>
      <c r="B3924" s="5" t="s">
        <v>9791</v>
      </c>
      <c r="C3924" s="5" t="s">
        <v>18</v>
      </c>
      <c r="D3924" s="5" t="s">
        <v>19</v>
      </c>
      <c r="E3924" s="5" t="s">
        <v>49</v>
      </c>
      <c r="F3924" s="9">
        <v>83</v>
      </c>
      <c r="G3924" s="9">
        <v>1022</v>
      </c>
      <c r="H3924" s="5" t="s">
        <v>21</v>
      </c>
      <c r="I3924" s="5" t="s">
        <v>9792</v>
      </c>
      <c r="J3924" s="12" t="str">
        <f>HYPERLINK("https://www.boe.es/gazeta/dias/1802/10/12/pdfs/GMD-1802-83.pdf#page=10","Abrir facsímil")</f>
        <v>Abrir facsímil</v>
      </c>
      <c r="K3924" s="15" t="s">
        <v>23</v>
      </c>
    </row>
    <row r="3925" spans="1:11" ht="42" customHeight="1">
      <c r="A3925" s="4" t="s">
        <v>9793</v>
      </c>
      <c r="B3925" s="5" t="s">
        <v>9793</v>
      </c>
      <c r="C3925" s="5" t="s">
        <v>42</v>
      </c>
      <c r="D3925" s="5" t="s">
        <v>43</v>
      </c>
      <c r="E3925" s="5" t="s">
        <v>44</v>
      </c>
      <c r="F3925" s="9">
        <v>99</v>
      </c>
      <c r="G3925" s="9" t="s">
        <v>322</v>
      </c>
      <c r="H3925" s="5" t="s">
        <v>21</v>
      </c>
      <c r="I3925" s="5" t="s">
        <v>9794</v>
      </c>
      <c r="J3925" s="12" t="str">
        <f>HYPERLINK("https://www.boe.es/gazeta/dias/1802/12/07/pdfs/GMD-D-1802-99.pdf#page=10","Abrir facsímil")</f>
        <v>Abrir facsímil</v>
      </c>
      <c r="K3925" s="15" t="s">
        <v>23</v>
      </c>
    </row>
    <row r="3926" spans="1:11" ht="42" customHeight="1">
      <c r="A3926" s="4" t="s">
        <v>9795</v>
      </c>
      <c r="B3926" s="5" t="s">
        <v>9795</v>
      </c>
      <c r="C3926" s="5" t="s">
        <v>42</v>
      </c>
      <c r="D3926" s="5" t="s">
        <v>43</v>
      </c>
      <c r="E3926" s="5" t="s">
        <v>44</v>
      </c>
      <c r="F3926" s="9">
        <v>99</v>
      </c>
      <c r="G3926" s="9" t="s">
        <v>548</v>
      </c>
      <c r="H3926" s="5" t="s">
        <v>21</v>
      </c>
      <c r="I3926" s="5" t="s">
        <v>9796</v>
      </c>
      <c r="J3926" s="12" t="str">
        <f>HYPERLINK("https://www.boe.es/gazeta/dias/1802/12/07/pdfs/GMD-D-1802-99.pdf#page=12","Abrir facsímil")</f>
        <v>Abrir facsímil</v>
      </c>
      <c r="K3926" s="15" t="s">
        <v>23</v>
      </c>
    </row>
    <row r="3927" spans="1:11" ht="42" customHeight="1">
      <c r="A3927" s="4" t="s">
        <v>9797</v>
      </c>
      <c r="B3927" s="5" t="s">
        <v>9797</v>
      </c>
      <c r="C3927" s="5" t="s">
        <v>42</v>
      </c>
      <c r="D3927" s="5" t="s">
        <v>43</v>
      </c>
      <c r="E3927" s="5" t="s">
        <v>44</v>
      </c>
      <c r="F3927" s="9">
        <v>99</v>
      </c>
      <c r="G3927" s="9" t="s">
        <v>548</v>
      </c>
      <c r="H3927" s="5" t="s">
        <v>21</v>
      </c>
      <c r="I3927" s="5" t="s">
        <v>9798</v>
      </c>
      <c r="J3927" s="12" t="str">
        <f>HYPERLINK("https://www.boe.es/gazeta/dias/1802/12/07/pdfs/GMD-D-1802-99.pdf#page=12","Abrir facsímil")</f>
        <v>Abrir facsímil</v>
      </c>
      <c r="K3927" s="15" t="s">
        <v>23</v>
      </c>
    </row>
    <row r="3928" spans="1:11" ht="42" customHeight="1">
      <c r="A3928" s="4" t="s">
        <v>9799</v>
      </c>
      <c r="B3928" s="5" t="s">
        <v>9799</v>
      </c>
      <c r="C3928" s="5" t="s">
        <v>29</v>
      </c>
      <c r="D3928" s="5" t="s">
        <v>30</v>
      </c>
      <c r="E3928" s="5" t="s">
        <v>670</v>
      </c>
      <c r="F3928" s="9">
        <v>40</v>
      </c>
      <c r="G3928" s="9">
        <v>481</v>
      </c>
      <c r="H3928" s="5" t="s">
        <v>21</v>
      </c>
      <c r="I3928" s="5" t="s">
        <v>9800</v>
      </c>
      <c r="J3928" s="12" t="str">
        <f>HYPERLINK("https://www.boe.es/gazeta/dias/1802/05/18/pdfs/GMD-1802-40.pdf#page=9","Abrir facsímil")</f>
        <v>Abrir facsímil</v>
      </c>
      <c r="K3928" s="15" t="s">
        <v>23</v>
      </c>
    </row>
    <row r="3929" spans="1:11" ht="42" customHeight="1">
      <c r="A3929" s="4" t="s">
        <v>9801</v>
      </c>
      <c r="B3929" s="5" t="s">
        <v>9801</v>
      </c>
      <c r="C3929" s="5" t="s">
        <v>42</v>
      </c>
      <c r="D3929" s="5" t="s">
        <v>43</v>
      </c>
      <c r="E3929" s="5" t="s">
        <v>44</v>
      </c>
      <c r="F3929" s="9">
        <v>99</v>
      </c>
      <c r="G3929" s="9" t="s">
        <v>78</v>
      </c>
      <c r="H3929" s="5" t="s">
        <v>21</v>
      </c>
      <c r="I3929" s="5" t="s">
        <v>9802</v>
      </c>
      <c r="J3929" s="12" t="str">
        <f>HYPERLINK("https://www.boe.es/gazeta/dias/1802/12/07/pdfs/GMD-D-1802-99.pdf#page=15","Abrir facsímil")</f>
        <v>Abrir facsímil</v>
      </c>
      <c r="K3929" s="15" t="s">
        <v>23</v>
      </c>
    </row>
    <row r="3930" spans="1:11" ht="42" customHeight="1">
      <c r="A3930" s="4" t="s">
        <v>9803</v>
      </c>
      <c r="B3930" s="5" t="s">
        <v>9803</v>
      </c>
      <c r="C3930" s="5" t="s">
        <v>29</v>
      </c>
      <c r="D3930" s="5" t="s">
        <v>30</v>
      </c>
      <c r="E3930" s="5" t="s">
        <v>20</v>
      </c>
      <c r="F3930" s="9">
        <v>84</v>
      </c>
      <c r="G3930" s="9">
        <v>1042</v>
      </c>
      <c r="H3930" s="5" t="s">
        <v>21</v>
      </c>
      <c r="I3930" s="5" t="s">
        <v>9804</v>
      </c>
      <c r="J3930" s="12" t="str">
        <f>HYPERLINK("https://www.boe.es/gazeta/dias/1802/10/15/pdfs/GMD-1802-84.pdf#page=10","Abrir facsímil")</f>
        <v>Abrir facsímil</v>
      </c>
      <c r="K3930" s="15" t="s">
        <v>23</v>
      </c>
    </row>
    <row r="3931" spans="1:11" ht="42" customHeight="1">
      <c r="A3931" s="4" t="s">
        <v>9805</v>
      </c>
      <c r="B3931" s="5" t="s">
        <v>9805</v>
      </c>
      <c r="C3931" s="5" t="s">
        <v>18</v>
      </c>
      <c r="D3931" s="5" t="s">
        <v>19</v>
      </c>
      <c r="E3931" s="5" t="s">
        <v>631</v>
      </c>
      <c r="F3931" s="9">
        <v>36</v>
      </c>
      <c r="G3931" s="9">
        <v>431</v>
      </c>
      <c r="H3931" s="5" t="s">
        <v>21</v>
      </c>
      <c r="I3931" s="5" t="s">
        <v>9806</v>
      </c>
      <c r="J3931" s="12" t="str">
        <f>HYPERLINK("https://www.boe.es/gazeta/dias/1802/05/04/pdfs/GMD-1802-36.pdf#page=11","Abrir facsímil")</f>
        <v>Abrir facsímil</v>
      </c>
      <c r="K3931" s="15" t="s">
        <v>23</v>
      </c>
    </row>
    <row r="3932" spans="1:11" ht="42" customHeight="1">
      <c r="A3932" s="4" t="s">
        <v>9807</v>
      </c>
      <c r="B3932" s="5" t="s">
        <v>9807</v>
      </c>
      <c r="C3932" s="5" t="s">
        <v>42</v>
      </c>
      <c r="D3932" s="5" t="s">
        <v>43</v>
      </c>
      <c r="E3932" s="5" t="s">
        <v>44</v>
      </c>
      <c r="F3932" s="9">
        <v>99</v>
      </c>
      <c r="G3932" s="9" t="s">
        <v>78</v>
      </c>
      <c r="H3932" s="5" t="s">
        <v>21</v>
      </c>
      <c r="I3932" s="5" t="s">
        <v>9808</v>
      </c>
      <c r="J3932" s="12" t="str">
        <f>HYPERLINK("https://www.boe.es/gazeta/dias/1802/12/07/pdfs/GMD-D-1802-99.pdf#page=15","Abrir facsímil")</f>
        <v>Abrir facsímil</v>
      </c>
      <c r="K3932" s="15" t="s">
        <v>23</v>
      </c>
    </row>
    <row r="3933" spans="1:11" ht="42" customHeight="1">
      <c r="A3933" s="4" t="s">
        <v>9809</v>
      </c>
      <c r="B3933" s="5" t="s">
        <v>9809</v>
      </c>
      <c r="C3933" s="5" t="s">
        <v>18</v>
      </c>
      <c r="D3933" s="5" t="s">
        <v>19</v>
      </c>
      <c r="E3933" s="5" t="s">
        <v>20</v>
      </c>
      <c r="F3933" s="9">
        <v>84</v>
      </c>
      <c r="G3933" s="9">
        <v>1044</v>
      </c>
      <c r="H3933" s="5" t="s">
        <v>21</v>
      </c>
      <c r="I3933" s="5" t="s">
        <v>9810</v>
      </c>
      <c r="J3933" s="12" t="str">
        <f>HYPERLINK("https://www.boe.es/gazeta/dias/1802/10/15/pdfs/GMD-1802-84.pdf#page=12","Abrir facsímil")</f>
        <v>Abrir facsímil</v>
      </c>
      <c r="K3933" s="15" t="s">
        <v>23</v>
      </c>
    </row>
    <row r="3934" spans="1:11" ht="42" customHeight="1">
      <c r="A3934" s="4" t="s">
        <v>9811</v>
      </c>
      <c r="B3934" s="5" t="s">
        <v>9811</v>
      </c>
      <c r="C3934" s="5" t="s">
        <v>18</v>
      </c>
      <c r="D3934" s="5" t="s">
        <v>19</v>
      </c>
      <c r="E3934" s="5" t="s">
        <v>20</v>
      </c>
      <c r="F3934" s="9">
        <v>84</v>
      </c>
      <c r="G3934" s="9">
        <v>1046</v>
      </c>
      <c r="H3934" s="5" t="s">
        <v>21</v>
      </c>
      <c r="I3934" s="5" t="s">
        <v>9812</v>
      </c>
      <c r="J3934" s="12" t="str">
        <f>HYPERLINK("https://www.boe.es/gazeta/dias/1802/10/15/pdfs/GMD-1802-84.pdf#page=14","Abrir facsímil")</f>
        <v>Abrir facsímil</v>
      </c>
      <c r="K3934" s="15" t="s">
        <v>23</v>
      </c>
    </row>
    <row r="3935" spans="1:11" ht="42" customHeight="1">
      <c r="A3935" s="4" t="s">
        <v>9813</v>
      </c>
      <c r="B3935" s="5" t="s">
        <v>9814</v>
      </c>
      <c r="C3935" s="5" t="s">
        <v>572</v>
      </c>
      <c r="D3935" s="5" t="s">
        <v>573</v>
      </c>
      <c r="E3935" s="5" t="s">
        <v>574</v>
      </c>
      <c r="F3935" s="9" t="s">
        <v>575</v>
      </c>
      <c r="G3935" s="9">
        <v>710</v>
      </c>
      <c r="H3935" s="5" t="s">
        <v>21</v>
      </c>
      <c r="I3935" s="5" t="s">
        <v>9815</v>
      </c>
      <c r="J3935" s="12" t="str">
        <f>HYPERLINK("https://www.boe.es/gazeta/dias/1802/07/21/pdfs/GMD-1802-59E.pdf#page=6","Abrir facsímil")</f>
        <v>Abrir facsímil</v>
      </c>
      <c r="K3935" s="15" t="s">
        <v>23</v>
      </c>
    </row>
    <row r="3936" spans="1:11" ht="42" customHeight="1">
      <c r="A3936" s="4" t="s">
        <v>9816</v>
      </c>
      <c r="B3936" s="5" t="s">
        <v>9817</v>
      </c>
      <c r="C3936" s="5" t="s">
        <v>55</v>
      </c>
      <c r="D3936" s="5" t="s">
        <v>56</v>
      </c>
      <c r="E3936" s="5" t="s">
        <v>517</v>
      </c>
      <c r="F3936" s="9">
        <v>61</v>
      </c>
      <c r="G3936" s="9">
        <v>733</v>
      </c>
      <c r="H3936" s="5" t="s">
        <v>21</v>
      </c>
      <c r="I3936" s="5" t="s">
        <v>9818</v>
      </c>
      <c r="J3936" s="12" t="str">
        <f>HYPERLINK("https://www.boe.es/gazeta/dias/1802/07/27/pdfs/GMD-1802-61.pdf#page=1","Abrir facsímil")</f>
        <v>Abrir facsímil</v>
      </c>
      <c r="K3936" s="15" t="s">
        <v>23</v>
      </c>
    </row>
    <row r="3937" spans="1:11" ht="42" customHeight="1">
      <c r="A3937" s="4" t="s">
        <v>9819</v>
      </c>
      <c r="B3937" s="5" t="s">
        <v>9820</v>
      </c>
      <c r="C3937" s="5" t="s">
        <v>29</v>
      </c>
      <c r="D3937" s="5" t="s">
        <v>30</v>
      </c>
      <c r="E3937" s="5" t="s">
        <v>71</v>
      </c>
      <c r="F3937" s="9">
        <v>21</v>
      </c>
      <c r="G3937" s="9">
        <v>233</v>
      </c>
      <c r="H3937" s="5" t="s">
        <v>21</v>
      </c>
      <c r="I3937" s="5" t="s">
        <v>9821</v>
      </c>
      <c r="J3937" s="12" t="str">
        <f>HYPERLINK("https://www.boe.es/gazeta/dias/1802/03/12/pdfs/GMD-1802-21.pdf#page=9","Abrir facsímil")</f>
        <v>Abrir facsímil</v>
      </c>
      <c r="K3937" s="15" t="s">
        <v>23</v>
      </c>
    </row>
    <row r="3938" spans="1:11" ht="42" customHeight="1">
      <c r="A3938" s="4" t="s">
        <v>9822</v>
      </c>
      <c r="B3938" s="5" t="s">
        <v>9823</v>
      </c>
      <c r="C3938" s="5" t="s">
        <v>160</v>
      </c>
      <c r="D3938" s="5" t="s">
        <v>91</v>
      </c>
      <c r="E3938" s="5" t="s">
        <v>20</v>
      </c>
      <c r="F3938" s="9">
        <v>84</v>
      </c>
      <c r="G3938" s="9">
        <v>1040</v>
      </c>
      <c r="H3938" s="5" t="s">
        <v>21</v>
      </c>
      <c r="I3938" s="5" t="s">
        <v>9824</v>
      </c>
      <c r="J3938" s="12" t="str">
        <f>HYPERLINK("https://www.boe.es/gazeta/dias/1802/10/15/pdfs/GMD-1802-84.pdf#page=8","Abrir facsímil")</f>
        <v>Abrir facsímil</v>
      </c>
      <c r="K3938" s="15" t="s">
        <v>23</v>
      </c>
    </row>
    <row r="3939" spans="1:11" ht="42" customHeight="1">
      <c r="A3939" s="4" t="s">
        <v>9825</v>
      </c>
      <c r="B3939" s="5" t="s">
        <v>9826</v>
      </c>
      <c r="C3939" s="5" t="s">
        <v>35</v>
      </c>
      <c r="D3939" s="5" t="s">
        <v>36</v>
      </c>
      <c r="E3939" s="5" t="s">
        <v>247</v>
      </c>
      <c r="F3939" s="9">
        <v>14</v>
      </c>
      <c r="G3939" s="9">
        <v>144</v>
      </c>
      <c r="H3939" s="5" t="s">
        <v>21</v>
      </c>
      <c r="I3939" s="5" t="s">
        <v>9827</v>
      </c>
      <c r="J3939" s="12" t="str">
        <f>HYPERLINK("https://www.boe.es/gazeta/dias/1802/02/16/pdfs/GMD-1802-14.pdf#page=8","Abrir facsímil")</f>
        <v>Abrir facsímil</v>
      </c>
      <c r="K3939" s="15" t="s">
        <v>23</v>
      </c>
    </row>
    <row r="3940" spans="1:11" ht="42" customHeight="1">
      <c r="A3940" s="4" t="s">
        <v>9828</v>
      </c>
      <c r="B3940" s="5" t="s">
        <v>9829</v>
      </c>
      <c r="C3940" s="5" t="s">
        <v>18</v>
      </c>
      <c r="D3940" s="5" t="s">
        <v>19</v>
      </c>
      <c r="E3940" s="5" t="s">
        <v>49</v>
      </c>
      <c r="F3940" s="9">
        <v>83</v>
      </c>
      <c r="G3940" s="9">
        <v>1023</v>
      </c>
      <c r="H3940" s="5" t="s">
        <v>21</v>
      </c>
      <c r="I3940" s="5" t="s">
        <v>9830</v>
      </c>
      <c r="J3940" s="12" t="str">
        <f>HYPERLINK("https://www.boe.es/gazeta/dias/1802/10/12/pdfs/GMD-1802-83.pdf#page=11","Abrir facsímil")</f>
        <v>Abrir facsímil</v>
      </c>
      <c r="K3940" s="15" t="s">
        <v>23</v>
      </c>
    </row>
    <row r="3941" spans="1:11" ht="42" customHeight="1">
      <c r="A3941" s="4" t="s">
        <v>9831</v>
      </c>
      <c r="B3941" s="5" t="s">
        <v>9832</v>
      </c>
      <c r="C3941" s="5" t="s">
        <v>90</v>
      </c>
      <c r="D3941" s="5" t="s">
        <v>91</v>
      </c>
      <c r="E3941" s="5" t="s">
        <v>921</v>
      </c>
      <c r="F3941" s="9">
        <v>50</v>
      </c>
      <c r="G3941" s="9">
        <v>610</v>
      </c>
      <c r="H3941" s="5" t="s">
        <v>21</v>
      </c>
      <c r="I3941" s="5" t="s">
        <v>9833</v>
      </c>
      <c r="J3941" s="12" t="str">
        <f>HYPERLINK("https://www.boe.es/gazeta/dias/1802/06/22/pdfs/GMD-1802-50.pdf#page=10","Abrir facsímil")</f>
        <v>Abrir facsímil</v>
      </c>
      <c r="K3941" s="15" t="s">
        <v>23</v>
      </c>
    </row>
    <row r="3942" spans="1:11" ht="42" customHeight="1">
      <c r="A3942" s="4" t="s">
        <v>9834</v>
      </c>
      <c r="B3942" s="5" t="s">
        <v>9835</v>
      </c>
      <c r="C3942" s="5" t="s">
        <v>29</v>
      </c>
      <c r="D3942" s="5" t="s">
        <v>30</v>
      </c>
      <c r="E3942" s="5" t="s">
        <v>389</v>
      </c>
      <c r="F3942" s="9">
        <v>96</v>
      </c>
      <c r="G3942" s="9">
        <v>1189</v>
      </c>
      <c r="H3942" s="5" t="s">
        <v>21</v>
      </c>
      <c r="I3942" s="5" t="s">
        <v>9836</v>
      </c>
      <c r="J3942" s="12" t="str">
        <f>HYPERLINK("https://www.boe.es/gazeta/dias/1802/11/26/pdfs/GMD-1802-96.pdf#page=9","Abrir facsímil")</f>
        <v>Abrir facsímil</v>
      </c>
      <c r="K3942" s="15" t="s">
        <v>23</v>
      </c>
    </row>
    <row r="3943" spans="1:11" ht="42" customHeight="1">
      <c r="A3943" s="4" t="s">
        <v>9837</v>
      </c>
      <c r="B3943" s="5" t="s">
        <v>9838</v>
      </c>
      <c r="C3943" s="5" t="s">
        <v>29</v>
      </c>
      <c r="D3943" s="5" t="s">
        <v>30</v>
      </c>
      <c r="E3943" s="5" t="s">
        <v>574</v>
      </c>
      <c r="F3943" s="9" t="s">
        <v>575</v>
      </c>
      <c r="G3943" s="9">
        <v>711</v>
      </c>
      <c r="H3943" s="5" t="s">
        <v>21</v>
      </c>
      <c r="I3943" s="5" t="s">
        <v>9839</v>
      </c>
      <c r="J3943" s="12" t="str">
        <f>HYPERLINK("https://www.boe.es/gazeta/dias/1802/07/21/pdfs/GMD-1802-59E.pdf#page=7","Abrir facsímil")</f>
        <v>Abrir facsímil</v>
      </c>
      <c r="K3943" s="15" t="s">
        <v>23</v>
      </c>
    </row>
    <row r="3944" spans="1:11" ht="42" customHeight="1">
      <c r="A3944" s="4" t="s">
        <v>9840</v>
      </c>
      <c r="B3944" s="5" t="s">
        <v>9841</v>
      </c>
      <c r="C3944" s="5" t="s">
        <v>29</v>
      </c>
      <c r="D3944" s="5" t="s">
        <v>30</v>
      </c>
      <c r="E3944" s="5" t="s">
        <v>814</v>
      </c>
      <c r="F3944" s="9">
        <v>41</v>
      </c>
      <c r="G3944" s="9">
        <v>494</v>
      </c>
      <c r="H3944" s="5" t="s">
        <v>21</v>
      </c>
      <c r="I3944" s="5" t="s">
        <v>9842</v>
      </c>
      <c r="J3944" s="12" t="str">
        <f>HYPERLINK("https://www.boe.es/gazeta/dias/1802/05/21/pdfs/GMD-1802-41.pdf#page=10","Abrir facsímil")</f>
        <v>Abrir facsímil</v>
      </c>
      <c r="K3944" s="15" t="s">
        <v>23</v>
      </c>
    </row>
    <row r="3945" spans="1:11" ht="42" customHeight="1">
      <c r="A3945" s="4" t="s">
        <v>9843</v>
      </c>
      <c r="B3945" s="5" t="s">
        <v>9844</v>
      </c>
      <c r="C3945" s="5" t="s">
        <v>18</v>
      </c>
      <c r="D3945" s="5" t="s">
        <v>19</v>
      </c>
      <c r="E3945" s="5" t="s">
        <v>20</v>
      </c>
      <c r="F3945" s="9">
        <v>84</v>
      </c>
      <c r="G3945" s="9">
        <v>1041</v>
      </c>
      <c r="H3945" s="5" t="s">
        <v>21</v>
      </c>
      <c r="I3945" s="5" t="s">
        <v>9845</v>
      </c>
      <c r="J3945" s="12" t="str">
        <f>HYPERLINK("https://www.boe.es/gazeta/dias/1802/10/15/pdfs/GMD-1802-84.pdf#page=9","Abrir facsímil")</f>
        <v>Abrir facsímil</v>
      </c>
      <c r="K3945" s="15" t="s">
        <v>23</v>
      </c>
    </row>
    <row r="3946" spans="1:11" ht="42" customHeight="1">
      <c r="A3946" s="4" t="s">
        <v>9846</v>
      </c>
      <c r="B3946" s="5" t="s">
        <v>9847</v>
      </c>
      <c r="C3946" s="5" t="s">
        <v>35</v>
      </c>
      <c r="D3946" s="5" t="s">
        <v>36</v>
      </c>
      <c r="E3946" s="5" t="s">
        <v>921</v>
      </c>
      <c r="F3946" s="9">
        <v>50</v>
      </c>
      <c r="G3946" s="9">
        <v>604</v>
      </c>
      <c r="H3946" s="5" t="s">
        <v>21</v>
      </c>
      <c r="I3946" s="5" t="s">
        <v>9848</v>
      </c>
      <c r="J3946" s="12" t="str">
        <f>HYPERLINK("https://www.boe.es/gazeta/dias/1802/06/22/pdfs/GMD-1802-50.pdf#page=4","Abrir facsímil")</f>
        <v>Abrir facsímil</v>
      </c>
      <c r="K3946" s="15" t="s">
        <v>23</v>
      </c>
    </row>
    <row r="3947" spans="1:11" ht="42" customHeight="1">
      <c r="A3947" s="4" t="s">
        <v>9849</v>
      </c>
      <c r="B3947" s="5" t="s">
        <v>9849</v>
      </c>
      <c r="C3947" s="5" t="s">
        <v>18</v>
      </c>
      <c r="D3947" s="5" t="s">
        <v>19</v>
      </c>
      <c r="E3947" s="5" t="s">
        <v>49</v>
      </c>
      <c r="F3947" s="9">
        <v>83</v>
      </c>
      <c r="G3947" s="9">
        <v>1022</v>
      </c>
      <c r="H3947" s="5" t="s">
        <v>21</v>
      </c>
      <c r="I3947" s="5" t="s">
        <v>9850</v>
      </c>
      <c r="J3947" s="12" t="str">
        <f>HYPERLINK("https://www.boe.es/gazeta/dias/1802/10/12/pdfs/GMD-1802-83.pdf#page=10","Abrir facsímil")</f>
        <v>Abrir facsímil</v>
      </c>
      <c r="K3947" s="15" t="s">
        <v>23</v>
      </c>
    </row>
    <row r="3948" spans="1:11" ht="42" customHeight="1">
      <c r="A3948" s="4" t="s">
        <v>9851</v>
      </c>
      <c r="B3948" s="5" t="s">
        <v>9851</v>
      </c>
      <c r="C3948" s="5" t="s">
        <v>18</v>
      </c>
      <c r="D3948" s="5" t="s">
        <v>19</v>
      </c>
      <c r="E3948" s="5" t="s">
        <v>1051</v>
      </c>
      <c r="F3948" s="9">
        <v>43</v>
      </c>
      <c r="G3948" s="9">
        <v>517</v>
      </c>
      <c r="H3948" s="5" t="s">
        <v>21</v>
      </c>
      <c r="I3948" s="5" t="s">
        <v>9852</v>
      </c>
      <c r="J3948" s="12" t="str">
        <f>HYPERLINK("https://www.boe.es/gazeta/dias/1802/05/28/pdfs/GMD-1802-43.pdf#page=9","Abrir facsímil")</f>
        <v>Abrir facsímil</v>
      </c>
      <c r="K3948" s="15" t="s">
        <v>23</v>
      </c>
    </row>
    <row r="3949" spans="1:11" ht="42" customHeight="1">
      <c r="A3949" s="4" t="s">
        <v>9853</v>
      </c>
      <c r="B3949" s="5" t="s">
        <v>9853</v>
      </c>
      <c r="C3949" s="5" t="s">
        <v>35</v>
      </c>
      <c r="D3949" s="5" t="s">
        <v>36</v>
      </c>
      <c r="E3949" s="5" t="s">
        <v>381</v>
      </c>
      <c r="F3949" s="9">
        <v>13</v>
      </c>
      <c r="G3949" s="9">
        <v>128</v>
      </c>
      <c r="H3949" s="5" t="s">
        <v>21</v>
      </c>
      <c r="I3949" s="5" t="s">
        <v>9854</v>
      </c>
      <c r="J3949" s="12" t="str">
        <f>HYPERLINK("https://www.boe.es/gazeta/dias/1802/02/12/pdfs/GMD-1802-13.pdf#page=4","Abrir facsímil")</f>
        <v>Abrir facsímil</v>
      </c>
      <c r="K3949" s="15" t="s">
        <v>23</v>
      </c>
    </row>
    <row r="3950" spans="1:11" ht="42" customHeight="1">
      <c r="A3950" s="4" t="s">
        <v>9855</v>
      </c>
      <c r="B3950" s="5" t="s">
        <v>9855</v>
      </c>
      <c r="C3950" s="5" t="s">
        <v>160</v>
      </c>
      <c r="D3950" s="5" t="s">
        <v>91</v>
      </c>
      <c r="E3950" s="5" t="s">
        <v>299</v>
      </c>
      <c r="F3950" s="9">
        <v>19</v>
      </c>
      <c r="G3950" s="9">
        <v>204</v>
      </c>
      <c r="H3950" s="5" t="s">
        <v>21</v>
      </c>
      <c r="I3950" s="5" t="s">
        <v>9856</v>
      </c>
      <c r="J3950" s="12" t="str">
        <f>HYPERLINK("https://www.boe.es/gazeta/dias/1802/03/05/pdfs/GMD-1802-19.pdf#page=4","Abrir facsímil")</f>
        <v>Abrir facsímil</v>
      </c>
      <c r="K3950" s="15" t="s">
        <v>23</v>
      </c>
    </row>
    <row r="3951" spans="1:11" ht="42" customHeight="1">
      <c r="A3951" s="4" t="s">
        <v>9853</v>
      </c>
      <c r="B3951" s="5" t="s">
        <v>9853</v>
      </c>
      <c r="C3951" s="5" t="s">
        <v>35</v>
      </c>
      <c r="D3951" s="5" t="s">
        <v>36</v>
      </c>
      <c r="E3951" s="5" t="s">
        <v>86</v>
      </c>
      <c r="F3951" s="9">
        <v>26</v>
      </c>
      <c r="G3951" s="9">
        <v>295</v>
      </c>
      <c r="H3951" s="5" t="s">
        <v>21</v>
      </c>
      <c r="I3951" s="5" t="s">
        <v>9857</v>
      </c>
      <c r="J3951" s="12" t="str">
        <f>HYPERLINK("https://www.boe.es/gazeta/dias/1802/03/30/pdfs/GMD-1802-26.pdf#page=7","Abrir facsímil")</f>
        <v>Abrir facsímil</v>
      </c>
      <c r="K3951" s="15" t="s">
        <v>23</v>
      </c>
    </row>
    <row r="3952" spans="1:11" ht="42" customHeight="1">
      <c r="A3952" s="4" t="s">
        <v>9853</v>
      </c>
      <c r="B3952" s="5" t="s">
        <v>9853</v>
      </c>
      <c r="C3952" s="5" t="s">
        <v>90</v>
      </c>
      <c r="D3952" s="5" t="s">
        <v>91</v>
      </c>
      <c r="E3952" s="5" t="s">
        <v>172</v>
      </c>
      <c r="F3952" s="9">
        <v>35</v>
      </c>
      <c r="G3952" s="9">
        <v>409</v>
      </c>
      <c r="H3952" s="5" t="s">
        <v>21</v>
      </c>
      <c r="I3952" s="5" t="s">
        <v>9858</v>
      </c>
      <c r="J3952" s="12" t="str">
        <f>HYPERLINK("https://www.boe.es/gazeta/dias/1802/04/30/pdfs/GMD-1802-35.pdf#page=9","Abrir facsímil")</f>
        <v>Abrir facsímil</v>
      </c>
      <c r="K3952" s="15" t="s">
        <v>23</v>
      </c>
    </row>
    <row r="3953" spans="1:11" ht="42" customHeight="1">
      <c r="A3953" s="4" t="s">
        <v>9853</v>
      </c>
      <c r="B3953" s="5" t="s">
        <v>9853</v>
      </c>
      <c r="C3953" s="5" t="s">
        <v>18</v>
      </c>
      <c r="D3953" s="5" t="s">
        <v>19</v>
      </c>
      <c r="E3953" s="5" t="s">
        <v>814</v>
      </c>
      <c r="F3953" s="9">
        <v>41</v>
      </c>
      <c r="G3953" s="9">
        <v>487</v>
      </c>
      <c r="H3953" s="5" t="s">
        <v>21</v>
      </c>
      <c r="I3953" s="5" t="s">
        <v>9859</v>
      </c>
      <c r="J3953" s="12" t="str">
        <f>HYPERLINK("https://www.boe.es/gazeta/dias/1802/05/21/pdfs/GMD-1802-41.pdf#page=3","Abrir facsímil")</f>
        <v>Abrir facsímil</v>
      </c>
      <c r="K3953" s="15" t="s">
        <v>23</v>
      </c>
    </row>
    <row r="3954" spans="1:11" ht="42" customHeight="1">
      <c r="A3954" s="4" t="s">
        <v>9853</v>
      </c>
      <c r="B3954" s="5" t="s">
        <v>9853</v>
      </c>
      <c r="C3954" s="5" t="s">
        <v>29</v>
      </c>
      <c r="D3954" s="5" t="s">
        <v>30</v>
      </c>
      <c r="E3954" s="5" t="s">
        <v>1374</v>
      </c>
      <c r="F3954" s="9">
        <v>71</v>
      </c>
      <c r="G3954" s="9">
        <v>867</v>
      </c>
      <c r="H3954" s="5" t="s">
        <v>21</v>
      </c>
      <c r="I3954" s="5" t="s">
        <v>9860</v>
      </c>
      <c r="J3954" s="12" t="str">
        <f>HYPERLINK("https://www.boe.es/gazeta/dias/1802/08/31/pdfs/GMD-1802-71.pdf#page=3","Abrir facsímil")</f>
        <v>Abrir facsímil</v>
      </c>
      <c r="K3954" s="15" t="s">
        <v>23</v>
      </c>
    </row>
    <row r="3955" spans="1:11" ht="42" customHeight="1">
      <c r="A3955" s="4" t="s">
        <v>9853</v>
      </c>
      <c r="B3955" s="5" t="s">
        <v>9853</v>
      </c>
      <c r="C3955" s="5" t="s">
        <v>18</v>
      </c>
      <c r="D3955" s="5" t="s">
        <v>19</v>
      </c>
      <c r="E3955" s="5" t="s">
        <v>44</v>
      </c>
      <c r="F3955" s="9">
        <v>99</v>
      </c>
      <c r="G3955" s="9">
        <v>1217</v>
      </c>
      <c r="H3955" s="5" t="s">
        <v>21</v>
      </c>
      <c r="I3955" s="5" t="s">
        <v>9861</v>
      </c>
      <c r="J3955" s="12" t="str">
        <f>HYPERLINK("https://www.boe.es/gazeta/dias/1802/12/07/pdfs/GMD-1802-99.pdf#page=1","Abrir facsímil")</f>
        <v>Abrir facsímil</v>
      </c>
      <c r="K3955" s="15" t="s">
        <v>23</v>
      </c>
    </row>
    <row r="3956" spans="1:11" ht="42" customHeight="1">
      <c r="A3956" s="4" t="s">
        <v>9862</v>
      </c>
      <c r="B3956" s="5" t="s">
        <v>9862</v>
      </c>
      <c r="C3956" s="5" t="s">
        <v>29</v>
      </c>
      <c r="D3956" s="5" t="s">
        <v>30</v>
      </c>
      <c r="E3956" s="5" t="s">
        <v>491</v>
      </c>
      <c r="F3956" s="9">
        <v>57</v>
      </c>
      <c r="G3956" s="9">
        <v>688</v>
      </c>
      <c r="H3956" s="5" t="s">
        <v>21</v>
      </c>
      <c r="I3956" s="5" t="s">
        <v>9863</v>
      </c>
      <c r="J3956" s="12" t="str">
        <f>HYPERLINK("https://www.boe.es/gazeta/dias/1802/07/16/pdfs/GMD-1802-57.pdf#page=8","Abrir facsímil")</f>
        <v>Abrir facsímil</v>
      </c>
      <c r="K3956" s="15" t="s">
        <v>23</v>
      </c>
    </row>
    <row r="3957" spans="1:11" ht="42" customHeight="1">
      <c r="A3957" s="4" t="s">
        <v>9864</v>
      </c>
      <c r="B3957" s="5" t="s">
        <v>9864</v>
      </c>
      <c r="C3957" s="5" t="s">
        <v>18</v>
      </c>
      <c r="D3957" s="5" t="s">
        <v>19</v>
      </c>
      <c r="E3957" s="5" t="s">
        <v>49</v>
      </c>
      <c r="F3957" s="9">
        <v>83</v>
      </c>
      <c r="G3957" s="9">
        <v>1023</v>
      </c>
      <c r="H3957" s="5" t="s">
        <v>21</v>
      </c>
      <c r="I3957" s="5" t="s">
        <v>9865</v>
      </c>
      <c r="J3957" s="12" t="str">
        <f>HYPERLINK("https://www.boe.es/gazeta/dias/1802/10/12/pdfs/GMD-1802-83.pdf#page=11","Abrir facsímil")</f>
        <v>Abrir facsímil</v>
      </c>
      <c r="K3957" s="15" t="s">
        <v>23</v>
      </c>
    </row>
    <row r="3958" spans="1:11" ht="42" customHeight="1">
      <c r="A3958" s="4" t="s">
        <v>9866</v>
      </c>
      <c r="B3958" s="5" t="s">
        <v>9866</v>
      </c>
      <c r="C3958" s="5" t="s">
        <v>42</v>
      </c>
      <c r="D3958" s="5" t="s">
        <v>43</v>
      </c>
      <c r="E3958" s="5" t="s">
        <v>44</v>
      </c>
      <c r="F3958" s="9">
        <v>99</v>
      </c>
      <c r="G3958" s="9" t="s">
        <v>262</v>
      </c>
      <c r="H3958" s="5" t="s">
        <v>21</v>
      </c>
      <c r="I3958" s="5" t="s">
        <v>9867</v>
      </c>
      <c r="J3958" s="12" t="str">
        <f>HYPERLINK("https://www.boe.es/gazeta/dias/1802/12/07/pdfs/GMD-D-1802-99.pdf#page=8","Abrir facsímil")</f>
        <v>Abrir facsímil</v>
      </c>
      <c r="K3958" s="15" t="s">
        <v>23</v>
      </c>
    </row>
    <row r="3959" spans="1:11" ht="42" customHeight="1">
      <c r="A3959" s="4" t="s">
        <v>9868</v>
      </c>
      <c r="B3959" s="5" t="s">
        <v>9868</v>
      </c>
      <c r="C3959" s="5" t="s">
        <v>29</v>
      </c>
      <c r="D3959" s="5" t="s">
        <v>30</v>
      </c>
      <c r="E3959" s="5" t="s">
        <v>86</v>
      </c>
      <c r="F3959" s="9">
        <v>26</v>
      </c>
      <c r="G3959" s="9">
        <v>298</v>
      </c>
      <c r="H3959" s="5" t="s">
        <v>21</v>
      </c>
      <c r="I3959" s="5" t="s">
        <v>9869</v>
      </c>
      <c r="J3959" s="12" t="str">
        <f>HYPERLINK("https://www.boe.es/gazeta/dias/1802/03/30/pdfs/GMD-1802-26.pdf#page=10","Abrir facsímil")</f>
        <v>Abrir facsímil</v>
      </c>
      <c r="K3959" s="15" t="s">
        <v>23</v>
      </c>
    </row>
    <row r="3960" spans="1:11" ht="42" customHeight="1">
      <c r="A3960" s="4" t="s">
        <v>9870</v>
      </c>
      <c r="B3960" s="5" t="s">
        <v>9870</v>
      </c>
      <c r="C3960" s="5" t="s">
        <v>160</v>
      </c>
      <c r="D3960" s="5" t="s">
        <v>91</v>
      </c>
      <c r="E3960" s="5" t="s">
        <v>865</v>
      </c>
      <c r="F3960" s="9">
        <v>12</v>
      </c>
      <c r="G3960" s="9">
        <v>123</v>
      </c>
      <c r="H3960" s="5" t="s">
        <v>21</v>
      </c>
      <c r="I3960" s="5" t="s">
        <v>9871</v>
      </c>
      <c r="J3960" s="12" t="str">
        <f>HYPERLINK("https://www.boe.es/gazeta/dias/1802/02/09/pdfs/GMD-1802-12.pdf#page=7","Abrir facsímil")</f>
        <v>Abrir facsímil</v>
      </c>
      <c r="K3960" s="15" t="s">
        <v>23</v>
      </c>
    </row>
    <row r="3961" spans="1:11" ht="42" customHeight="1">
      <c r="A3961" s="4" t="s">
        <v>9870</v>
      </c>
      <c r="B3961" s="5" t="s">
        <v>9870</v>
      </c>
      <c r="C3961" s="5" t="s">
        <v>160</v>
      </c>
      <c r="D3961" s="5" t="s">
        <v>91</v>
      </c>
      <c r="E3961" s="5" t="s">
        <v>436</v>
      </c>
      <c r="F3961" s="9">
        <v>58</v>
      </c>
      <c r="G3961" s="9">
        <v>704</v>
      </c>
      <c r="H3961" s="5" t="s">
        <v>21</v>
      </c>
      <c r="I3961" s="5" t="s">
        <v>9872</v>
      </c>
      <c r="J3961" s="12" t="str">
        <f>HYPERLINK("https://www.boe.es/gazeta/dias/1802/07/20/pdfs/GMD-1802-58.pdf#page=12","Abrir facsímil")</f>
        <v>Abrir facsímil</v>
      </c>
      <c r="K3961" s="15" t="s">
        <v>23</v>
      </c>
    </row>
    <row r="3962" spans="1:11" ht="42" customHeight="1">
      <c r="A3962" s="4" t="s">
        <v>9873</v>
      </c>
      <c r="B3962" s="5" t="s">
        <v>9873</v>
      </c>
      <c r="C3962" s="5" t="s">
        <v>18</v>
      </c>
      <c r="D3962" s="5" t="s">
        <v>19</v>
      </c>
      <c r="E3962" s="5" t="s">
        <v>20</v>
      </c>
      <c r="F3962" s="9">
        <v>84</v>
      </c>
      <c r="G3962" s="9">
        <v>1042</v>
      </c>
      <c r="H3962" s="5" t="s">
        <v>21</v>
      </c>
      <c r="I3962" s="5" t="s">
        <v>9874</v>
      </c>
      <c r="J3962" s="12" t="str">
        <f>HYPERLINK("https://www.boe.es/gazeta/dias/1802/10/15/pdfs/GMD-1802-84.pdf#page=10","Abrir facsímil")</f>
        <v>Abrir facsímil</v>
      </c>
      <c r="K3962" s="15" t="s">
        <v>23</v>
      </c>
    </row>
    <row r="3963" spans="1:11" ht="42" customHeight="1">
      <c r="A3963" s="4" t="s">
        <v>9875</v>
      </c>
      <c r="B3963" s="5" t="s">
        <v>9876</v>
      </c>
      <c r="C3963" s="5" t="s">
        <v>29</v>
      </c>
      <c r="D3963" s="5" t="s">
        <v>30</v>
      </c>
      <c r="E3963" s="5" t="s">
        <v>1264</v>
      </c>
      <c r="F3963" s="9">
        <v>105</v>
      </c>
      <c r="G3963" s="9">
        <v>1286</v>
      </c>
      <c r="H3963" s="5" t="s">
        <v>21</v>
      </c>
      <c r="I3963" s="5" t="s">
        <v>9877</v>
      </c>
      <c r="J3963" s="12" t="str">
        <f>HYPERLINK("https://www.boe.es/gazeta/dias/1802/12/28/pdfs/GMD-1802-105.pdf#page=10","Abrir facsímil")</f>
        <v>Abrir facsímil</v>
      </c>
      <c r="K3963" s="15" t="s">
        <v>23</v>
      </c>
    </row>
    <row r="3964" spans="1:11" ht="42" customHeight="1">
      <c r="A3964" s="4" t="s">
        <v>9878</v>
      </c>
      <c r="B3964" s="5" t="s">
        <v>9878</v>
      </c>
      <c r="C3964" s="5" t="s">
        <v>29</v>
      </c>
      <c r="D3964" s="5" t="s">
        <v>30</v>
      </c>
      <c r="E3964" s="5" t="s">
        <v>183</v>
      </c>
      <c r="F3964" s="9">
        <v>56</v>
      </c>
      <c r="G3964" s="9">
        <v>677</v>
      </c>
      <c r="H3964" s="5" t="s">
        <v>21</v>
      </c>
      <c r="I3964" s="5" t="s">
        <v>9879</v>
      </c>
      <c r="J3964" s="12" t="str">
        <f>HYPERLINK("https://www.boe.es/gazeta/dias/1802/07/13/pdfs/GMD-1802-56.pdf#page=9","Abrir facsímil")</f>
        <v>Abrir facsímil</v>
      </c>
      <c r="K3964" s="15" t="s">
        <v>23</v>
      </c>
    </row>
    <row r="3965" spans="1:11" ht="42" customHeight="1">
      <c r="A3965" s="4" t="s">
        <v>9880</v>
      </c>
      <c r="B3965" s="5" t="s">
        <v>9881</v>
      </c>
      <c r="C3965" s="5" t="s">
        <v>18</v>
      </c>
      <c r="D3965" s="5" t="s">
        <v>19</v>
      </c>
      <c r="E3965" s="5" t="s">
        <v>20</v>
      </c>
      <c r="F3965" s="9">
        <v>84</v>
      </c>
      <c r="G3965" s="9">
        <v>1040</v>
      </c>
      <c r="H3965" s="5" t="s">
        <v>21</v>
      </c>
      <c r="I3965" s="5" t="s">
        <v>9882</v>
      </c>
      <c r="J3965" s="12" t="str">
        <f>HYPERLINK("https://www.boe.es/gazeta/dias/1802/10/15/pdfs/GMD-1802-84.pdf#page=8","Abrir facsímil")</f>
        <v>Abrir facsímil</v>
      </c>
      <c r="K3965" s="15" t="s">
        <v>23</v>
      </c>
    </row>
    <row r="3966" spans="1:11" ht="42" customHeight="1">
      <c r="A3966" s="4" t="s">
        <v>9883</v>
      </c>
      <c r="B3966" s="5" t="s">
        <v>9883</v>
      </c>
      <c r="C3966" s="5" t="s">
        <v>29</v>
      </c>
      <c r="D3966" s="5" t="s">
        <v>30</v>
      </c>
      <c r="E3966" s="5" t="s">
        <v>655</v>
      </c>
      <c r="F3966" s="9">
        <v>46</v>
      </c>
      <c r="G3966" s="9">
        <v>558</v>
      </c>
      <c r="H3966" s="5" t="s">
        <v>21</v>
      </c>
      <c r="I3966" s="5" t="s">
        <v>9884</v>
      </c>
      <c r="J3966" s="12" t="str">
        <f>HYPERLINK("https://www.boe.es/gazeta/dias/1802/06/08/pdfs/GMD-1802-46.pdf#page=10","Abrir facsímil")</f>
        <v>Abrir facsímil</v>
      </c>
      <c r="K3966" s="15" t="s">
        <v>23</v>
      </c>
    </row>
    <row r="3967" spans="1:11" ht="42" customHeight="1">
      <c r="A3967" s="4" t="s">
        <v>9885</v>
      </c>
      <c r="B3967" s="5" t="s">
        <v>9886</v>
      </c>
      <c r="C3967" s="5" t="s">
        <v>42</v>
      </c>
      <c r="D3967" s="5" t="s">
        <v>43</v>
      </c>
      <c r="E3967" s="5" t="s">
        <v>44</v>
      </c>
      <c r="F3967" s="9">
        <v>99</v>
      </c>
      <c r="G3967" s="9" t="s">
        <v>544</v>
      </c>
      <c r="H3967" s="5" t="s">
        <v>21</v>
      </c>
      <c r="I3967" s="5" t="s">
        <v>9887</v>
      </c>
      <c r="J3967" s="12" t="str">
        <f>HYPERLINK("https://www.boe.es/gazeta/dias/1802/12/07/pdfs/GMD-D-1802-99.pdf#page=11","Abrir facsímil")</f>
        <v>Abrir facsímil</v>
      </c>
      <c r="K3967" s="15" t="s">
        <v>23</v>
      </c>
    </row>
    <row r="3968" spans="1:11" ht="42" customHeight="1">
      <c r="A3968" s="4" t="s">
        <v>9888</v>
      </c>
      <c r="B3968" s="5" t="s">
        <v>9888</v>
      </c>
      <c r="C3968" s="5" t="s">
        <v>29</v>
      </c>
      <c r="D3968" s="5" t="s">
        <v>30</v>
      </c>
      <c r="E3968" s="5" t="s">
        <v>429</v>
      </c>
      <c r="F3968" s="9">
        <v>91</v>
      </c>
      <c r="G3968" s="9">
        <v>1123</v>
      </c>
      <c r="H3968" s="5" t="s">
        <v>21</v>
      </c>
      <c r="I3968" s="5" t="s">
        <v>9889</v>
      </c>
      <c r="J3968" s="12" t="str">
        <f>HYPERLINK("https://www.boe.es/gazeta/dias/1802/11/09/pdfs/GMD-1802-91.pdf#page=3","Abrir facsímil")</f>
        <v>Abrir facsímil</v>
      </c>
      <c r="K3968" s="15" t="s">
        <v>23</v>
      </c>
    </row>
    <row r="3969" spans="1:11" ht="42" customHeight="1">
      <c r="A3969" s="4" t="s">
        <v>9890</v>
      </c>
      <c r="B3969" s="5" t="s">
        <v>9890</v>
      </c>
      <c r="C3969" s="5" t="s">
        <v>35</v>
      </c>
      <c r="D3969" s="5" t="s">
        <v>36</v>
      </c>
      <c r="E3969" s="5" t="s">
        <v>60</v>
      </c>
      <c r="F3969" s="9">
        <v>5</v>
      </c>
      <c r="G3969" s="9">
        <v>48</v>
      </c>
      <c r="H3969" s="5" t="s">
        <v>21</v>
      </c>
      <c r="I3969" s="5" t="s">
        <v>9891</v>
      </c>
      <c r="J3969" s="12" t="str">
        <f>HYPERLINK("https://www.boe.es/gazeta/dias/1802/01/15/pdfs/GMD-1802-5.pdf#page=4","Abrir facsímil")</f>
        <v>Abrir facsímil</v>
      </c>
      <c r="K3969" s="15" t="s">
        <v>23</v>
      </c>
    </row>
    <row r="3970" spans="1:11" ht="42" customHeight="1">
      <c r="A3970" s="4" t="s">
        <v>9890</v>
      </c>
      <c r="B3970" s="5" t="s">
        <v>9890</v>
      </c>
      <c r="C3970" s="5" t="s">
        <v>35</v>
      </c>
      <c r="D3970" s="5" t="s">
        <v>36</v>
      </c>
      <c r="E3970" s="5" t="s">
        <v>219</v>
      </c>
      <c r="F3970" s="9">
        <v>81</v>
      </c>
      <c r="G3970" s="9">
        <v>992</v>
      </c>
      <c r="H3970" s="5" t="s">
        <v>21</v>
      </c>
      <c r="I3970" s="5" t="s">
        <v>9892</v>
      </c>
      <c r="J3970" s="12" t="str">
        <f>HYPERLINK("https://www.boe.es/gazeta/dias/1802/10/05/pdfs/GMD-1802-81.pdf#page=4","Abrir facsímil")</f>
        <v>Abrir facsímil</v>
      </c>
      <c r="K3970" s="15" t="s">
        <v>23</v>
      </c>
    </row>
    <row r="3971" spans="1:11" ht="42" customHeight="1">
      <c r="A3971" s="4" t="s">
        <v>9893</v>
      </c>
      <c r="B3971" s="5" t="s">
        <v>9894</v>
      </c>
      <c r="C3971" s="5" t="s">
        <v>29</v>
      </c>
      <c r="D3971" s="5" t="s">
        <v>30</v>
      </c>
      <c r="E3971" s="5" t="s">
        <v>907</v>
      </c>
      <c r="F3971" s="9">
        <v>77</v>
      </c>
      <c r="G3971" s="9">
        <v>950</v>
      </c>
      <c r="H3971" s="5" t="s">
        <v>21</v>
      </c>
      <c r="I3971" s="5" t="s">
        <v>9895</v>
      </c>
      <c r="J3971" s="12" t="str">
        <f>HYPERLINK("https://www.boe.es/gazeta/dias/1802/09/21/pdfs/GMD-1802-77.pdf#page=10","Abrir facsímil")</f>
        <v>Abrir facsímil</v>
      </c>
      <c r="K3971" s="15" t="s">
        <v>23</v>
      </c>
    </row>
    <row r="3972" spans="1:11" ht="42" customHeight="1">
      <c r="A3972" s="4" t="s">
        <v>9896</v>
      </c>
      <c r="B3972" s="5" t="s">
        <v>9897</v>
      </c>
      <c r="C3972" s="5" t="s">
        <v>18</v>
      </c>
      <c r="D3972" s="5" t="s">
        <v>19</v>
      </c>
      <c r="E3972" s="5" t="s">
        <v>152</v>
      </c>
      <c r="F3972" s="9">
        <v>25</v>
      </c>
      <c r="G3972" s="9">
        <v>284</v>
      </c>
      <c r="H3972" s="5" t="s">
        <v>21</v>
      </c>
      <c r="I3972" s="5" t="s">
        <v>9898</v>
      </c>
      <c r="J3972" s="12" t="str">
        <f>HYPERLINK("https://www.boe.es/gazeta/dias/1802/03/26/pdfs/GMD-1802-25.pdf#page=8","Abrir facsímil")</f>
        <v>Abrir facsímil</v>
      </c>
      <c r="K3972" s="15" t="s">
        <v>23</v>
      </c>
    </row>
    <row r="3973" spans="1:11" ht="42" customHeight="1">
      <c r="A3973" s="4" t="s">
        <v>9899</v>
      </c>
      <c r="B3973" s="5" t="s">
        <v>9900</v>
      </c>
      <c r="C3973" s="5" t="s">
        <v>29</v>
      </c>
      <c r="D3973" s="5" t="s">
        <v>30</v>
      </c>
      <c r="E3973" s="5" t="s">
        <v>49</v>
      </c>
      <c r="F3973" s="9">
        <v>83</v>
      </c>
      <c r="G3973" s="9">
        <v>1021</v>
      </c>
      <c r="H3973" s="5" t="s">
        <v>21</v>
      </c>
      <c r="I3973" s="5" t="s">
        <v>9901</v>
      </c>
      <c r="J3973" s="12" t="str">
        <f>HYPERLINK("https://www.boe.es/gazeta/dias/1802/10/12/pdfs/GMD-1802-83.pdf#page=9","Abrir facsímil")</f>
        <v>Abrir facsímil</v>
      </c>
      <c r="K3973" s="15" t="s">
        <v>23</v>
      </c>
    </row>
    <row r="3974" spans="1:11" ht="42" customHeight="1">
      <c r="A3974" s="4" t="s">
        <v>9902</v>
      </c>
      <c r="B3974" s="5" t="s">
        <v>9902</v>
      </c>
      <c r="C3974" s="5" t="s">
        <v>35</v>
      </c>
      <c r="D3974" s="5" t="s">
        <v>36</v>
      </c>
      <c r="E3974" s="5" t="s">
        <v>1264</v>
      </c>
      <c r="F3974" s="9">
        <v>105</v>
      </c>
      <c r="G3974" s="9">
        <v>1285</v>
      </c>
      <c r="H3974" s="5" t="s">
        <v>21</v>
      </c>
      <c r="I3974" s="5" t="s">
        <v>9903</v>
      </c>
      <c r="J3974" s="12" t="str">
        <f>HYPERLINK("https://www.boe.es/gazeta/dias/1802/12/28/pdfs/GMD-1802-105.pdf#page=9","Abrir facsímil")</f>
        <v>Abrir facsímil</v>
      </c>
      <c r="K3974" s="15" t="s">
        <v>23</v>
      </c>
    </row>
    <row r="3975" spans="1:11" ht="42" customHeight="1">
      <c r="A3975" s="4" t="s">
        <v>9904</v>
      </c>
      <c r="B3975" s="5" t="s">
        <v>9905</v>
      </c>
      <c r="C3975" s="5" t="s">
        <v>35</v>
      </c>
      <c r="D3975" s="5" t="s">
        <v>36</v>
      </c>
      <c r="E3975" s="5" t="s">
        <v>57</v>
      </c>
      <c r="F3975" s="9">
        <v>54</v>
      </c>
      <c r="G3975" s="9">
        <v>653</v>
      </c>
      <c r="H3975" s="5" t="s">
        <v>21</v>
      </c>
      <c r="I3975" s="5" t="s">
        <v>9906</v>
      </c>
      <c r="J3975" s="12" t="str">
        <f>HYPERLINK("https://www.boe.es/gazeta/dias/1802/07/06/pdfs/GMD-1802-54.pdf#page=9","Abrir facsímil")</f>
        <v>Abrir facsímil</v>
      </c>
      <c r="K3975" s="15" t="s">
        <v>23</v>
      </c>
    </row>
    <row r="3976" spans="1:11" ht="42" customHeight="1">
      <c r="A3976" s="4" t="s">
        <v>9907</v>
      </c>
      <c r="B3976" s="5" t="s">
        <v>9908</v>
      </c>
      <c r="C3976" s="5" t="s">
        <v>18</v>
      </c>
      <c r="D3976" s="5" t="s">
        <v>19</v>
      </c>
      <c r="E3976" s="5" t="s">
        <v>49</v>
      </c>
      <c r="F3976" s="9">
        <v>83</v>
      </c>
      <c r="G3976" s="9">
        <v>1023</v>
      </c>
      <c r="H3976" s="5" t="s">
        <v>21</v>
      </c>
      <c r="I3976" s="5" t="s">
        <v>9909</v>
      </c>
      <c r="J3976" s="12" t="str">
        <f>HYPERLINK("https://www.boe.es/gazeta/dias/1802/10/12/pdfs/GMD-1802-83.pdf#page=11","Abrir facsímil")</f>
        <v>Abrir facsímil</v>
      </c>
      <c r="K3976" s="15" t="s">
        <v>23</v>
      </c>
    </row>
    <row r="3977" spans="1:11" ht="42" customHeight="1">
      <c r="A3977" s="4" t="s">
        <v>9910</v>
      </c>
      <c r="B3977" s="5" t="s">
        <v>9910</v>
      </c>
      <c r="C3977" s="5" t="s">
        <v>35</v>
      </c>
      <c r="D3977" s="5" t="s">
        <v>36</v>
      </c>
      <c r="E3977" s="5" t="s">
        <v>86</v>
      </c>
      <c r="F3977" s="9">
        <v>26</v>
      </c>
      <c r="G3977" s="9">
        <v>294</v>
      </c>
      <c r="H3977" s="5" t="s">
        <v>21</v>
      </c>
      <c r="I3977" s="5" t="s">
        <v>9911</v>
      </c>
      <c r="J3977" s="12" t="str">
        <f>HYPERLINK("https://www.boe.es/gazeta/dias/1802/03/30/pdfs/GMD-1802-26.pdf#page=6","Abrir facsímil")</f>
        <v>Abrir facsímil</v>
      </c>
      <c r="K3977" s="15" t="s">
        <v>23</v>
      </c>
    </row>
    <row r="3978" spans="1:11" ht="42" customHeight="1">
      <c r="A3978" s="4" t="s">
        <v>9910</v>
      </c>
      <c r="B3978" s="5" t="s">
        <v>9910</v>
      </c>
      <c r="C3978" s="5" t="s">
        <v>35</v>
      </c>
      <c r="D3978" s="5" t="s">
        <v>36</v>
      </c>
      <c r="E3978" s="5" t="s">
        <v>172</v>
      </c>
      <c r="F3978" s="9">
        <v>35</v>
      </c>
      <c r="G3978" s="9">
        <v>407</v>
      </c>
      <c r="H3978" s="5" t="s">
        <v>21</v>
      </c>
      <c r="I3978" s="5" t="s">
        <v>9912</v>
      </c>
      <c r="J3978" s="12" t="str">
        <f>HYPERLINK("https://www.boe.es/gazeta/dias/1802/04/30/pdfs/GMD-1802-35.pdf#page=7","Abrir facsímil")</f>
        <v>Abrir facsímil</v>
      </c>
      <c r="K3978" s="15" t="s">
        <v>23</v>
      </c>
    </row>
    <row r="3979" spans="1:11" ht="42" customHeight="1">
      <c r="A3979" s="4" t="s">
        <v>9913</v>
      </c>
      <c r="B3979" s="5" t="s">
        <v>9913</v>
      </c>
      <c r="C3979" s="5" t="s">
        <v>35</v>
      </c>
      <c r="D3979" s="5" t="s">
        <v>36</v>
      </c>
      <c r="E3979" s="5" t="s">
        <v>148</v>
      </c>
      <c r="F3979" s="9">
        <v>66</v>
      </c>
      <c r="G3979" s="9">
        <v>807</v>
      </c>
      <c r="H3979" s="5" t="s">
        <v>21</v>
      </c>
      <c r="I3979" s="5" t="s">
        <v>9914</v>
      </c>
      <c r="J3979" s="12" t="str">
        <f>HYPERLINK("https://www.boe.es/gazeta/dias/1802/08/13/pdfs/GMD-1802-66.pdf#page=11","Abrir facsímil")</f>
        <v>Abrir facsímil</v>
      </c>
      <c r="K3979" s="15" t="s">
        <v>23</v>
      </c>
    </row>
    <row r="3980" spans="1:11" ht="42" customHeight="1">
      <c r="A3980" s="4" t="s">
        <v>9915</v>
      </c>
      <c r="B3980" s="5" t="s">
        <v>9915</v>
      </c>
      <c r="C3980" s="5" t="s">
        <v>18</v>
      </c>
      <c r="D3980" s="5" t="s">
        <v>19</v>
      </c>
      <c r="E3980" s="5" t="s">
        <v>907</v>
      </c>
      <c r="F3980" s="9">
        <v>77</v>
      </c>
      <c r="G3980" s="9">
        <v>951</v>
      </c>
      <c r="H3980" s="5" t="s">
        <v>21</v>
      </c>
      <c r="I3980" s="5" t="s">
        <v>9916</v>
      </c>
      <c r="J3980" s="12" t="str">
        <f>HYPERLINK("https://www.boe.es/gazeta/dias/1802/09/21/pdfs/GMD-1802-77.pdf#page=11","Abrir facsímil")</f>
        <v>Abrir facsímil</v>
      </c>
      <c r="K3980" s="15" t="s">
        <v>23</v>
      </c>
    </row>
    <row r="3981" spans="1:11" ht="42" customHeight="1">
      <c r="A3981" s="4" t="s">
        <v>9917</v>
      </c>
      <c r="B3981" s="5" t="s">
        <v>9917</v>
      </c>
      <c r="C3981" s="5" t="s">
        <v>90</v>
      </c>
      <c r="D3981" s="5" t="s">
        <v>91</v>
      </c>
      <c r="E3981" s="5" t="s">
        <v>60</v>
      </c>
      <c r="F3981" s="9">
        <v>5</v>
      </c>
      <c r="G3981" s="9">
        <v>50</v>
      </c>
      <c r="H3981" s="5" t="s">
        <v>21</v>
      </c>
      <c r="I3981" s="5" t="s">
        <v>9918</v>
      </c>
      <c r="J3981" s="12" t="str">
        <f>HYPERLINK("https://www.boe.es/gazeta/dias/1802/01/15/pdfs/GMD-1802-5.pdf#page=6","Abrir facsímil")</f>
        <v>Abrir facsímil</v>
      </c>
      <c r="K3981" s="15" t="s">
        <v>23</v>
      </c>
    </row>
    <row r="3982" spans="1:11" ht="42" customHeight="1">
      <c r="A3982" s="4" t="s">
        <v>9919</v>
      </c>
      <c r="B3982" s="5" t="s">
        <v>9919</v>
      </c>
      <c r="C3982" s="5" t="s">
        <v>18</v>
      </c>
      <c r="D3982" s="5" t="s">
        <v>19</v>
      </c>
      <c r="E3982" s="5" t="s">
        <v>128</v>
      </c>
      <c r="F3982" s="9">
        <v>9</v>
      </c>
      <c r="G3982" s="9">
        <v>88</v>
      </c>
      <c r="H3982" s="5" t="s">
        <v>21</v>
      </c>
      <c r="I3982" s="5" t="s">
        <v>9920</v>
      </c>
      <c r="J3982" s="12" t="str">
        <f>HYPERLINK("https://www.boe.es/gazeta/dias/1802/01/29/pdfs/GMD-1802-9.pdf#page=8","Abrir facsímil")</f>
        <v>Abrir facsímil</v>
      </c>
      <c r="K3982" s="15" t="s">
        <v>23</v>
      </c>
    </row>
    <row r="3983" spans="1:11" ht="42" customHeight="1">
      <c r="A3983" s="4" t="s">
        <v>9921</v>
      </c>
      <c r="B3983" s="5" t="s">
        <v>9921</v>
      </c>
      <c r="C3983" s="5" t="s">
        <v>18</v>
      </c>
      <c r="D3983" s="5" t="s">
        <v>19</v>
      </c>
      <c r="E3983" s="5" t="s">
        <v>196</v>
      </c>
      <c r="F3983" s="9">
        <v>2</v>
      </c>
      <c r="G3983" s="9">
        <v>12</v>
      </c>
      <c r="H3983" s="5" t="s">
        <v>21</v>
      </c>
      <c r="I3983" s="5" t="s">
        <v>9922</v>
      </c>
      <c r="J3983" s="12" t="str">
        <f>HYPERLINK("https://www.boe.es/gazeta/dias/1802/01/05/pdfs/GMD-1802-2.pdf#page=4","Abrir facsímil")</f>
        <v>Abrir facsímil</v>
      </c>
      <c r="K3983" s="15" t="s">
        <v>23</v>
      </c>
    </row>
    <row r="3984" spans="1:11" ht="42" customHeight="1">
      <c r="A3984" s="4" t="s">
        <v>9923</v>
      </c>
      <c r="B3984" s="5" t="s">
        <v>9923</v>
      </c>
      <c r="C3984" s="5" t="s">
        <v>18</v>
      </c>
      <c r="D3984" s="5" t="s">
        <v>19</v>
      </c>
      <c r="E3984" s="5" t="s">
        <v>604</v>
      </c>
      <c r="F3984" s="9">
        <v>100</v>
      </c>
      <c r="G3984" s="9">
        <v>1236</v>
      </c>
      <c r="H3984" s="5" t="s">
        <v>21</v>
      </c>
      <c r="I3984" s="5" t="s">
        <v>9924</v>
      </c>
      <c r="J3984" s="12" t="str">
        <f>HYPERLINK("https://www.boe.es/gazeta/dias/1802/12/10/pdfs/GMD-1802-100.pdf#page=8","Abrir facsímil")</f>
        <v>Abrir facsímil</v>
      </c>
      <c r="K3984" s="15" t="s">
        <v>23</v>
      </c>
    </row>
    <row r="3985" spans="1:11" ht="42" customHeight="1">
      <c r="A3985" s="4" t="s">
        <v>9925</v>
      </c>
      <c r="B3985" s="5" t="s">
        <v>9926</v>
      </c>
      <c r="C3985" s="5" t="s">
        <v>90</v>
      </c>
      <c r="D3985" s="5" t="s">
        <v>91</v>
      </c>
      <c r="E3985" s="5" t="s">
        <v>128</v>
      </c>
      <c r="F3985" s="9">
        <v>9</v>
      </c>
      <c r="G3985" s="9">
        <v>89</v>
      </c>
      <c r="H3985" s="5" t="s">
        <v>21</v>
      </c>
      <c r="I3985" s="5" t="s">
        <v>9927</v>
      </c>
      <c r="J3985" s="12" t="str">
        <f>HYPERLINK("https://www.boe.es/gazeta/dias/1802/01/29/pdfs/GMD-1802-9.pdf#page=9","Abrir facsímil")</f>
        <v>Abrir facsímil</v>
      </c>
      <c r="K3985" s="15" t="s">
        <v>23</v>
      </c>
    </row>
    <row r="3986" spans="1:11" ht="42" customHeight="1">
      <c r="A3986" s="4" t="s">
        <v>9928</v>
      </c>
      <c r="B3986" s="5" t="s">
        <v>9929</v>
      </c>
      <c r="C3986" s="5" t="s">
        <v>29</v>
      </c>
      <c r="D3986" s="5" t="s">
        <v>30</v>
      </c>
      <c r="E3986" s="5" t="s">
        <v>1332</v>
      </c>
      <c r="F3986" s="9">
        <v>4</v>
      </c>
      <c r="G3986" s="9">
        <v>29</v>
      </c>
      <c r="H3986" s="5" t="s">
        <v>21</v>
      </c>
      <c r="I3986" s="5" t="s">
        <v>9930</v>
      </c>
      <c r="J3986" s="12" t="str">
        <f>HYPERLINK("https://www.boe.es/gazeta/dias/1802/01/12/pdfs/GMD-1802-4.pdf#page=1","Abrir facsímil")</f>
        <v>Abrir facsímil</v>
      </c>
      <c r="K3986" s="15" t="s">
        <v>23</v>
      </c>
    </row>
    <row r="3987" spans="1:11" ht="42" customHeight="1">
      <c r="A3987" s="4" t="s">
        <v>9931</v>
      </c>
      <c r="B3987" s="5" t="s">
        <v>9931</v>
      </c>
      <c r="C3987" s="5" t="s">
        <v>18</v>
      </c>
      <c r="D3987" s="5" t="s">
        <v>19</v>
      </c>
      <c r="E3987" s="5" t="s">
        <v>678</v>
      </c>
      <c r="F3987" s="9">
        <v>15</v>
      </c>
      <c r="G3987" s="9">
        <v>158</v>
      </c>
      <c r="H3987" s="5" t="s">
        <v>21</v>
      </c>
      <c r="I3987" s="5" t="s">
        <v>9932</v>
      </c>
      <c r="J3987" s="12" t="str">
        <f>HYPERLINK("https://www.boe.es/gazeta/dias/1802/02/19/pdfs/GMD-1802-15.pdf#page=10","Abrir facsímil")</f>
        <v>Abrir facsímil</v>
      </c>
      <c r="K3987" s="15" t="s">
        <v>23</v>
      </c>
    </row>
    <row r="3988" spans="1:11" ht="42" customHeight="1">
      <c r="A3988" s="4" t="s">
        <v>9933</v>
      </c>
      <c r="B3988" s="5" t="s">
        <v>9933</v>
      </c>
      <c r="C3988" s="5" t="s">
        <v>18</v>
      </c>
      <c r="D3988" s="5" t="s">
        <v>19</v>
      </c>
      <c r="E3988" s="5" t="s">
        <v>49</v>
      </c>
      <c r="F3988" s="9">
        <v>83</v>
      </c>
      <c r="G3988" s="9">
        <v>1023</v>
      </c>
      <c r="H3988" s="5" t="s">
        <v>21</v>
      </c>
      <c r="I3988" s="5" t="s">
        <v>9934</v>
      </c>
      <c r="J3988" s="12" t="str">
        <f>HYPERLINK("https://www.boe.es/gazeta/dias/1802/10/12/pdfs/GMD-1802-83.pdf#page=11","Abrir facsímil")</f>
        <v>Abrir facsímil</v>
      </c>
      <c r="K3988" s="15" t="s">
        <v>23</v>
      </c>
    </row>
    <row r="3989" spans="1:11" ht="42" customHeight="1">
      <c r="A3989" s="4" t="s">
        <v>9935</v>
      </c>
      <c r="B3989" s="5" t="s">
        <v>9935</v>
      </c>
      <c r="C3989" s="5" t="s">
        <v>18</v>
      </c>
      <c r="D3989" s="5" t="s">
        <v>19</v>
      </c>
      <c r="E3989" s="5" t="s">
        <v>49</v>
      </c>
      <c r="F3989" s="9">
        <v>83</v>
      </c>
      <c r="G3989" s="9">
        <v>1025</v>
      </c>
      <c r="H3989" s="5" t="s">
        <v>21</v>
      </c>
      <c r="I3989" s="5" t="s">
        <v>9936</v>
      </c>
      <c r="J3989" s="12" t="str">
        <f>HYPERLINK("https://www.boe.es/gazeta/dias/1802/10/12/pdfs/GMD-1802-83.pdf#page=13","Abrir facsímil")</f>
        <v>Abrir facsímil</v>
      </c>
      <c r="K3989" s="15" t="s">
        <v>23</v>
      </c>
    </row>
    <row r="3990" spans="1:11" ht="42" customHeight="1">
      <c r="A3990" s="4" t="s">
        <v>9937</v>
      </c>
      <c r="B3990" s="5" t="s">
        <v>9937</v>
      </c>
      <c r="C3990" s="5" t="s">
        <v>35</v>
      </c>
      <c r="D3990" s="5" t="s">
        <v>36</v>
      </c>
      <c r="E3990" s="5" t="s">
        <v>148</v>
      </c>
      <c r="F3990" s="9">
        <v>66</v>
      </c>
      <c r="G3990" s="9">
        <v>807</v>
      </c>
      <c r="H3990" s="5" t="s">
        <v>21</v>
      </c>
      <c r="I3990" s="5" t="s">
        <v>9938</v>
      </c>
      <c r="J3990" s="12" t="str">
        <f>HYPERLINK("https://www.boe.es/gazeta/dias/1802/08/13/pdfs/GMD-1802-66.pdf#page=11","Abrir facsímil")</f>
        <v>Abrir facsímil</v>
      </c>
      <c r="K3990" s="15" t="s">
        <v>23</v>
      </c>
    </row>
    <row r="3991" spans="1:11" ht="42" customHeight="1">
      <c r="A3991" s="4" t="s">
        <v>9939</v>
      </c>
      <c r="B3991" s="5" t="s">
        <v>9939</v>
      </c>
      <c r="C3991" s="5" t="s">
        <v>90</v>
      </c>
      <c r="D3991" s="5" t="s">
        <v>91</v>
      </c>
      <c r="E3991" s="5" t="s">
        <v>678</v>
      </c>
      <c r="F3991" s="9">
        <v>15</v>
      </c>
      <c r="G3991" s="9">
        <v>158</v>
      </c>
      <c r="H3991" s="5" t="s">
        <v>21</v>
      </c>
      <c r="I3991" s="5" t="s">
        <v>9940</v>
      </c>
      <c r="J3991" s="12" t="str">
        <f>HYPERLINK("https://www.boe.es/gazeta/dias/1802/02/19/pdfs/GMD-1802-15.pdf#page=10","Abrir facsímil")</f>
        <v>Abrir facsímil</v>
      </c>
      <c r="K3991" s="15" t="s">
        <v>23</v>
      </c>
    </row>
    <row r="3992" spans="1:11" ht="42" customHeight="1">
      <c r="A3992" s="4" t="s">
        <v>9941</v>
      </c>
      <c r="B3992" s="5" t="s">
        <v>9942</v>
      </c>
      <c r="C3992" s="5" t="s">
        <v>35</v>
      </c>
      <c r="D3992" s="5" t="s">
        <v>36</v>
      </c>
      <c r="E3992" s="5" t="s">
        <v>109</v>
      </c>
      <c r="F3992" s="9">
        <v>10</v>
      </c>
      <c r="G3992" s="9">
        <v>97</v>
      </c>
      <c r="H3992" s="5" t="s">
        <v>21</v>
      </c>
      <c r="I3992" s="5" t="s">
        <v>9943</v>
      </c>
      <c r="J3992" s="12" t="str">
        <f>HYPERLINK("https://www.boe.es/gazeta/dias/1802/02/02/pdfs/GMD-1802-10.pdf#page=5","Abrir facsímil")</f>
        <v>Abrir facsímil</v>
      </c>
      <c r="K3992" s="15" t="s">
        <v>23</v>
      </c>
    </row>
    <row r="3993" spans="1:11" ht="42" customHeight="1">
      <c r="A3993" s="4" t="s">
        <v>9944</v>
      </c>
      <c r="B3993" s="5" t="s">
        <v>9945</v>
      </c>
      <c r="C3993" s="5" t="s">
        <v>29</v>
      </c>
      <c r="D3993" s="5" t="s">
        <v>30</v>
      </c>
      <c r="E3993" s="5" t="s">
        <v>339</v>
      </c>
      <c r="F3993" s="9">
        <v>39</v>
      </c>
      <c r="G3993" s="9">
        <v>462</v>
      </c>
      <c r="H3993" s="5" t="s">
        <v>21</v>
      </c>
      <c r="I3993" s="5" t="s">
        <v>9946</v>
      </c>
      <c r="J3993" s="12" t="str">
        <f>HYPERLINK("https://www.boe.es/gazeta/dias/1802/05/14/pdfs/GMD-1802-39.pdf#page=6","Abrir facsímil")</f>
        <v>Abrir facsímil</v>
      </c>
      <c r="K3993" s="15" t="s">
        <v>23</v>
      </c>
    </row>
    <row r="3994" spans="1:11" ht="42" customHeight="1">
      <c r="A3994" s="4" t="s">
        <v>9947</v>
      </c>
      <c r="B3994" s="5" t="s">
        <v>9947</v>
      </c>
      <c r="C3994" s="5" t="s">
        <v>18</v>
      </c>
      <c r="D3994" s="5" t="s">
        <v>19</v>
      </c>
      <c r="E3994" s="5" t="s">
        <v>1185</v>
      </c>
      <c r="F3994" s="9">
        <v>93</v>
      </c>
      <c r="G3994" s="9">
        <v>1151</v>
      </c>
      <c r="H3994" s="5" t="s">
        <v>21</v>
      </c>
      <c r="I3994" s="5" t="s">
        <v>9948</v>
      </c>
      <c r="J3994" s="12" t="str">
        <f>HYPERLINK("https://www.boe.es/gazeta/dias/1802/11/16/pdfs/GMD-1802-93.pdf#page=11","Abrir facsímil")</f>
        <v>Abrir facsímil</v>
      </c>
      <c r="K3994" s="15" t="s">
        <v>23</v>
      </c>
    </row>
    <row r="3995" spans="1:11" ht="42" customHeight="1">
      <c r="A3995" s="4" t="s">
        <v>9949</v>
      </c>
      <c r="B3995" s="5" t="s">
        <v>9949</v>
      </c>
      <c r="C3995" s="5" t="s">
        <v>35</v>
      </c>
      <c r="D3995" s="5" t="s">
        <v>36</v>
      </c>
      <c r="E3995" s="5" t="s">
        <v>247</v>
      </c>
      <c r="F3995" s="9">
        <v>14</v>
      </c>
      <c r="G3995" s="9">
        <v>144</v>
      </c>
      <c r="H3995" s="5" t="s">
        <v>21</v>
      </c>
      <c r="I3995" s="5" t="s">
        <v>9950</v>
      </c>
      <c r="J3995" s="12" t="str">
        <f>HYPERLINK("https://www.boe.es/gazeta/dias/1802/02/16/pdfs/GMD-1802-14.pdf#page=8","Abrir facsímil")</f>
        <v>Abrir facsímil</v>
      </c>
      <c r="K3995" s="15" t="s">
        <v>23</v>
      </c>
    </row>
    <row r="3996" spans="1:11" ht="42" customHeight="1">
      <c r="A3996" s="4" t="s">
        <v>9951</v>
      </c>
      <c r="B3996" s="5" t="s">
        <v>9951</v>
      </c>
      <c r="C3996" s="5" t="s">
        <v>29</v>
      </c>
      <c r="D3996" s="5" t="s">
        <v>30</v>
      </c>
      <c r="E3996" s="5" t="s">
        <v>146</v>
      </c>
      <c r="F3996" s="9">
        <v>42</v>
      </c>
      <c r="G3996" s="9">
        <v>504</v>
      </c>
      <c r="H3996" s="5" t="s">
        <v>21</v>
      </c>
      <c r="I3996" s="5" t="s">
        <v>9952</v>
      </c>
      <c r="J3996" s="12" t="str">
        <f>HYPERLINK("https://www.boe.es/gazeta/dias/1802/05/25/pdfs/GMD-1802-42.pdf#page=8","Abrir facsímil")</f>
        <v>Abrir facsímil</v>
      </c>
      <c r="K3996" s="15" t="s">
        <v>23</v>
      </c>
    </row>
    <row r="3997" spans="1:11" ht="42" customHeight="1">
      <c r="A3997" s="4" t="s">
        <v>9953</v>
      </c>
      <c r="B3997" s="5" t="s">
        <v>9954</v>
      </c>
      <c r="C3997" s="5" t="s">
        <v>35</v>
      </c>
      <c r="D3997" s="5" t="s">
        <v>36</v>
      </c>
      <c r="E3997" s="5" t="s">
        <v>148</v>
      </c>
      <c r="F3997" s="9">
        <v>66</v>
      </c>
      <c r="G3997" s="9">
        <v>801</v>
      </c>
      <c r="H3997" s="5" t="s">
        <v>21</v>
      </c>
      <c r="I3997" s="5" t="s">
        <v>9955</v>
      </c>
      <c r="J3997" s="12" t="str">
        <f>HYPERLINK("https://www.boe.es/gazeta/dias/1802/08/13/pdfs/GMD-1802-66.pdf#page=5","Abrir facsímil")</f>
        <v>Abrir facsímil</v>
      </c>
      <c r="K3997" s="15" t="s">
        <v>23</v>
      </c>
    </row>
    <row r="3998" spans="1:11" ht="42" customHeight="1">
      <c r="A3998" s="4" t="s">
        <v>9956</v>
      </c>
      <c r="B3998" s="5" t="s">
        <v>9956</v>
      </c>
      <c r="C3998" s="5" t="s">
        <v>18</v>
      </c>
      <c r="D3998" s="5" t="s">
        <v>19</v>
      </c>
      <c r="E3998" s="5" t="s">
        <v>49</v>
      </c>
      <c r="F3998" s="9">
        <v>83</v>
      </c>
      <c r="G3998" s="9">
        <v>1024</v>
      </c>
      <c r="H3998" s="5" t="s">
        <v>21</v>
      </c>
      <c r="I3998" s="5" t="s">
        <v>9957</v>
      </c>
      <c r="J3998" s="12" t="str">
        <f>HYPERLINK("https://www.boe.es/gazeta/dias/1802/10/12/pdfs/GMD-1802-83.pdf#page=12","Abrir facsímil")</f>
        <v>Abrir facsímil</v>
      </c>
      <c r="K3998" s="15" t="s">
        <v>23</v>
      </c>
    </row>
    <row r="3999" spans="1:11" ht="42" customHeight="1">
      <c r="A3999" s="4" t="s">
        <v>9958</v>
      </c>
      <c r="B3999" s="5" t="s">
        <v>9958</v>
      </c>
      <c r="C3999" s="5" t="s">
        <v>18</v>
      </c>
      <c r="D3999" s="5" t="s">
        <v>19</v>
      </c>
      <c r="E3999" s="5" t="s">
        <v>49</v>
      </c>
      <c r="F3999" s="9">
        <v>83</v>
      </c>
      <c r="G3999" s="9">
        <v>1024</v>
      </c>
      <c r="H3999" s="5" t="s">
        <v>21</v>
      </c>
      <c r="I3999" s="5" t="s">
        <v>9959</v>
      </c>
      <c r="J3999" s="12" t="str">
        <f>HYPERLINK("https://www.boe.es/gazeta/dias/1802/10/12/pdfs/GMD-1802-83.pdf#page=12","Abrir facsímil")</f>
        <v>Abrir facsímil</v>
      </c>
      <c r="K3999" s="15" t="s">
        <v>23</v>
      </c>
    </row>
    <row r="4000" spans="1:11" ht="42" customHeight="1">
      <c r="A4000" s="4" t="s">
        <v>9960</v>
      </c>
      <c r="B4000" s="5" t="s">
        <v>9960</v>
      </c>
      <c r="C4000" s="5" t="s">
        <v>35</v>
      </c>
      <c r="D4000" s="5" t="s">
        <v>36</v>
      </c>
      <c r="E4000" s="5" t="s">
        <v>436</v>
      </c>
      <c r="F4000" s="9">
        <v>58</v>
      </c>
      <c r="G4000" s="9">
        <v>696</v>
      </c>
      <c r="H4000" s="5" t="s">
        <v>21</v>
      </c>
      <c r="I4000" s="5" t="s">
        <v>9961</v>
      </c>
      <c r="J4000" s="12" t="str">
        <f>HYPERLINK("https://www.boe.es/gazeta/dias/1802/07/20/pdfs/GMD-1802-58.pdf#page=4","Abrir facsímil")</f>
        <v>Abrir facsímil</v>
      </c>
      <c r="K4000" s="15" t="s">
        <v>23</v>
      </c>
    </row>
    <row r="4001" spans="1:11" ht="42" customHeight="1">
      <c r="A4001" s="4" t="s">
        <v>9962</v>
      </c>
      <c r="B4001" s="5" t="s">
        <v>9962</v>
      </c>
      <c r="C4001" s="5" t="s">
        <v>35</v>
      </c>
      <c r="D4001" s="5" t="s">
        <v>36</v>
      </c>
      <c r="E4001" s="5" t="s">
        <v>823</v>
      </c>
      <c r="F4001" s="9">
        <v>94</v>
      </c>
      <c r="G4001" s="9">
        <v>1163</v>
      </c>
      <c r="H4001" s="5" t="s">
        <v>21</v>
      </c>
      <c r="I4001" s="5" t="s">
        <v>9963</v>
      </c>
      <c r="J4001" s="12" t="str">
        <f>HYPERLINK("https://www.boe.es/gazeta/dias/1802/11/19/pdfs/GMD-1802-94.pdf#page=11","Abrir facsímil")</f>
        <v>Abrir facsímil</v>
      </c>
      <c r="K4001" s="15" t="s">
        <v>23</v>
      </c>
    </row>
    <row r="4002" spans="1:11" ht="42" customHeight="1">
      <c r="A4002" s="4" t="s">
        <v>9964</v>
      </c>
      <c r="B4002" s="5" t="s">
        <v>9964</v>
      </c>
      <c r="C4002" s="5" t="s">
        <v>18</v>
      </c>
      <c r="D4002" s="5" t="s">
        <v>19</v>
      </c>
      <c r="E4002" s="5" t="s">
        <v>439</v>
      </c>
      <c r="F4002" s="9">
        <v>76</v>
      </c>
      <c r="G4002" s="9">
        <v>939</v>
      </c>
      <c r="H4002" s="5" t="s">
        <v>21</v>
      </c>
      <c r="I4002" s="5" t="s">
        <v>9965</v>
      </c>
      <c r="J4002" s="12" t="str">
        <f>HYPERLINK("https://www.boe.es/gazeta/dias/1802/09/17/pdfs/GMD-1802-76.pdf#page=11","Abrir facsímil")</f>
        <v>Abrir facsímil</v>
      </c>
      <c r="K4002" s="15" t="s">
        <v>23</v>
      </c>
    </row>
    <row r="4003" spans="1:11" ht="42" customHeight="1">
      <c r="A4003" s="4" t="s">
        <v>9966</v>
      </c>
      <c r="B4003" s="5" t="s">
        <v>9966</v>
      </c>
      <c r="C4003" s="5" t="s">
        <v>18</v>
      </c>
      <c r="D4003" s="5" t="s">
        <v>19</v>
      </c>
      <c r="E4003" s="5" t="s">
        <v>49</v>
      </c>
      <c r="F4003" s="9">
        <v>83</v>
      </c>
      <c r="G4003" s="9">
        <v>1022</v>
      </c>
      <c r="H4003" s="5" t="s">
        <v>21</v>
      </c>
      <c r="I4003" s="5" t="s">
        <v>9967</v>
      </c>
      <c r="J4003" s="12" t="str">
        <f>HYPERLINK("https://www.boe.es/gazeta/dias/1802/10/12/pdfs/GMD-1802-83.pdf#page=10","Abrir facsímil")</f>
        <v>Abrir facsímil</v>
      </c>
      <c r="K4003" s="15" t="s">
        <v>23</v>
      </c>
    </row>
    <row r="4004" spans="1:11" ht="42" customHeight="1">
      <c r="A4004" s="4" t="s">
        <v>9968</v>
      </c>
      <c r="B4004" s="5" t="s">
        <v>9968</v>
      </c>
      <c r="C4004" s="5" t="s">
        <v>18</v>
      </c>
      <c r="D4004" s="5" t="s">
        <v>19</v>
      </c>
      <c r="E4004" s="5" t="s">
        <v>75</v>
      </c>
      <c r="F4004" s="9">
        <v>103</v>
      </c>
      <c r="G4004" s="9">
        <v>1263</v>
      </c>
      <c r="H4004" s="5" t="s">
        <v>21</v>
      </c>
      <c r="I4004" s="5" t="s">
        <v>9969</v>
      </c>
      <c r="J4004" s="12" t="str">
        <f>HYPERLINK("https://www.boe.es/gazeta/dias/1802/12/21/pdfs/GMD-1802-103.pdf#page=7","Abrir facsímil")</f>
        <v>Abrir facsímil</v>
      </c>
      <c r="K4004" s="15" t="s">
        <v>23</v>
      </c>
    </row>
    <row r="4005" spans="1:11" ht="42" customHeight="1">
      <c r="A4005" s="4" t="s">
        <v>9970</v>
      </c>
      <c r="B4005" s="5" t="s">
        <v>9971</v>
      </c>
      <c r="C4005" s="5" t="s">
        <v>90</v>
      </c>
      <c r="D4005" s="5" t="s">
        <v>91</v>
      </c>
      <c r="E4005" s="5" t="s">
        <v>574</v>
      </c>
      <c r="F4005" s="9" t="s">
        <v>575</v>
      </c>
      <c r="G4005" s="9">
        <v>705</v>
      </c>
      <c r="H4005" s="5" t="s">
        <v>21</v>
      </c>
      <c r="I4005" s="5" t="s">
        <v>9972</v>
      </c>
      <c r="J4005" s="12" t="str">
        <f>HYPERLINK("https://www.boe.es/gazeta/dias/1802/07/21/pdfs/GMD-1802-59E.pdf#page=1","Abrir facsímil")</f>
        <v>Abrir facsímil</v>
      </c>
      <c r="K4005" s="15" t="s">
        <v>23</v>
      </c>
    </row>
    <row r="4006" spans="1:11" ht="42" customHeight="1">
      <c r="A4006" s="4" t="s">
        <v>9973</v>
      </c>
      <c r="B4006" s="5" t="s">
        <v>9973</v>
      </c>
      <c r="C4006" s="5" t="s">
        <v>29</v>
      </c>
      <c r="D4006" s="5" t="s">
        <v>30</v>
      </c>
      <c r="E4006" s="5" t="s">
        <v>49</v>
      </c>
      <c r="F4006" s="9">
        <v>83</v>
      </c>
      <c r="G4006" s="9">
        <v>1019</v>
      </c>
      <c r="H4006" s="5" t="s">
        <v>21</v>
      </c>
      <c r="I4006" s="5" t="s">
        <v>9974</v>
      </c>
      <c r="J4006" s="12" t="str">
        <f>HYPERLINK("https://www.boe.es/gazeta/dias/1802/10/12/pdfs/GMD-1802-83.pdf#page=7","Abrir facsímil")</f>
        <v>Abrir facsímil</v>
      </c>
      <c r="K4006" s="15" t="s">
        <v>23</v>
      </c>
    </row>
    <row r="4007" spans="1:11" ht="42" customHeight="1">
      <c r="A4007" s="4" t="s">
        <v>9975</v>
      </c>
      <c r="B4007" s="5" t="s">
        <v>9975</v>
      </c>
      <c r="C4007" s="5" t="s">
        <v>18</v>
      </c>
      <c r="D4007" s="5" t="s">
        <v>19</v>
      </c>
      <c r="E4007" s="5" t="s">
        <v>49</v>
      </c>
      <c r="F4007" s="9">
        <v>83</v>
      </c>
      <c r="G4007" s="9">
        <v>1024</v>
      </c>
      <c r="H4007" s="5" t="s">
        <v>21</v>
      </c>
      <c r="I4007" s="5" t="s">
        <v>9976</v>
      </c>
      <c r="J4007" s="12" t="str">
        <f>HYPERLINK("https://www.boe.es/gazeta/dias/1802/10/12/pdfs/GMD-1802-83.pdf#page=12","Abrir facsímil")</f>
        <v>Abrir facsímil</v>
      </c>
      <c r="K4007" s="15" t="s">
        <v>23</v>
      </c>
    </row>
    <row r="4008" spans="1:11" ht="42" customHeight="1">
      <c r="A4008" s="4" t="s">
        <v>9977</v>
      </c>
      <c r="B4008" s="5" t="s">
        <v>9977</v>
      </c>
      <c r="C4008" s="5" t="s">
        <v>29</v>
      </c>
      <c r="D4008" s="5" t="s">
        <v>30</v>
      </c>
      <c r="E4008" s="5" t="s">
        <v>102</v>
      </c>
      <c r="F4008" s="9">
        <v>73</v>
      </c>
      <c r="G4008" s="9">
        <v>901</v>
      </c>
      <c r="H4008" s="5" t="s">
        <v>21</v>
      </c>
      <c r="I4008" s="5" t="s">
        <v>9978</v>
      </c>
      <c r="J4008" s="12" t="str">
        <f>HYPERLINK("https://www.boe.es/gazeta/dias/1802/09/07/pdfs/GMD-1802-73.pdf#page=9","Abrir facsímil")</f>
        <v>Abrir facsímil</v>
      </c>
      <c r="K4008" s="15" t="s">
        <v>23</v>
      </c>
    </row>
    <row r="4009" spans="1:11" ht="42" customHeight="1">
      <c r="A4009" s="4" t="s">
        <v>9979</v>
      </c>
      <c r="B4009" s="5" t="s">
        <v>9979</v>
      </c>
      <c r="C4009" s="5" t="s">
        <v>90</v>
      </c>
      <c r="D4009" s="5" t="s">
        <v>91</v>
      </c>
      <c r="E4009" s="5" t="s">
        <v>128</v>
      </c>
      <c r="F4009" s="9">
        <v>9</v>
      </c>
      <c r="G4009" s="9">
        <v>87</v>
      </c>
      <c r="H4009" s="5" t="s">
        <v>21</v>
      </c>
      <c r="I4009" s="5" t="s">
        <v>9980</v>
      </c>
      <c r="J4009" s="12" t="str">
        <f>HYPERLINK("https://www.boe.es/gazeta/dias/1802/01/29/pdfs/GMD-1802-9.pdf#page=7","Abrir facsímil")</f>
        <v>Abrir facsímil</v>
      </c>
      <c r="K4009" s="15" t="s">
        <v>23</v>
      </c>
    </row>
    <row r="4010" spans="1:11" ht="42" customHeight="1">
      <c r="A4010" s="4" t="s">
        <v>9981</v>
      </c>
      <c r="B4010" s="5" t="s">
        <v>9981</v>
      </c>
      <c r="C4010" s="5" t="s">
        <v>35</v>
      </c>
      <c r="D4010" s="5" t="s">
        <v>36</v>
      </c>
      <c r="E4010" s="5" t="s">
        <v>590</v>
      </c>
      <c r="F4010" s="9">
        <v>38</v>
      </c>
      <c r="G4010" s="9">
        <v>445</v>
      </c>
      <c r="H4010" s="5" t="s">
        <v>21</v>
      </c>
      <c r="I4010" s="5" t="s">
        <v>9982</v>
      </c>
      <c r="J4010" s="12" t="str">
        <f>HYPERLINK("https://www.boe.es/gazeta/dias/1802/05/11/pdfs/GMD-1802-38.pdf#page=1","Abrir facsímil")</f>
        <v>Abrir facsímil</v>
      </c>
      <c r="K4010" s="15" t="s">
        <v>23</v>
      </c>
    </row>
    <row r="4011" spans="1:11" ht="42" customHeight="1">
      <c r="A4011" s="4" t="s">
        <v>9979</v>
      </c>
      <c r="B4011" s="5" t="s">
        <v>9979</v>
      </c>
      <c r="C4011" s="5" t="s">
        <v>29</v>
      </c>
      <c r="D4011" s="5" t="s">
        <v>30</v>
      </c>
      <c r="E4011" s="5" t="s">
        <v>436</v>
      </c>
      <c r="F4011" s="9">
        <v>58</v>
      </c>
      <c r="G4011" s="9">
        <v>693</v>
      </c>
      <c r="H4011" s="5" t="s">
        <v>21</v>
      </c>
      <c r="I4011" s="5" t="s">
        <v>9983</v>
      </c>
      <c r="J4011" s="12" t="str">
        <f>HYPERLINK("https://www.boe.es/gazeta/dias/1802/07/20/pdfs/GMD-1802-58.pdf#page=1","Abrir facsímil")</f>
        <v>Abrir facsímil</v>
      </c>
      <c r="K4011" s="15" t="s">
        <v>23</v>
      </c>
    </row>
    <row r="4012" spans="1:11" ht="42" customHeight="1">
      <c r="A4012" s="4" t="s">
        <v>9984</v>
      </c>
      <c r="B4012" s="5" t="s">
        <v>9985</v>
      </c>
      <c r="C4012" s="5" t="s">
        <v>35</v>
      </c>
      <c r="D4012" s="5" t="s">
        <v>36</v>
      </c>
      <c r="E4012" s="5" t="s">
        <v>1097</v>
      </c>
      <c r="F4012" s="9">
        <v>20</v>
      </c>
      <c r="G4012" s="9">
        <v>214</v>
      </c>
      <c r="H4012" s="5" t="s">
        <v>21</v>
      </c>
      <c r="I4012" s="5" t="s">
        <v>9986</v>
      </c>
      <c r="J4012" s="12" t="str">
        <f>HYPERLINK("https://www.boe.es/gazeta/dias/1802/03/09/pdfs/GMD-1802-20.pdf#page=2","Abrir facsímil")</f>
        <v>Abrir facsímil</v>
      </c>
      <c r="K4012" s="15" t="s">
        <v>23</v>
      </c>
    </row>
    <row r="4013" spans="1:11" ht="42" customHeight="1">
      <c r="A4013" s="4" t="s">
        <v>9987</v>
      </c>
      <c r="B4013" s="5" t="s">
        <v>9987</v>
      </c>
      <c r="C4013" s="5" t="s">
        <v>35</v>
      </c>
      <c r="D4013" s="5" t="s">
        <v>36</v>
      </c>
      <c r="E4013" s="5" t="s">
        <v>92</v>
      </c>
      <c r="F4013" s="9">
        <v>29</v>
      </c>
      <c r="G4013" s="9">
        <v>333</v>
      </c>
      <c r="H4013" s="5" t="s">
        <v>21</v>
      </c>
      <c r="I4013" s="5" t="s">
        <v>9988</v>
      </c>
      <c r="J4013" s="12" t="str">
        <f>HYPERLINK("https://www.boe.es/gazeta/dias/1802/04/09/pdfs/GMD-1802-29.pdf#page=1","Abrir facsímil")</f>
        <v>Abrir facsímil</v>
      </c>
      <c r="K4013" s="15" t="s">
        <v>23</v>
      </c>
    </row>
    <row r="4014" spans="1:11" ht="42" customHeight="1">
      <c r="A4014" s="4" t="s">
        <v>9987</v>
      </c>
      <c r="B4014" s="5" t="s">
        <v>9987</v>
      </c>
      <c r="C4014" s="5" t="s">
        <v>160</v>
      </c>
      <c r="D4014" s="5" t="s">
        <v>91</v>
      </c>
      <c r="E4014" s="5" t="s">
        <v>590</v>
      </c>
      <c r="F4014" s="9">
        <v>38</v>
      </c>
      <c r="G4014" s="9">
        <v>445</v>
      </c>
      <c r="H4014" s="5" t="s">
        <v>21</v>
      </c>
      <c r="I4014" s="5" t="s">
        <v>9989</v>
      </c>
      <c r="J4014" s="12" t="str">
        <f>HYPERLINK("https://www.boe.es/gazeta/dias/1802/05/11/pdfs/GMD-1802-38.pdf#page=1","Abrir facsímil")</f>
        <v>Abrir facsímil</v>
      </c>
      <c r="K4014" s="15" t="s">
        <v>23</v>
      </c>
    </row>
    <row r="4015" spans="1:11" ht="42" customHeight="1">
      <c r="A4015" s="4" t="s">
        <v>9990</v>
      </c>
      <c r="B4015" s="5" t="s">
        <v>9991</v>
      </c>
      <c r="C4015" s="5" t="s">
        <v>35</v>
      </c>
      <c r="D4015" s="5" t="s">
        <v>36</v>
      </c>
      <c r="E4015" s="5" t="s">
        <v>172</v>
      </c>
      <c r="F4015" s="9">
        <v>35</v>
      </c>
      <c r="G4015" s="9">
        <v>404</v>
      </c>
      <c r="H4015" s="5" t="s">
        <v>21</v>
      </c>
      <c r="I4015" s="5" t="s">
        <v>9992</v>
      </c>
      <c r="J4015" s="12" t="str">
        <f>HYPERLINK("https://www.boe.es/gazeta/dias/1802/04/30/pdfs/GMD-1802-35.pdf#page=4","Abrir facsímil")</f>
        <v>Abrir facsímil</v>
      </c>
      <c r="K4015" s="15" t="s">
        <v>23</v>
      </c>
    </row>
    <row r="4016" spans="1:11" ht="42" customHeight="1">
      <c r="A4016" s="4" t="s">
        <v>9993</v>
      </c>
      <c r="B4016" s="5" t="s">
        <v>9993</v>
      </c>
      <c r="C4016" s="5" t="s">
        <v>35</v>
      </c>
      <c r="D4016" s="5" t="s">
        <v>36</v>
      </c>
      <c r="E4016" s="5" t="s">
        <v>1407</v>
      </c>
      <c r="F4016" s="9">
        <v>8</v>
      </c>
      <c r="G4016" s="9">
        <v>77</v>
      </c>
      <c r="H4016" s="5" t="s">
        <v>21</v>
      </c>
      <c r="I4016" s="5" t="s">
        <v>9994</v>
      </c>
      <c r="J4016" s="12" t="str">
        <f>HYPERLINK("https://www.boe.es/gazeta/dias/1802/01/26/pdfs/GMD-1802-8.pdf#page=5","Abrir facsímil")</f>
        <v>Abrir facsímil</v>
      </c>
      <c r="K4016" s="15" t="s">
        <v>23</v>
      </c>
    </row>
    <row r="4017" spans="1:11" ht="42" customHeight="1">
      <c r="A4017" s="4" t="s">
        <v>9993</v>
      </c>
      <c r="B4017" s="5" t="s">
        <v>9993</v>
      </c>
      <c r="C4017" s="5" t="s">
        <v>18</v>
      </c>
      <c r="D4017" s="5" t="s">
        <v>19</v>
      </c>
      <c r="E4017" s="5" t="s">
        <v>1097</v>
      </c>
      <c r="F4017" s="9">
        <v>20</v>
      </c>
      <c r="G4017" s="9">
        <v>220</v>
      </c>
      <c r="H4017" s="5" t="s">
        <v>21</v>
      </c>
      <c r="I4017" s="5" t="s">
        <v>9995</v>
      </c>
      <c r="J4017" s="12" t="str">
        <f>HYPERLINK("https://www.boe.es/gazeta/dias/1802/03/09/pdfs/GMD-1802-20.pdf#page=8","Abrir facsímil")</f>
        <v>Abrir facsímil</v>
      </c>
      <c r="K4017" s="15" t="s">
        <v>23</v>
      </c>
    </row>
    <row r="4018" spans="1:11" ht="42" customHeight="1">
      <c r="A4018" s="4" t="s">
        <v>9993</v>
      </c>
      <c r="B4018" s="5" t="s">
        <v>9993</v>
      </c>
      <c r="C4018" s="5" t="s">
        <v>35</v>
      </c>
      <c r="D4018" s="5" t="s">
        <v>36</v>
      </c>
      <c r="E4018" s="5" t="s">
        <v>232</v>
      </c>
      <c r="F4018" s="9">
        <v>30</v>
      </c>
      <c r="G4018" s="9">
        <v>347</v>
      </c>
      <c r="H4018" s="5" t="s">
        <v>21</v>
      </c>
      <c r="I4018" s="5" t="s">
        <v>9996</v>
      </c>
      <c r="J4018" s="12" t="str">
        <f>HYPERLINK("https://www.boe.es/gazeta/dias/1802/04/13/pdfs/GMD-1802-30.pdf#page=3","Abrir facsímil")</f>
        <v>Abrir facsímil</v>
      </c>
      <c r="K4018" s="15" t="s">
        <v>23</v>
      </c>
    </row>
    <row r="4019" spans="1:11" ht="42" customHeight="1">
      <c r="A4019" s="4" t="s">
        <v>9993</v>
      </c>
      <c r="B4019" s="5" t="s">
        <v>9993</v>
      </c>
      <c r="C4019" s="5" t="s">
        <v>29</v>
      </c>
      <c r="D4019" s="5" t="s">
        <v>30</v>
      </c>
      <c r="E4019" s="5" t="s">
        <v>192</v>
      </c>
      <c r="F4019" s="9">
        <v>53</v>
      </c>
      <c r="G4019" s="9">
        <v>636</v>
      </c>
      <c r="H4019" s="5" t="s">
        <v>21</v>
      </c>
      <c r="I4019" s="5" t="s">
        <v>9997</v>
      </c>
      <c r="J4019" s="12" t="str">
        <f>HYPERLINK("https://www.boe.es/gazeta/dias/1802/07/02/pdfs/GMD-1802-53.pdf#page=4","Abrir facsímil")</f>
        <v>Abrir facsímil</v>
      </c>
      <c r="K4019" s="15" t="s">
        <v>23</v>
      </c>
    </row>
    <row r="4020" spans="1:11" ht="42" customHeight="1">
      <c r="A4020" s="4" t="s">
        <v>9993</v>
      </c>
      <c r="B4020" s="5" t="s">
        <v>9993</v>
      </c>
      <c r="C4020" s="5" t="s">
        <v>35</v>
      </c>
      <c r="D4020" s="5" t="s">
        <v>36</v>
      </c>
      <c r="E4020" s="5" t="s">
        <v>57</v>
      </c>
      <c r="F4020" s="9">
        <v>54</v>
      </c>
      <c r="G4020" s="9">
        <v>647</v>
      </c>
      <c r="H4020" s="5" t="s">
        <v>21</v>
      </c>
      <c r="I4020" s="5" t="s">
        <v>9998</v>
      </c>
      <c r="J4020" s="12" t="str">
        <f>HYPERLINK("https://www.boe.es/gazeta/dias/1802/07/06/pdfs/GMD-1802-54.pdf#page=3","Abrir facsímil")</f>
        <v>Abrir facsímil</v>
      </c>
      <c r="K4020" s="15" t="s">
        <v>23</v>
      </c>
    </row>
    <row r="4021" spans="1:11" ht="42" customHeight="1">
      <c r="A4021" s="4" t="s">
        <v>9999</v>
      </c>
      <c r="B4021" s="5" t="s">
        <v>9999</v>
      </c>
      <c r="C4021" s="5" t="s">
        <v>29</v>
      </c>
      <c r="D4021" s="5" t="s">
        <v>30</v>
      </c>
      <c r="E4021" s="5" t="s">
        <v>142</v>
      </c>
      <c r="F4021" s="9">
        <v>64</v>
      </c>
      <c r="G4021" s="9">
        <v>776</v>
      </c>
      <c r="H4021" s="5" t="s">
        <v>21</v>
      </c>
      <c r="I4021" s="5" t="s">
        <v>10000</v>
      </c>
      <c r="J4021" s="12" t="str">
        <f>HYPERLINK("https://www.boe.es/gazeta/dias/1802/08/06/pdfs/GMD-1802-64.pdf#page=4","Abrir facsímil")</f>
        <v>Abrir facsímil</v>
      </c>
      <c r="K4021" s="15" t="s">
        <v>23</v>
      </c>
    </row>
    <row r="4022" spans="1:11" ht="42" customHeight="1">
      <c r="A4022" s="4" t="s">
        <v>9993</v>
      </c>
      <c r="B4022" s="5" t="s">
        <v>9993</v>
      </c>
      <c r="C4022" s="5" t="s">
        <v>29</v>
      </c>
      <c r="D4022" s="5" t="s">
        <v>30</v>
      </c>
      <c r="E4022" s="5" t="s">
        <v>385</v>
      </c>
      <c r="F4022" s="9">
        <v>70</v>
      </c>
      <c r="G4022" s="9">
        <v>857</v>
      </c>
      <c r="H4022" s="5" t="s">
        <v>21</v>
      </c>
      <c r="I4022" s="5" t="s">
        <v>10001</v>
      </c>
      <c r="J4022" s="12" t="str">
        <f>HYPERLINK("https://www.boe.es/gazeta/dias/1802/08/27/pdfs/GMD-1802-70.pdf#page=5","Abrir facsímil")</f>
        <v>Abrir facsímil</v>
      </c>
      <c r="K4022" s="15" t="s">
        <v>23</v>
      </c>
    </row>
    <row r="4023" spans="1:11" ht="42" customHeight="1">
      <c r="A4023" s="4" t="s">
        <v>9993</v>
      </c>
      <c r="B4023" s="5" t="s">
        <v>9993</v>
      </c>
      <c r="C4023" s="5" t="s">
        <v>29</v>
      </c>
      <c r="D4023" s="5" t="s">
        <v>30</v>
      </c>
      <c r="E4023" s="5" t="s">
        <v>823</v>
      </c>
      <c r="F4023" s="9">
        <v>94</v>
      </c>
      <c r="G4023" s="9">
        <v>1156</v>
      </c>
      <c r="H4023" s="5" t="s">
        <v>21</v>
      </c>
      <c r="I4023" s="5" t="s">
        <v>10002</v>
      </c>
      <c r="J4023" s="12" t="str">
        <f>HYPERLINK("https://www.boe.es/gazeta/dias/1802/11/19/pdfs/GMD-1802-94.pdf#page=4","Abrir facsímil")</f>
        <v>Abrir facsímil</v>
      </c>
      <c r="K4023" s="15" t="s">
        <v>23</v>
      </c>
    </row>
    <row r="4024" spans="1:11" ht="42" customHeight="1">
      <c r="A4024" s="4" t="s">
        <v>10003</v>
      </c>
      <c r="B4024" s="5" t="s">
        <v>10003</v>
      </c>
      <c r="C4024" s="5" t="s">
        <v>18</v>
      </c>
      <c r="D4024" s="5" t="s">
        <v>19</v>
      </c>
      <c r="E4024" s="5" t="s">
        <v>20</v>
      </c>
      <c r="F4024" s="9">
        <v>84</v>
      </c>
      <c r="G4024" s="9">
        <v>1040</v>
      </c>
      <c r="H4024" s="5" t="s">
        <v>21</v>
      </c>
      <c r="I4024" s="5" t="s">
        <v>10004</v>
      </c>
      <c r="J4024" s="12" t="str">
        <f>HYPERLINK("https://www.boe.es/gazeta/dias/1802/10/15/pdfs/GMD-1802-84.pdf#page=8","Abrir facsímil")</f>
        <v>Abrir facsímil</v>
      </c>
      <c r="K4024" s="15" t="s">
        <v>23</v>
      </c>
    </row>
    <row r="4025" spans="1:11" ht="42" customHeight="1">
      <c r="A4025" s="4" t="s">
        <v>10005</v>
      </c>
      <c r="B4025" s="5" t="s">
        <v>10005</v>
      </c>
      <c r="C4025" s="5" t="s">
        <v>18</v>
      </c>
      <c r="D4025" s="5" t="s">
        <v>19</v>
      </c>
      <c r="E4025" s="5" t="s">
        <v>826</v>
      </c>
      <c r="F4025" s="9">
        <v>67</v>
      </c>
      <c r="G4025" s="9">
        <v>818</v>
      </c>
      <c r="H4025" s="5" t="s">
        <v>21</v>
      </c>
      <c r="I4025" s="5" t="s">
        <v>10006</v>
      </c>
      <c r="J4025" s="12" t="str">
        <f>HYPERLINK("https://www.boe.es/gazeta/dias/1802/08/17/pdfs/GMD-1802-67.pdf#page=6","Abrir facsímil")</f>
        <v>Abrir facsímil</v>
      </c>
      <c r="K4025" s="15" t="s">
        <v>23</v>
      </c>
    </row>
    <row r="4026" spans="1:11" ht="42" customHeight="1">
      <c r="A4026" s="4" t="s">
        <v>10007</v>
      </c>
      <c r="B4026" s="5" t="s">
        <v>10007</v>
      </c>
      <c r="C4026" s="5" t="s">
        <v>160</v>
      </c>
      <c r="D4026" s="5" t="s">
        <v>91</v>
      </c>
      <c r="E4026" s="5" t="s">
        <v>20</v>
      </c>
      <c r="F4026" s="9">
        <v>84</v>
      </c>
      <c r="G4026" s="9">
        <v>1044</v>
      </c>
      <c r="H4026" s="5" t="s">
        <v>21</v>
      </c>
      <c r="I4026" s="5" t="s">
        <v>10008</v>
      </c>
      <c r="J4026" s="12" t="str">
        <f>HYPERLINK("https://www.boe.es/gazeta/dias/1802/10/15/pdfs/GMD-1802-84.pdf#page=12","Abrir facsímil")</f>
        <v>Abrir facsímil</v>
      </c>
      <c r="K4026" s="15" t="s">
        <v>23</v>
      </c>
    </row>
    <row r="4027" spans="1:11" ht="42" customHeight="1">
      <c r="A4027" s="4" t="s">
        <v>10009</v>
      </c>
      <c r="B4027" s="5" t="s">
        <v>10010</v>
      </c>
      <c r="C4027" s="5" t="s">
        <v>18</v>
      </c>
      <c r="D4027" s="5" t="s">
        <v>19</v>
      </c>
      <c r="E4027" s="5" t="s">
        <v>20</v>
      </c>
      <c r="F4027" s="9">
        <v>84</v>
      </c>
      <c r="G4027" s="9">
        <v>1042</v>
      </c>
      <c r="H4027" s="5" t="s">
        <v>21</v>
      </c>
      <c r="I4027" s="5" t="s">
        <v>10011</v>
      </c>
      <c r="J4027" s="12" t="str">
        <f>HYPERLINK("https://www.boe.es/gazeta/dias/1802/10/15/pdfs/GMD-1802-84.pdf#page=10","Abrir facsímil")</f>
        <v>Abrir facsímil</v>
      </c>
      <c r="K4027" s="15" t="s">
        <v>23</v>
      </c>
    </row>
    <row r="4028" spans="1:11" ht="42" customHeight="1">
      <c r="A4028" s="4" t="s">
        <v>10012</v>
      </c>
      <c r="B4028" s="5" t="s">
        <v>10013</v>
      </c>
      <c r="C4028" s="5" t="s">
        <v>35</v>
      </c>
      <c r="D4028" s="5" t="s">
        <v>36</v>
      </c>
      <c r="E4028" s="5" t="s">
        <v>146</v>
      </c>
      <c r="F4028" s="9">
        <v>42</v>
      </c>
      <c r="G4028" s="9">
        <v>502</v>
      </c>
      <c r="H4028" s="5" t="s">
        <v>21</v>
      </c>
      <c r="I4028" s="5" t="s">
        <v>10014</v>
      </c>
      <c r="J4028" s="12" t="str">
        <f>HYPERLINK("https://www.boe.es/gazeta/dias/1802/05/25/pdfs/GMD-1802-42.pdf#page=6","Abrir facsímil")</f>
        <v>Abrir facsímil</v>
      </c>
      <c r="K4028" s="15" t="s">
        <v>23</v>
      </c>
    </row>
    <row r="4029" spans="1:11" ht="42" customHeight="1">
      <c r="A4029" s="4" t="s">
        <v>10015</v>
      </c>
      <c r="B4029" s="5" t="s">
        <v>10015</v>
      </c>
      <c r="C4029" s="5" t="s">
        <v>18</v>
      </c>
      <c r="D4029" s="5" t="s">
        <v>19</v>
      </c>
      <c r="E4029" s="5" t="s">
        <v>192</v>
      </c>
      <c r="F4029" s="9">
        <v>53</v>
      </c>
      <c r="G4029" s="9">
        <v>641</v>
      </c>
      <c r="H4029" s="5" t="s">
        <v>21</v>
      </c>
      <c r="I4029" s="5" t="s">
        <v>10016</v>
      </c>
      <c r="J4029" s="12" t="str">
        <f>HYPERLINK("https://www.boe.es/gazeta/dias/1802/07/02/pdfs/GMD-1802-53.pdf#page=9","Abrir facsímil")</f>
        <v>Abrir facsímil</v>
      </c>
      <c r="K4029" s="15" t="s">
        <v>23</v>
      </c>
    </row>
    <row r="4030" spans="1:11" ht="42" customHeight="1">
      <c r="A4030" s="4" t="s">
        <v>10017</v>
      </c>
      <c r="B4030" s="5" t="s">
        <v>10017</v>
      </c>
      <c r="C4030" s="5" t="s">
        <v>29</v>
      </c>
      <c r="D4030" s="5" t="s">
        <v>30</v>
      </c>
      <c r="E4030" s="5" t="s">
        <v>678</v>
      </c>
      <c r="F4030" s="9">
        <v>15</v>
      </c>
      <c r="G4030" s="9">
        <v>157</v>
      </c>
      <c r="H4030" s="5" t="s">
        <v>21</v>
      </c>
      <c r="I4030" s="5" t="s">
        <v>10018</v>
      </c>
      <c r="J4030" s="12" t="str">
        <f>HYPERLINK("https://www.boe.es/gazeta/dias/1802/02/19/pdfs/GMD-1802-15.pdf#page=9","Abrir facsímil")</f>
        <v>Abrir facsímil</v>
      </c>
      <c r="K4030" s="15" t="s">
        <v>23</v>
      </c>
    </row>
    <row r="4031" spans="1:11" ht="42" customHeight="1">
      <c r="A4031" s="4" t="s">
        <v>10019</v>
      </c>
      <c r="B4031" s="5" t="s">
        <v>10019</v>
      </c>
      <c r="C4031" s="5" t="s">
        <v>29</v>
      </c>
      <c r="D4031" s="5" t="s">
        <v>30</v>
      </c>
      <c r="E4031" s="5" t="s">
        <v>1097</v>
      </c>
      <c r="F4031" s="9">
        <v>20</v>
      </c>
      <c r="G4031" s="9">
        <v>221</v>
      </c>
      <c r="H4031" s="5" t="s">
        <v>21</v>
      </c>
      <c r="I4031" s="5" t="s">
        <v>10020</v>
      </c>
      <c r="J4031" s="12" t="str">
        <f>HYPERLINK("https://www.boe.es/gazeta/dias/1802/03/09/pdfs/GMD-1802-20.pdf#page=9","Abrir facsímil")</f>
        <v>Abrir facsímil</v>
      </c>
      <c r="K4031" s="15" t="s">
        <v>23</v>
      </c>
    </row>
    <row r="4032" spans="1:11" ht="42" customHeight="1">
      <c r="A4032" s="4" t="s">
        <v>10021</v>
      </c>
      <c r="B4032" s="5" t="s">
        <v>10021</v>
      </c>
      <c r="C4032" s="5" t="s">
        <v>18</v>
      </c>
      <c r="D4032" s="5" t="s">
        <v>19</v>
      </c>
      <c r="E4032" s="5" t="s">
        <v>20</v>
      </c>
      <c r="F4032" s="9">
        <v>84</v>
      </c>
      <c r="G4032" s="9">
        <v>1045</v>
      </c>
      <c r="H4032" s="5" t="s">
        <v>21</v>
      </c>
      <c r="I4032" s="5" t="s">
        <v>10022</v>
      </c>
      <c r="J4032" s="12" t="str">
        <f>HYPERLINK("https://www.boe.es/gazeta/dias/1802/10/15/pdfs/GMD-1802-84.pdf#page=13","Abrir facsímil")</f>
        <v>Abrir facsímil</v>
      </c>
      <c r="K4032" s="15" t="s">
        <v>23</v>
      </c>
    </row>
    <row r="4033" spans="1:11" ht="42" customHeight="1">
      <c r="A4033" s="4" t="s">
        <v>10023</v>
      </c>
      <c r="B4033" s="5" t="s">
        <v>10023</v>
      </c>
      <c r="C4033" s="5" t="s">
        <v>160</v>
      </c>
      <c r="D4033" s="5" t="s">
        <v>91</v>
      </c>
      <c r="E4033" s="5" t="s">
        <v>71</v>
      </c>
      <c r="F4033" s="9">
        <v>21</v>
      </c>
      <c r="G4033" s="9">
        <v>234</v>
      </c>
      <c r="H4033" s="5" t="s">
        <v>21</v>
      </c>
      <c r="I4033" s="5" t="s">
        <v>10024</v>
      </c>
      <c r="J4033" s="12" t="str">
        <f>HYPERLINK("https://www.boe.es/gazeta/dias/1802/03/12/pdfs/GMD-1802-21.pdf#page=10","Abrir facsímil")</f>
        <v>Abrir facsímil</v>
      </c>
      <c r="K4033" s="15" t="s">
        <v>23</v>
      </c>
    </row>
    <row r="4034" spans="1:11" ht="42" customHeight="1">
      <c r="A4034" s="4" t="s">
        <v>10025</v>
      </c>
      <c r="B4034" s="5" t="s">
        <v>10025</v>
      </c>
      <c r="C4034" s="5" t="s">
        <v>18</v>
      </c>
      <c r="D4034" s="5" t="s">
        <v>19</v>
      </c>
      <c r="E4034" s="5" t="s">
        <v>206</v>
      </c>
      <c r="F4034" s="9">
        <v>22</v>
      </c>
      <c r="G4034" s="9">
        <v>242</v>
      </c>
      <c r="H4034" s="5" t="s">
        <v>21</v>
      </c>
      <c r="I4034" s="5" t="s">
        <v>10026</v>
      </c>
      <c r="J4034" s="12" t="str">
        <f>HYPERLINK("https://www.boe.es/gazeta/dias/1802/03/16/pdfs/GMD-1802-22.pdf#page=10","Abrir facsímil")</f>
        <v>Abrir facsímil</v>
      </c>
      <c r="K4034" s="15" t="s">
        <v>23</v>
      </c>
    </row>
    <row r="4035" spans="1:11" ht="42" customHeight="1">
      <c r="A4035" s="4" t="s">
        <v>10027</v>
      </c>
      <c r="B4035" s="5" t="s">
        <v>10027</v>
      </c>
      <c r="C4035" s="5" t="s">
        <v>29</v>
      </c>
      <c r="D4035" s="5" t="s">
        <v>30</v>
      </c>
      <c r="E4035" s="5" t="s">
        <v>131</v>
      </c>
      <c r="F4035" s="9">
        <v>11</v>
      </c>
      <c r="G4035" s="9">
        <v>114</v>
      </c>
      <c r="H4035" s="5" t="s">
        <v>21</v>
      </c>
      <c r="I4035" s="5" t="s">
        <v>10028</v>
      </c>
      <c r="J4035" s="12" t="str">
        <f>HYPERLINK("https://www.boe.es/gazeta/dias/1802/02/05/pdfs/GMD-1802-11.pdf#page=10","Abrir facsímil")</f>
        <v>Abrir facsímil</v>
      </c>
      <c r="K4035" s="15" t="s">
        <v>23</v>
      </c>
    </row>
    <row r="4036" spans="1:11" ht="42" customHeight="1">
      <c r="A4036" s="4" t="s">
        <v>10029</v>
      </c>
      <c r="B4036" s="5" t="s">
        <v>10029</v>
      </c>
      <c r="C4036" s="5" t="s">
        <v>90</v>
      </c>
      <c r="D4036" s="5" t="s">
        <v>91</v>
      </c>
      <c r="E4036" s="5" t="s">
        <v>172</v>
      </c>
      <c r="F4036" s="9">
        <v>35</v>
      </c>
      <c r="G4036" s="9">
        <v>414</v>
      </c>
      <c r="H4036" s="5" t="s">
        <v>21</v>
      </c>
      <c r="I4036" s="5" t="s">
        <v>10030</v>
      </c>
      <c r="J4036" s="12" t="str">
        <f>HYPERLINK("https://www.boe.es/gazeta/dias/1802/04/30/pdfs/GMD-1802-35.pdf#page=14","Abrir facsímil")</f>
        <v>Abrir facsímil</v>
      </c>
      <c r="K4036" s="15" t="s">
        <v>23</v>
      </c>
    </row>
    <row r="4037" spans="1:11" ht="42" customHeight="1">
      <c r="A4037" s="4" t="s">
        <v>10031</v>
      </c>
      <c r="B4037" s="5" t="s">
        <v>10031</v>
      </c>
      <c r="C4037" s="5" t="s">
        <v>29</v>
      </c>
      <c r="D4037" s="5" t="s">
        <v>30</v>
      </c>
      <c r="E4037" s="5" t="s">
        <v>131</v>
      </c>
      <c r="F4037" s="9">
        <v>11</v>
      </c>
      <c r="G4037" s="9">
        <v>114</v>
      </c>
      <c r="H4037" s="5" t="s">
        <v>21</v>
      </c>
      <c r="I4037" s="5" t="s">
        <v>10032</v>
      </c>
      <c r="J4037" s="12" t="str">
        <f>HYPERLINK("https://www.boe.es/gazeta/dias/1802/02/05/pdfs/GMD-1802-11.pdf#page=10","Abrir facsímil")</f>
        <v>Abrir facsímil</v>
      </c>
      <c r="K4037" s="15" t="s">
        <v>23</v>
      </c>
    </row>
    <row r="4038" spans="1:11" ht="42" customHeight="1">
      <c r="A4038" s="4" t="s">
        <v>10033</v>
      </c>
      <c r="B4038" s="5" t="s">
        <v>10034</v>
      </c>
      <c r="C4038" s="5" t="s">
        <v>18</v>
      </c>
      <c r="D4038" s="5" t="s">
        <v>19</v>
      </c>
      <c r="E4038" s="5" t="s">
        <v>1588</v>
      </c>
      <c r="F4038" s="9">
        <v>18</v>
      </c>
      <c r="G4038" s="9">
        <v>197</v>
      </c>
      <c r="H4038" s="5" t="s">
        <v>21</v>
      </c>
      <c r="I4038" s="5" t="s">
        <v>10035</v>
      </c>
      <c r="J4038" s="12" t="str">
        <f>HYPERLINK("https://www.boe.es/gazeta/dias/1802/03/02/pdfs/GMD-1802-18.pdf#page=9","Abrir facsímil")</f>
        <v>Abrir facsímil</v>
      </c>
      <c r="K4038" s="15" t="s">
        <v>23</v>
      </c>
    </row>
    <row r="4039" spans="1:11" ht="42" customHeight="1">
      <c r="A4039" s="4" t="s">
        <v>10036</v>
      </c>
      <c r="B4039" s="5" t="s">
        <v>10036</v>
      </c>
      <c r="C4039" s="5" t="s">
        <v>29</v>
      </c>
      <c r="D4039" s="5" t="s">
        <v>30</v>
      </c>
      <c r="E4039" s="5" t="s">
        <v>754</v>
      </c>
      <c r="F4039" s="9">
        <v>101</v>
      </c>
      <c r="G4039" s="9">
        <v>1242</v>
      </c>
      <c r="H4039" s="5" t="s">
        <v>21</v>
      </c>
      <c r="I4039" s="5" t="s">
        <v>10037</v>
      </c>
      <c r="J4039" s="12" t="str">
        <f>HYPERLINK("https://www.boe.es/gazeta/dias/1802/12/14/pdfs/GMD-1802-101.pdf#page=6","Abrir facsímil")</f>
        <v>Abrir facsímil</v>
      </c>
      <c r="K4039" s="15" t="s">
        <v>23</v>
      </c>
    </row>
    <row r="4040" spans="1:11" ht="42" customHeight="1">
      <c r="A4040" s="4" t="s">
        <v>10038</v>
      </c>
      <c r="B4040" s="5" t="s">
        <v>10038</v>
      </c>
      <c r="C4040" s="5" t="s">
        <v>18</v>
      </c>
      <c r="D4040" s="5" t="s">
        <v>19</v>
      </c>
      <c r="E4040" s="5" t="s">
        <v>20</v>
      </c>
      <c r="F4040" s="9">
        <v>84</v>
      </c>
      <c r="G4040" s="9">
        <v>1045</v>
      </c>
      <c r="H4040" s="5" t="s">
        <v>21</v>
      </c>
      <c r="I4040" s="5" t="s">
        <v>10039</v>
      </c>
      <c r="J4040" s="12" t="str">
        <f>HYPERLINK("https://www.boe.es/gazeta/dias/1802/10/15/pdfs/GMD-1802-84.pdf#page=13","Abrir facsímil")</f>
        <v>Abrir facsímil</v>
      </c>
      <c r="K4040" s="15" t="s">
        <v>23</v>
      </c>
    </row>
    <row r="4041" spans="1:11" ht="42" customHeight="1">
      <c r="A4041" s="4" t="s">
        <v>10040</v>
      </c>
      <c r="B4041" s="5" t="s">
        <v>10040</v>
      </c>
      <c r="C4041" s="5" t="s">
        <v>18</v>
      </c>
      <c r="D4041" s="5" t="s">
        <v>19</v>
      </c>
      <c r="E4041" s="5" t="s">
        <v>49</v>
      </c>
      <c r="F4041" s="9">
        <v>83</v>
      </c>
      <c r="G4041" s="9">
        <v>1023</v>
      </c>
      <c r="H4041" s="5" t="s">
        <v>21</v>
      </c>
      <c r="I4041" s="5" t="s">
        <v>10041</v>
      </c>
      <c r="J4041" s="12" t="str">
        <f>HYPERLINK("https://www.boe.es/gazeta/dias/1802/10/12/pdfs/GMD-1802-83.pdf#page=11","Abrir facsímil")</f>
        <v>Abrir facsímil</v>
      </c>
      <c r="K4041" s="15" t="s">
        <v>23</v>
      </c>
    </row>
    <row r="4042" spans="1:11" ht="42" customHeight="1">
      <c r="A4042" s="4" t="s">
        <v>10042</v>
      </c>
      <c r="B4042" s="5" t="s">
        <v>10042</v>
      </c>
      <c r="C4042" s="5" t="s">
        <v>29</v>
      </c>
      <c r="D4042" s="5" t="s">
        <v>30</v>
      </c>
      <c r="E4042" s="5" t="s">
        <v>49</v>
      </c>
      <c r="F4042" s="9">
        <v>83</v>
      </c>
      <c r="G4042" s="9">
        <v>1021</v>
      </c>
      <c r="H4042" s="5" t="s">
        <v>21</v>
      </c>
      <c r="I4042" s="5" t="s">
        <v>10043</v>
      </c>
      <c r="J4042" s="12" t="str">
        <f>HYPERLINK("https://www.boe.es/gazeta/dias/1802/10/12/pdfs/GMD-1802-83.pdf#page=9","Abrir facsímil")</f>
        <v>Abrir facsímil</v>
      </c>
      <c r="K4042" s="15" t="s">
        <v>23</v>
      </c>
    </row>
    <row r="4043" spans="1:11" ht="42" customHeight="1">
      <c r="A4043" s="4" t="s">
        <v>10044</v>
      </c>
      <c r="B4043" s="5" t="s">
        <v>10044</v>
      </c>
      <c r="C4043" s="5" t="s">
        <v>18</v>
      </c>
      <c r="D4043" s="5" t="s">
        <v>19</v>
      </c>
      <c r="E4043" s="5" t="s">
        <v>20</v>
      </c>
      <c r="F4043" s="9">
        <v>84</v>
      </c>
      <c r="G4043" s="9">
        <v>1043</v>
      </c>
      <c r="H4043" s="5" t="s">
        <v>21</v>
      </c>
      <c r="I4043" s="5" t="s">
        <v>10045</v>
      </c>
      <c r="J4043" s="12" t="str">
        <f>HYPERLINK("https://www.boe.es/gazeta/dias/1802/10/15/pdfs/GMD-1802-84.pdf#page=11","Abrir facsímil")</f>
        <v>Abrir facsímil</v>
      </c>
      <c r="K4043" s="15" t="s">
        <v>23</v>
      </c>
    </row>
    <row r="4044" spans="1:11" ht="42" customHeight="1">
      <c r="A4044" s="4" t="s">
        <v>10046</v>
      </c>
      <c r="B4044" s="5" t="s">
        <v>10046</v>
      </c>
      <c r="C4044" s="5" t="s">
        <v>42</v>
      </c>
      <c r="D4044" s="5" t="s">
        <v>43</v>
      </c>
      <c r="E4044" s="5" t="s">
        <v>44</v>
      </c>
      <c r="F4044" s="9">
        <v>99</v>
      </c>
      <c r="G4044" s="9" t="s">
        <v>272</v>
      </c>
      <c r="H4044" s="5" t="s">
        <v>21</v>
      </c>
      <c r="I4044" s="5" t="s">
        <v>10047</v>
      </c>
      <c r="J4044" s="12" t="str">
        <f>HYPERLINK("https://www.boe.es/gazeta/dias/1802/12/07/pdfs/GMD-D-1802-99.pdf#page=3","Abrir facsímil")</f>
        <v>Abrir facsímil</v>
      </c>
      <c r="K4044" s="15" t="s">
        <v>23</v>
      </c>
    </row>
    <row r="4045" spans="1:11" ht="42" customHeight="1">
      <c r="A4045" s="4" t="s">
        <v>10048</v>
      </c>
      <c r="B4045" s="5" t="s">
        <v>10048</v>
      </c>
      <c r="C4045" s="5" t="s">
        <v>18</v>
      </c>
      <c r="D4045" s="5" t="s">
        <v>19</v>
      </c>
      <c r="E4045" s="5" t="s">
        <v>20</v>
      </c>
      <c r="F4045" s="9">
        <v>84</v>
      </c>
      <c r="G4045" s="9">
        <v>1039</v>
      </c>
      <c r="H4045" s="5" t="s">
        <v>21</v>
      </c>
      <c r="I4045" s="5" t="s">
        <v>10049</v>
      </c>
      <c r="J4045" s="12" t="str">
        <f>HYPERLINK("https://www.boe.es/gazeta/dias/1802/10/15/pdfs/GMD-1802-84.pdf#page=7","Abrir facsímil")</f>
        <v>Abrir facsímil</v>
      </c>
      <c r="K4045" s="15" t="s">
        <v>23</v>
      </c>
    </row>
    <row r="4046" spans="1:11" ht="42" customHeight="1">
      <c r="A4046" s="4" t="s">
        <v>10050</v>
      </c>
      <c r="B4046" s="5" t="s">
        <v>10050</v>
      </c>
      <c r="C4046" s="5" t="s">
        <v>160</v>
      </c>
      <c r="D4046" s="5" t="s">
        <v>91</v>
      </c>
      <c r="E4046" s="5" t="s">
        <v>655</v>
      </c>
      <c r="F4046" s="9">
        <v>46</v>
      </c>
      <c r="G4046" s="9">
        <v>561</v>
      </c>
      <c r="H4046" s="5" t="s">
        <v>21</v>
      </c>
      <c r="I4046" s="5" t="s">
        <v>10051</v>
      </c>
      <c r="J4046" s="12" t="str">
        <f>HYPERLINK("https://www.boe.es/gazeta/dias/1802/06/08/pdfs/GMD-1802-46.pdf#page=13","Abrir facsímil")</f>
        <v>Abrir facsímil</v>
      </c>
      <c r="K4046" s="15" t="s">
        <v>23</v>
      </c>
    </row>
    <row r="4047" spans="1:11" ht="42" customHeight="1">
      <c r="A4047" s="4" t="s">
        <v>10052</v>
      </c>
      <c r="B4047" s="5" t="s">
        <v>10052</v>
      </c>
      <c r="C4047" s="5" t="s">
        <v>18</v>
      </c>
      <c r="D4047" s="5" t="s">
        <v>19</v>
      </c>
      <c r="E4047" s="5" t="s">
        <v>20</v>
      </c>
      <c r="F4047" s="9">
        <v>84</v>
      </c>
      <c r="G4047" s="9">
        <v>1043</v>
      </c>
      <c r="H4047" s="5" t="s">
        <v>21</v>
      </c>
      <c r="I4047" s="5" t="s">
        <v>10053</v>
      </c>
      <c r="J4047" s="12" t="str">
        <f>HYPERLINK("https://www.boe.es/gazeta/dias/1802/10/15/pdfs/GMD-1802-84.pdf#page=11","Abrir facsímil")</f>
        <v>Abrir facsímil</v>
      </c>
      <c r="K4047" s="15" t="s">
        <v>23</v>
      </c>
    </row>
    <row r="4048" spans="1:11" ht="42" customHeight="1">
      <c r="A4048" s="4" t="s">
        <v>10054</v>
      </c>
      <c r="B4048" s="5" t="s">
        <v>10054</v>
      </c>
      <c r="C4048" s="5" t="s">
        <v>18</v>
      </c>
      <c r="D4048" s="5" t="s">
        <v>19</v>
      </c>
      <c r="E4048" s="5" t="s">
        <v>49</v>
      </c>
      <c r="F4048" s="9">
        <v>83</v>
      </c>
      <c r="G4048" s="9">
        <v>1019</v>
      </c>
      <c r="H4048" s="5" t="s">
        <v>21</v>
      </c>
      <c r="I4048" s="5" t="s">
        <v>10055</v>
      </c>
      <c r="J4048" s="12" t="str">
        <f>HYPERLINK("https://www.boe.es/gazeta/dias/1802/10/12/pdfs/GMD-1802-83.pdf#page=7","Abrir facsímil")</f>
        <v>Abrir facsímil</v>
      </c>
      <c r="K4048" s="15" t="s">
        <v>23</v>
      </c>
    </row>
    <row r="4049" spans="1:11" ht="42" customHeight="1">
      <c r="A4049" s="4" t="s">
        <v>10056</v>
      </c>
      <c r="B4049" s="5" t="s">
        <v>10056</v>
      </c>
      <c r="C4049" s="5" t="s">
        <v>35</v>
      </c>
      <c r="D4049" s="5" t="s">
        <v>36</v>
      </c>
      <c r="E4049" s="5" t="s">
        <v>921</v>
      </c>
      <c r="F4049" s="9">
        <v>50</v>
      </c>
      <c r="G4049" s="9">
        <v>605</v>
      </c>
      <c r="H4049" s="5" t="s">
        <v>21</v>
      </c>
      <c r="I4049" s="5" t="s">
        <v>10057</v>
      </c>
      <c r="J4049" s="12" t="str">
        <f>HYPERLINK("https://www.boe.es/gazeta/dias/1802/06/22/pdfs/GMD-1802-50.pdf#page=5","Abrir facsímil")</f>
        <v>Abrir facsímil</v>
      </c>
      <c r="K4049" s="15" t="s">
        <v>23</v>
      </c>
    </row>
    <row r="4050" spans="1:11" ht="42" customHeight="1">
      <c r="A4050" s="4" t="s">
        <v>10058</v>
      </c>
      <c r="B4050" s="5" t="s">
        <v>10059</v>
      </c>
      <c r="C4050" s="5" t="s">
        <v>29</v>
      </c>
      <c r="D4050" s="5" t="s">
        <v>30</v>
      </c>
      <c r="E4050" s="5" t="s">
        <v>292</v>
      </c>
      <c r="F4050" s="9">
        <v>62</v>
      </c>
      <c r="G4050" s="9">
        <v>752</v>
      </c>
      <c r="H4050" s="5" t="s">
        <v>21</v>
      </c>
      <c r="I4050" s="5" t="s">
        <v>10060</v>
      </c>
      <c r="J4050" s="12" t="str">
        <f>HYPERLINK("https://www.boe.es/gazeta/dias/1802/07/30/pdfs/GMD-1802-62.pdf#page=8","Abrir facsímil")</f>
        <v>Abrir facsímil</v>
      </c>
      <c r="K4050" s="15" t="s">
        <v>23</v>
      </c>
    </row>
    <row r="4051" spans="1:11" ht="42" customHeight="1">
      <c r="A4051" s="4" t="s">
        <v>10061</v>
      </c>
      <c r="B4051" s="5" t="s">
        <v>10062</v>
      </c>
      <c r="C4051" s="5" t="s">
        <v>29</v>
      </c>
      <c r="D4051" s="5" t="s">
        <v>30</v>
      </c>
      <c r="E4051" s="5" t="s">
        <v>429</v>
      </c>
      <c r="F4051" s="9">
        <v>91</v>
      </c>
      <c r="G4051" s="9">
        <v>1121</v>
      </c>
      <c r="H4051" s="5" t="s">
        <v>21</v>
      </c>
      <c r="I4051" s="5" t="s">
        <v>10063</v>
      </c>
      <c r="J4051" s="12" t="str">
        <f>HYPERLINK("https://www.boe.es/gazeta/dias/1802/11/09/pdfs/GMD-1802-91.pdf#page=1","Abrir facsímil")</f>
        <v>Abrir facsímil</v>
      </c>
      <c r="K4051" s="15" t="s">
        <v>23</v>
      </c>
    </row>
    <row r="4052" spans="1:11" ht="42" customHeight="1">
      <c r="A4052" s="4" t="s">
        <v>10064</v>
      </c>
      <c r="B4052" s="5" t="s">
        <v>10064</v>
      </c>
      <c r="C4052" s="5" t="s">
        <v>18</v>
      </c>
      <c r="D4052" s="5" t="s">
        <v>19</v>
      </c>
      <c r="E4052" s="5" t="s">
        <v>20</v>
      </c>
      <c r="F4052" s="9">
        <v>84</v>
      </c>
      <c r="G4052" s="9">
        <v>1045</v>
      </c>
      <c r="H4052" s="5" t="s">
        <v>21</v>
      </c>
      <c r="I4052" s="5" t="s">
        <v>10065</v>
      </c>
      <c r="J4052" s="12" t="str">
        <f>HYPERLINK("https://www.boe.es/gazeta/dias/1802/10/15/pdfs/GMD-1802-84.pdf#page=13","Abrir facsímil")</f>
        <v>Abrir facsímil</v>
      </c>
      <c r="K4052" s="15" t="s">
        <v>23</v>
      </c>
    </row>
    <row r="4053" spans="1:11" ht="42" customHeight="1">
      <c r="A4053" s="4" t="s">
        <v>10066</v>
      </c>
      <c r="B4053" s="5" t="s">
        <v>10067</v>
      </c>
      <c r="C4053" s="5" t="s">
        <v>90</v>
      </c>
      <c r="D4053" s="5" t="s">
        <v>91</v>
      </c>
      <c r="E4053" s="5" t="s">
        <v>37</v>
      </c>
      <c r="F4053" s="9">
        <v>106</v>
      </c>
      <c r="G4053" s="9">
        <v>1294</v>
      </c>
      <c r="H4053" s="5" t="s">
        <v>21</v>
      </c>
      <c r="I4053" s="5" t="s">
        <v>10068</v>
      </c>
      <c r="J4053" s="12" t="str">
        <f>HYPERLINK("https://www.boe.es/gazeta/dias/1802/12/31/pdfs/GMD-1802-106.pdf#page=6","Abrir facsímil")</f>
        <v>Abrir facsímil</v>
      </c>
      <c r="K4053" s="15" t="s">
        <v>23</v>
      </c>
    </row>
    <row r="4054" spans="1:11" ht="42" customHeight="1">
      <c r="A4054" s="4" t="s">
        <v>10069</v>
      </c>
      <c r="B4054" s="5" t="s">
        <v>10069</v>
      </c>
      <c r="C4054" s="5" t="s">
        <v>42</v>
      </c>
      <c r="D4054" s="5" t="s">
        <v>43</v>
      </c>
      <c r="E4054" s="5" t="s">
        <v>44</v>
      </c>
      <c r="F4054" s="9">
        <v>99</v>
      </c>
      <c r="G4054" s="9" t="s">
        <v>544</v>
      </c>
      <c r="H4054" s="5" t="s">
        <v>21</v>
      </c>
      <c r="I4054" s="5" t="s">
        <v>10070</v>
      </c>
      <c r="J4054" s="12" t="str">
        <f>HYPERLINK("https://www.boe.es/gazeta/dias/1802/12/07/pdfs/GMD-D-1802-99.pdf#page=11","Abrir facsímil")</f>
        <v>Abrir facsímil</v>
      </c>
      <c r="K4054" s="15" t="s">
        <v>23</v>
      </c>
    </row>
    <row r="4055" spans="1:11" ht="42" customHeight="1">
      <c r="A4055" s="4" t="s">
        <v>10071</v>
      </c>
      <c r="B4055" s="5" t="s">
        <v>10071</v>
      </c>
      <c r="C4055" s="5" t="s">
        <v>42</v>
      </c>
      <c r="D4055" s="5" t="s">
        <v>43</v>
      </c>
      <c r="E4055" s="5" t="s">
        <v>44</v>
      </c>
      <c r="F4055" s="9">
        <v>99</v>
      </c>
      <c r="G4055" s="9" t="s">
        <v>779</v>
      </c>
      <c r="H4055" s="5" t="s">
        <v>21</v>
      </c>
      <c r="I4055" s="5" t="s">
        <v>10072</v>
      </c>
      <c r="J4055" s="12" t="str">
        <f>HYPERLINK("https://www.boe.es/gazeta/dias/1802/12/07/pdfs/GMD-D-1802-99.pdf#page=13","Abrir facsímil")</f>
        <v>Abrir facsímil</v>
      </c>
      <c r="K4055" s="15" t="s">
        <v>23</v>
      </c>
    </row>
    <row r="4056" spans="1:11" ht="42" customHeight="1">
      <c r="A4056" s="4" t="s">
        <v>10073</v>
      </c>
      <c r="B4056" s="5" t="s">
        <v>10073</v>
      </c>
      <c r="C4056" s="5" t="s">
        <v>42</v>
      </c>
      <c r="D4056" s="5" t="s">
        <v>43</v>
      </c>
      <c r="E4056" s="5" t="s">
        <v>44</v>
      </c>
      <c r="F4056" s="9">
        <v>99</v>
      </c>
      <c r="G4056" s="9" t="s">
        <v>78</v>
      </c>
      <c r="H4056" s="5" t="s">
        <v>21</v>
      </c>
      <c r="I4056" s="5" t="s">
        <v>10074</v>
      </c>
      <c r="J4056" s="12" t="str">
        <f>HYPERLINK("https://www.boe.es/gazeta/dias/1802/12/07/pdfs/GMD-D-1802-99.pdf#page=15","Abrir facsímil")</f>
        <v>Abrir facsímil</v>
      </c>
      <c r="K4056" s="15" t="s">
        <v>23</v>
      </c>
    </row>
    <row r="4057" spans="1:11" ht="42" customHeight="1">
      <c r="A4057" s="4" t="s">
        <v>10073</v>
      </c>
      <c r="B4057" s="5" t="s">
        <v>10073</v>
      </c>
      <c r="C4057" s="5" t="s">
        <v>42</v>
      </c>
      <c r="D4057" s="5" t="s">
        <v>43</v>
      </c>
      <c r="E4057" s="5" t="s">
        <v>44</v>
      </c>
      <c r="F4057" s="9">
        <v>99</v>
      </c>
      <c r="G4057" s="9" t="s">
        <v>295</v>
      </c>
      <c r="H4057" s="5" t="s">
        <v>21</v>
      </c>
      <c r="I4057" s="5" t="s">
        <v>10075</v>
      </c>
      <c r="J4057" s="12" t="str">
        <f>HYPERLINK("https://www.boe.es/gazeta/dias/1802/12/07/pdfs/GMD-D-1802-99.pdf#page=7","Abrir facsímil")</f>
        <v>Abrir facsímil</v>
      </c>
      <c r="K4057" s="15" t="s">
        <v>23</v>
      </c>
    </row>
    <row r="4058" spans="1:11" ht="42" customHeight="1">
      <c r="A4058" s="4" t="s">
        <v>10076</v>
      </c>
      <c r="B4058" s="5" t="s">
        <v>10076</v>
      </c>
      <c r="C4058" s="5" t="s">
        <v>42</v>
      </c>
      <c r="D4058" s="5" t="s">
        <v>43</v>
      </c>
      <c r="E4058" s="5" t="s">
        <v>44</v>
      </c>
      <c r="F4058" s="9">
        <v>99</v>
      </c>
      <c r="G4058" s="9" t="s">
        <v>537</v>
      </c>
      <c r="H4058" s="5" t="s">
        <v>21</v>
      </c>
      <c r="I4058" s="5" t="s">
        <v>10077</v>
      </c>
      <c r="J4058" s="12" t="str">
        <f>HYPERLINK("https://www.boe.es/gazeta/dias/1802/12/07/pdfs/GMD-D-1802-99.pdf#page=9","Abrir facsímil")</f>
        <v>Abrir facsímil</v>
      </c>
      <c r="K4058" s="15" t="s">
        <v>23</v>
      </c>
    </row>
    <row r="4059" spans="1:11" ht="42" customHeight="1">
      <c r="A4059" s="4" t="s">
        <v>10078</v>
      </c>
      <c r="B4059" s="5" t="s">
        <v>10078</v>
      </c>
      <c r="C4059" s="5" t="s">
        <v>42</v>
      </c>
      <c r="D4059" s="5" t="s">
        <v>43</v>
      </c>
      <c r="E4059" s="5" t="s">
        <v>44</v>
      </c>
      <c r="F4059" s="9">
        <v>99</v>
      </c>
      <c r="G4059" s="9" t="s">
        <v>550</v>
      </c>
      <c r="H4059" s="5" t="s">
        <v>21</v>
      </c>
      <c r="I4059" s="5" t="s">
        <v>10079</v>
      </c>
      <c r="J4059" s="12" t="str">
        <f>HYPERLINK("https://www.boe.es/gazeta/dias/1802/12/07/pdfs/GMD-D-1802-99.pdf#page=16","Abrir facsímil")</f>
        <v>Abrir facsímil</v>
      </c>
      <c r="K4059" s="15" t="s">
        <v>23</v>
      </c>
    </row>
    <row r="4060" spans="1:11" ht="42" customHeight="1">
      <c r="A4060" s="4" t="s">
        <v>10080</v>
      </c>
      <c r="B4060" s="5" t="s">
        <v>10080</v>
      </c>
      <c r="C4060" s="5" t="s">
        <v>42</v>
      </c>
      <c r="D4060" s="5" t="s">
        <v>43</v>
      </c>
      <c r="E4060" s="5" t="s">
        <v>44</v>
      </c>
      <c r="F4060" s="9">
        <v>99</v>
      </c>
      <c r="G4060" s="9" t="s">
        <v>779</v>
      </c>
      <c r="H4060" s="5" t="s">
        <v>21</v>
      </c>
      <c r="I4060" s="5" t="s">
        <v>10081</v>
      </c>
      <c r="J4060" s="12" t="str">
        <f>HYPERLINK("https://www.boe.es/gazeta/dias/1802/12/07/pdfs/GMD-D-1802-99.pdf#page=13","Abrir facsímil")</f>
        <v>Abrir facsímil</v>
      </c>
      <c r="K4060" s="15" t="s">
        <v>23</v>
      </c>
    </row>
    <row r="4061" spans="1:11" ht="42" customHeight="1">
      <c r="A4061" s="4" t="s">
        <v>10082</v>
      </c>
      <c r="B4061" s="5" t="s">
        <v>10082</v>
      </c>
      <c r="C4061" s="5" t="s">
        <v>42</v>
      </c>
      <c r="D4061" s="5" t="s">
        <v>43</v>
      </c>
      <c r="E4061" s="5" t="s">
        <v>44</v>
      </c>
      <c r="F4061" s="9">
        <v>99</v>
      </c>
      <c r="G4061" s="9" t="s">
        <v>322</v>
      </c>
      <c r="H4061" s="5" t="s">
        <v>21</v>
      </c>
      <c r="I4061" s="5" t="s">
        <v>10083</v>
      </c>
      <c r="J4061" s="12" t="str">
        <f>HYPERLINK("https://www.boe.es/gazeta/dias/1802/12/07/pdfs/GMD-D-1802-99.pdf#page=10","Abrir facsímil")</f>
        <v>Abrir facsímil</v>
      </c>
      <c r="K4061" s="15" t="s">
        <v>23</v>
      </c>
    </row>
    <row r="4062" spans="1:11" ht="42" customHeight="1">
      <c r="A4062" s="4" t="s">
        <v>10084</v>
      </c>
      <c r="B4062" s="5" t="s">
        <v>10084</v>
      </c>
      <c r="C4062" s="5" t="s">
        <v>42</v>
      </c>
      <c r="D4062" s="5" t="s">
        <v>43</v>
      </c>
      <c r="E4062" s="5" t="s">
        <v>44</v>
      </c>
      <c r="F4062" s="9">
        <v>99</v>
      </c>
      <c r="G4062" s="9" t="s">
        <v>544</v>
      </c>
      <c r="H4062" s="5" t="s">
        <v>21</v>
      </c>
      <c r="I4062" s="5" t="s">
        <v>10085</v>
      </c>
      <c r="J4062" s="12" t="str">
        <f>HYPERLINK("https://www.boe.es/gazeta/dias/1802/12/07/pdfs/GMD-D-1802-99.pdf#page=11","Abrir facsímil")</f>
        <v>Abrir facsímil</v>
      </c>
      <c r="K4062" s="15" t="s">
        <v>23</v>
      </c>
    </row>
    <row r="4063" spans="1:11" ht="42" customHeight="1">
      <c r="A4063" s="4" t="s">
        <v>10086</v>
      </c>
      <c r="B4063" s="5" t="s">
        <v>10086</v>
      </c>
      <c r="C4063" s="5" t="s">
        <v>42</v>
      </c>
      <c r="D4063" s="5" t="s">
        <v>43</v>
      </c>
      <c r="E4063" s="5" t="s">
        <v>44</v>
      </c>
      <c r="F4063" s="9">
        <v>99</v>
      </c>
      <c r="G4063" s="9" t="s">
        <v>251</v>
      </c>
      <c r="H4063" s="5" t="s">
        <v>21</v>
      </c>
      <c r="I4063" s="5" t="s">
        <v>10087</v>
      </c>
      <c r="J4063" s="12" t="str">
        <f>HYPERLINK("https://www.boe.es/gazeta/dias/1802/12/07/pdfs/GMD-D-1802-99.pdf#page=6","Abrir facsímil")</f>
        <v>Abrir facsímil</v>
      </c>
      <c r="K4063" s="15" t="s">
        <v>23</v>
      </c>
    </row>
    <row r="4064" spans="1:11" ht="42" customHeight="1">
      <c r="A4064" s="4" t="s">
        <v>10088</v>
      </c>
      <c r="B4064" s="5" t="s">
        <v>10088</v>
      </c>
      <c r="C4064" s="5" t="s">
        <v>42</v>
      </c>
      <c r="D4064" s="5" t="s">
        <v>43</v>
      </c>
      <c r="E4064" s="5" t="s">
        <v>44</v>
      </c>
      <c r="F4064" s="9">
        <v>99</v>
      </c>
      <c r="G4064" s="9" t="s">
        <v>262</v>
      </c>
      <c r="H4064" s="5" t="s">
        <v>21</v>
      </c>
      <c r="I4064" s="5" t="s">
        <v>10089</v>
      </c>
      <c r="J4064" s="12" t="str">
        <f>HYPERLINK("https://www.boe.es/gazeta/dias/1802/12/07/pdfs/GMD-D-1802-99.pdf#page=8","Abrir facsímil")</f>
        <v>Abrir facsímil</v>
      </c>
      <c r="K4064" s="15" t="s">
        <v>23</v>
      </c>
    </row>
    <row r="4065" spans="1:11" ht="42" customHeight="1">
      <c r="A4065" s="4" t="s">
        <v>10090</v>
      </c>
      <c r="B4065" s="5" t="s">
        <v>10090</v>
      </c>
      <c r="C4065" s="5" t="s">
        <v>42</v>
      </c>
      <c r="D4065" s="5" t="s">
        <v>43</v>
      </c>
      <c r="E4065" s="5" t="s">
        <v>44</v>
      </c>
      <c r="F4065" s="9">
        <v>99</v>
      </c>
      <c r="G4065" s="9" t="s">
        <v>295</v>
      </c>
      <c r="H4065" s="5" t="s">
        <v>21</v>
      </c>
      <c r="I4065" s="5" t="s">
        <v>10091</v>
      </c>
      <c r="J4065" s="12" t="str">
        <f>HYPERLINK("https://www.boe.es/gazeta/dias/1802/12/07/pdfs/GMD-D-1802-99.pdf#page=7","Abrir facsímil")</f>
        <v>Abrir facsímil</v>
      </c>
      <c r="K4065" s="15" t="s">
        <v>23</v>
      </c>
    </row>
    <row r="4066" spans="1:11" ht="42" customHeight="1">
      <c r="A4066" s="4" t="s">
        <v>10092</v>
      </c>
      <c r="B4066" s="5" t="s">
        <v>10092</v>
      </c>
      <c r="C4066" s="5" t="s">
        <v>42</v>
      </c>
      <c r="D4066" s="5" t="s">
        <v>43</v>
      </c>
      <c r="E4066" s="5" t="s">
        <v>44</v>
      </c>
      <c r="F4066" s="9">
        <v>99</v>
      </c>
      <c r="G4066" s="9" t="s">
        <v>544</v>
      </c>
      <c r="H4066" s="5" t="s">
        <v>21</v>
      </c>
      <c r="I4066" s="5" t="s">
        <v>10093</v>
      </c>
      <c r="J4066" s="12" t="str">
        <f>HYPERLINK("https://www.boe.es/gazeta/dias/1802/12/07/pdfs/GMD-D-1802-99.pdf#page=11","Abrir facsímil")</f>
        <v>Abrir facsímil</v>
      </c>
      <c r="K4066" s="15" t="s">
        <v>23</v>
      </c>
    </row>
    <row r="4067" spans="1:11" ht="42" customHeight="1">
      <c r="A4067" s="4" t="s">
        <v>10094</v>
      </c>
      <c r="B4067" s="5" t="s">
        <v>10094</v>
      </c>
      <c r="C4067" s="5" t="s">
        <v>42</v>
      </c>
      <c r="D4067" s="5" t="s">
        <v>43</v>
      </c>
      <c r="E4067" s="5" t="s">
        <v>44</v>
      </c>
      <c r="F4067" s="9">
        <v>99</v>
      </c>
      <c r="G4067" s="9" t="s">
        <v>554</v>
      </c>
      <c r="H4067" s="5" t="s">
        <v>21</v>
      </c>
      <c r="I4067" s="5" t="s">
        <v>10095</v>
      </c>
      <c r="J4067" s="12" t="str">
        <f>HYPERLINK("https://www.boe.es/gazeta/dias/1802/12/07/pdfs/GMD-D-1802-99.pdf#page=4","Abrir facsímil")</f>
        <v>Abrir facsímil</v>
      </c>
      <c r="K4067" s="15" t="s">
        <v>23</v>
      </c>
    </row>
    <row r="4068" spans="1:11" ht="42" customHeight="1">
      <c r="A4068" s="4" t="s">
        <v>10096</v>
      </c>
      <c r="B4068" s="5" t="s">
        <v>10096</v>
      </c>
      <c r="C4068" s="5" t="s">
        <v>42</v>
      </c>
      <c r="D4068" s="5" t="s">
        <v>43</v>
      </c>
      <c r="E4068" s="5" t="s">
        <v>44</v>
      </c>
      <c r="F4068" s="9">
        <v>99</v>
      </c>
      <c r="G4068" s="9" t="s">
        <v>314</v>
      </c>
      <c r="H4068" s="5" t="s">
        <v>21</v>
      </c>
      <c r="I4068" s="5" t="s">
        <v>10097</v>
      </c>
      <c r="J4068" s="12" t="str">
        <f>HYPERLINK("https://www.boe.es/gazeta/dias/1802/12/07/pdfs/GMD-D-1802-99.pdf#page=2","Abrir facsímil")</f>
        <v>Abrir facsímil</v>
      </c>
      <c r="K4068" s="15" t="s">
        <v>23</v>
      </c>
    </row>
    <row r="4069" spans="1:11" ht="42" customHeight="1">
      <c r="A4069" s="4" t="s">
        <v>10098</v>
      </c>
      <c r="B4069" s="5" t="s">
        <v>10098</v>
      </c>
      <c r="C4069" s="5" t="s">
        <v>42</v>
      </c>
      <c r="D4069" s="5" t="s">
        <v>43</v>
      </c>
      <c r="E4069" s="5" t="s">
        <v>44</v>
      </c>
      <c r="F4069" s="9">
        <v>99</v>
      </c>
      <c r="G4069" s="9" t="s">
        <v>251</v>
      </c>
      <c r="H4069" s="5" t="s">
        <v>21</v>
      </c>
      <c r="I4069" s="5" t="s">
        <v>10099</v>
      </c>
      <c r="J4069" s="12" t="str">
        <f>HYPERLINK("https://www.boe.es/gazeta/dias/1802/12/07/pdfs/GMD-D-1802-99.pdf#page=6","Abrir facsímil")</f>
        <v>Abrir facsímil</v>
      </c>
      <c r="K4069" s="15" t="s">
        <v>23</v>
      </c>
    </row>
    <row r="4070" spans="1:11" ht="42" customHeight="1">
      <c r="A4070" s="4" t="s">
        <v>10100</v>
      </c>
      <c r="B4070" s="5" t="s">
        <v>10100</v>
      </c>
      <c r="C4070" s="5" t="s">
        <v>42</v>
      </c>
      <c r="D4070" s="5" t="s">
        <v>43</v>
      </c>
      <c r="E4070" s="5" t="s">
        <v>44</v>
      </c>
      <c r="F4070" s="9">
        <v>99</v>
      </c>
      <c r="G4070" s="9" t="s">
        <v>262</v>
      </c>
      <c r="H4070" s="5" t="s">
        <v>21</v>
      </c>
      <c r="I4070" s="5" t="s">
        <v>10101</v>
      </c>
      <c r="J4070" s="12" t="str">
        <f>HYPERLINK("https://www.boe.es/gazeta/dias/1802/12/07/pdfs/GMD-D-1802-99.pdf#page=8","Abrir facsímil")</f>
        <v>Abrir facsímil</v>
      </c>
      <c r="K4070" s="15" t="s">
        <v>23</v>
      </c>
    </row>
    <row r="4071" spans="1:11" ht="42" customHeight="1">
      <c r="A4071" s="4" t="s">
        <v>10102</v>
      </c>
      <c r="B4071" s="5" t="s">
        <v>10102</v>
      </c>
      <c r="C4071" s="5" t="s">
        <v>42</v>
      </c>
      <c r="D4071" s="5" t="s">
        <v>43</v>
      </c>
      <c r="E4071" s="5" t="s">
        <v>44</v>
      </c>
      <c r="F4071" s="9">
        <v>99</v>
      </c>
      <c r="G4071" s="9" t="s">
        <v>314</v>
      </c>
      <c r="H4071" s="5" t="s">
        <v>21</v>
      </c>
      <c r="I4071" s="5" t="s">
        <v>10103</v>
      </c>
      <c r="J4071" s="12" t="str">
        <f>HYPERLINK("https://www.boe.es/gazeta/dias/1802/12/07/pdfs/GMD-D-1802-99.pdf#page=2","Abrir facsímil")</f>
        <v>Abrir facsímil</v>
      </c>
      <c r="K4071" s="15" t="s">
        <v>23</v>
      </c>
    </row>
    <row r="4072" spans="1:11" ht="42" customHeight="1">
      <c r="A4072" s="4" t="s">
        <v>10104</v>
      </c>
      <c r="B4072" s="5" t="s">
        <v>10104</v>
      </c>
      <c r="C4072" s="5" t="s">
        <v>42</v>
      </c>
      <c r="D4072" s="5" t="s">
        <v>43</v>
      </c>
      <c r="E4072" s="5" t="s">
        <v>44</v>
      </c>
      <c r="F4072" s="9">
        <v>99</v>
      </c>
      <c r="G4072" s="9" t="s">
        <v>314</v>
      </c>
      <c r="H4072" s="5" t="s">
        <v>21</v>
      </c>
      <c r="I4072" s="5" t="s">
        <v>10105</v>
      </c>
      <c r="J4072" s="12" t="str">
        <f>HYPERLINK("https://www.boe.es/gazeta/dias/1802/12/07/pdfs/GMD-D-1802-99.pdf#page=2","Abrir facsímil")</f>
        <v>Abrir facsímil</v>
      </c>
      <c r="K4072" s="15" t="s">
        <v>23</v>
      </c>
    </row>
    <row r="4073" spans="1:11" ht="42" customHeight="1">
      <c r="A4073" s="4" t="s">
        <v>10106</v>
      </c>
      <c r="B4073" s="5" t="s">
        <v>10106</v>
      </c>
      <c r="C4073" s="5" t="s">
        <v>42</v>
      </c>
      <c r="D4073" s="5" t="s">
        <v>43</v>
      </c>
      <c r="E4073" s="5" t="s">
        <v>44</v>
      </c>
      <c r="F4073" s="9">
        <v>99</v>
      </c>
      <c r="G4073" s="9" t="s">
        <v>78</v>
      </c>
      <c r="H4073" s="5" t="s">
        <v>21</v>
      </c>
      <c r="I4073" s="5" t="s">
        <v>10107</v>
      </c>
      <c r="J4073" s="12" t="str">
        <f>HYPERLINK("https://www.boe.es/gazeta/dias/1802/12/07/pdfs/GMD-D-1802-99.pdf#page=15","Abrir facsímil")</f>
        <v>Abrir facsímil</v>
      </c>
      <c r="K4073" s="15" t="s">
        <v>23</v>
      </c>
    </row>
    <row r="4074" spans="1:11" ht="42" customHeight="1">
      <c r="A4074" s="4" t="s">
        <v>10106</v>
      </c>
      <c r="B4074" s="5" t="s">
        <v>10106</v>
      </c>
      <c r="C4074" s="5" t="s">
        <v>42</v>
      </c>
      <c r="D4074" s="5" t="s">
        <v>43</v>
      </c>
      <c r="E4074" s="5" t="s">
        <v>44</v>
      </c>
      <c r="F4074" s="9">
        <v>99</v>
      </c>
      <c r="G4074" s="9" t="s">
        <v>554</v>
      </c>
      <c r="H4074" s="5" t="s">
        <v>21</v>
      </c>
      <c r="I4074" s="5" t="s">
        <v>10108</v>
      </c>
      <c r="J4074" s="12" t="str">
        <f>HYPERLINK("https://www.boe.es/gazeta/dias/1802/12/07/pdfs/GMD-D-1802-99.pdf#page=4","Abrir facsímil")</f>
        <v>Abrir facsímil</v>
      </c>
      <c r="K4074" s="15" t="s">
        <v>23</v>
      </c>
    </row>
    <row r="4075" spans="1:11" ht="42" customHeight="1">
      <c r="A4075" s="4" t="s">
        <v>10106</v>
      </c>
      <c r="B4075" s="5" t="s">
        <v>10106</v>
      </c>
      <c r="C4075" s="5" t="s">
        <v>42</v>
      </c>
      <c r="D4075" s="5" t="s">
        <v>43</v>
      </c>
      <c r="E4075" s="5" t="s">
        <v>44</v>
      </c>
      <c r="F4075" s="9">
        <v>99</v>
      </c>
      <c r="G4075" s="9" t="s">
        <v>222</v>
      </c>
      <c r="H4075" s="5" t="s">
        <v>21</v>
      </c>
      <c r="I4075" s="5" t="s">
        <v>10109</v>
      </c>
      <c r="J4075" s="12" t="str">
        <f>HYPERLINK("https://www.boe.es/gazeta/dias/1802/12/07/pdfs/GMD-D-1802-99.pdf#page=5","Abrir facsímil")</f>
        <v>Abrir facsímil</v>
      </c>
      <c r="K4075" s="15" t="s">
        <v>23</v>
      </c>
    </row>
    <row r="4076" spans="1:11" ht="42" customHeight="1">
      <c r="A4076" s="4" t="s">
        <v>10106</v>
      </c>
      <c r="B4076" s="5" t="s">
        <v>10106</v>
      </c>
      <c r="C4076" s="5" t="s">
        <v>42</v>
      </c>
      <c r="D4076" s="5" t="s">
        <v>43</v>
      </c>
      <c r="E4076" s="5" t="s">
        <v>44</v>
      </c>
      <c r="F4076" s="9">
        <v>99</v>
      </c>
      <c r="G4076" s="9" t="s">
        <v>295</v>
      </c>
      <c r="H4076" s="5" t="s">
        <v>21</v>
      </c>
      <c r="I4076" s="5" t="s">
        <v>10110</v>
      </c>
      <c r="J4076" s="12" t="str">
        <f>HYPERLINK("https://www.boe.es/gazeta/dias/1802/12/07/pdfs/GMD-D-1802-99.pdf#page=7","Abrir facsímil")</f>
        <v>Abrir facsímil</v>
      </c>
      <c r="K4076" s="15" t="s">
        <v>23</v>
      </c>
    </row>
    <row r="4077" spans="1:11" ht="42" customHeight="1">
      <c r="A4077" s="4" t="s">
        <v>10111</v>
      </c>
      <c r="B4077" s="5" t="s">
        <v>10111</v>
      </c>
      <c r="C4077" s="5" t="s">
        <v>42</v>
      </c>
      <c r="D4077" s="5" t="s">
        <v>43</v>
      </c>
      <c r="E4077" s="5" t="s">
        <v>44</v>
      </c>
      <c r="F4077" s="9">
        <v>99</v>
      </c>
      <c r="G4077" s="9" t="s">
        <v>295</v>
      </c>
      <c r="H4077" s="5" t="s">
        <v>21</v>
      </c>
      <c r="I4077" s="5" t="s">
        <v>10112</v>
      </c>
      <c r="J4077" s="12" t="str">
        <f>HYPERLINK("https://www.boe.es/gazeta/dias/1802/12/07/pdfs/GMD-D-1802-99.pdf#page=7","Abrir facsímil")</f>
        <v>Abrir facsímil</v>
      </c>
      <c r="K4077" s="15" t="s">
        <v>23</v>
      </c>
    </row>
    <row r="4078" spans="1:11" ht="42" customHeight="1">
      <c r="A4078" s="4" t="s">
        <v>10113</v>
      </c>
      <c r="B4078" s="5" t="s">
        <v>10113</v>
      </c>
      <c r="C4078" s="5" t="s">
        <v>42</v>
      </c>
      <c r="D4078" s="5" t="s">
        <v>43</v>
      </c>
      <c r="E4078" s="5" t="s">
        <v>44</v>
      </c>
      <c r="F4078" s="9">
        <v>99</v>
      </c>
      <c r="G4078" s="9" t="s">
        <v>78</v>
      </c>
      <c r="H4078" s="5" t="s">
        <v>21</v>
      </c>
      <c r="I4078" s="5" t="s">
        <v>10114</v>
      </c>
      <c r="J4078" s="12" t="str">
        <f>HYPERLINK("https://www.boe.es/gazeta/dias/1802/12/07/pdfs/GMD-D-1802-99.pdf#page=15","Abrir facsímil")</f>
        <v>Abrir facsímil</v>
      </c>
      <c r="K4078" s="15" t="s">
        <v>23</v>
      </c>
    </row>
    <row r="4079" spans="1:11" ht="42" customHeight="1">
      <c r="A4079" s="4" t="s">
        <v>10115</v>
      </c>
      <c r="B4079" s="5" t="s">
        <v>10115</v>
      </c>
      <c r="C4079" s="5" t="s">
        <v>42</v>
      </c>
      <c r="D4079" s="5" t="s">
        <v>43</v>
      </c>
      <c r="E4079" s="5" t="s">
        <v>44</v>
      </c>
      <c r="F4079" s="9">
        <v>99</v>
      </c>
      <c r="G4079" s="9" t="s">
        <v>45</v>
      </c>
      <c r="H4079" s="5" t="s">
        <v>21</v>
      </c>
      <c r="I4079" s="5" t="s">
        <v>10116</v>
      </c>
      <c r="J4079" s="12" t="str">
        <f>HYPERLINK("https://www.boe.es/gazeta/dias/1802/12/07/pdfs/GMD-D-1802-99.pdf#page=14","Abrir facsímil")</f>
        <v>Abrir facsímil</v>
      </c>
      <c r="K4079" s="15" t="s">
        <v>23</v>
      </c>
    </row>
    <row r="4080" spans="1:11" ht="42" customHeight="1">
      <c r="A4080" s="4" t="s">
        <v>10117</v>
      </c>
      <c r="B4080" s="5" t="s">
        <v>10117</v>
      </c>
      <c r="C4080" s="5" t="s">
        <v>42</v>
      </c>
      <c r="D4080" s="5" t="s">
        <v>43</v>
      </c>
      <c r="E4080" s="5" t="s">
        <v>44</v>
      </c>
      <c r="F4080" s="9">
        <v>99</v>
      </c>
      <c r="G4080" s="9" t="s">
        <v>548</v>
      </c>
      <c r="H4080" s="5" t="s">
        <v>21</v>
      </c>
      <c r="I4080" s="5" t="s">
        <v>10118</v>
      </c>
      <c r="J4080" s="12" t="str">
        <f>HYPERLINK("https://www.boe.es/gazeta/dias/1802/12/07/pdfs/GMD-D-1802-99.pdf#page=12","Abrir facsímil")</f>
        <v>Abrir facsímil</v>
      </c>
      <c r="K4080" s="15" t="s">
        <v>23</v>
      </c>
    </row>
    <row r="4081" spans="1:11" ht="42" customHeight="1">
      <c r="A4081" s="4" t="s">
        <v>10117</v>
      </c>
      <c r="B4081" s="5" t="s">
        <v>10117</v>
      </c>
      <c r="C4081" s="5" t="s">
        <v>42</v>
      </c>
      <c r="D4081" s="5" t="s">
        <v>43</v>
      </c>
      <c r="E4081" s="5" t="s">
        <v>44</v>
      </c>
      <c r="F4081" s="9">
        <v>99</v>
      </c>
      <c r="G4081" s="9" t="s">
        <v>314</v>
      </c>
      <c r="H4081" s="5" t="s">
        <v>21</v>
      </c>
      <c r="I4081" s="5" t="s">
        <v>10119</v>
      </c>
      <c r="J4081" s="12" t="str">
        <f>HYPERLINK("https://www.boe.es/gazeta/dias/1802/12/07/pdfs/GMD-D-1802-99.pdf#page=2","Abrir facsímil")</f>
        <v>Abrir facsímil</v>
      </c>
      <c r="K4081" s="15" t="s">
        <v>23</v>
      </c>
    </row>
    <row r="4082" spans="1:11" ht="42" customHeight="1">
      <c r="A4082" s="4" t="s">
        <v>10117</v>
      </c>
      <c r="B4082" s="5" t="s">
        <v>10117</v>
      </c>
      <c r="C4082" s="5" t="s">
        <v>42</v>
      </c>
      <c r="D4082" s="5" t="s">
        <v>43</v>
      </c>
      <c r="E4082" s="5" t="s">
        <v>44</v>
      </c>
      <c r="F4082" s="9">
        <v>99</v>
      </c>
      <c r="G4082" s="9" t="s">
        <v>251</v>
      </c>
      <c r="H4082" s="5" t="s">
        <v>21</v>
      </c>
      <c r="I4082" s="5" t="s">
        <v>10120</v>
      </c>
      <c r="J4082" s="12" t="str">
        <f>HYPERLINK("https://www.boe.es/gazeta/dias/1802/12/07/pdfs/GMD-D-1802-99.pdf#page=6","Abrir facsímil")</f>
        <v>Abrir facsímil</v>
      </c>
      <c r="K4082" s="15" t="s">
        <v>23</v>
      </c>
    </row>
    <row r="4083" spans="1:11" ht="42" customHeight="1">
      <c r="A4083" s="4" t="s">
        <v>10121</v>
      </c>
      <c r="B4083" s="5" t="s">
        <v>10121</v>
      </c>
      <c r="C4083" s="5" t="s">
        <v>42</v>
      </c>
      <c r="D4083" s="5" t="s">
        <v>43</v>
      </c>
      <c r="E4083" s="5" t="s">
        <v>44</v>
      </c>
      <c r="F4083" s="9">
        <v>99</v>
      </c>
      <c r="G4083" s="9" t="s">
        <v>222</v>
      </c>
      <c r="H4083" s="5" t="s">
        <v>21</v>
      </c>
      <c r="I4083" s="5" t="s">
        <v>10122</v>
      </c>
      <c r="J4083" s="12" t="str">
        <f>HYPERLINK("https://www.boe.es/gazeta/dias/1802/12/07/pdfs/GMD-D-1802-99.pdf#page=5","Abrir facsímil")</f>
        <v>Abrir facsímil</v>
      </c>
      <c r="K4083" s="15" t="s">
        <v>23</v>
      </c>
    </row>
    <row r="4084" spans="1:11" ht="42" customHeight="1">
      <c r="A4084" s="4" t="s">
        <v>10123</v>
      </c>
      <c r="B4084" s="5" t="s">
        <v>10123</v>
      </c>
      <c r="C4084" s="5" t="s">
        <v>42</v>
      </c>
      <c r="D4084" s="5" t="s">
        <v>43</v>
      </c>
      <c r="E4084" s="5" t="s">
        <v>44</v>
      </c>
      <c r="F4084" s="9">
        <v>99</v>
      </c>
      <c r="G4084" s="9" t="s">
        <v>222</v>
      </c>
      <c r="H4084" s="5" t="s">
        <v>21</v>
      </c>
      <c r="I4084" s="5" t="s">
        <v>10124</v>
      </c>
      <c r="J4084" s="12" t="str">
        <f>HYPERLINK("https://www.boe.es/gazeta/dias/1802/12/07/pdfs/GMD-D-1802-99.pdf#page=5","Abrir facsímil")</f>
        <v>Abrir facsímil</v>
      </c>
      <c r="K4084" s="15" t="s">
        <v>23</v>
      </c>
    </row>
    <row r="4085" spans="1:11" ht="42" customHeight="1">
      <c r="A4085" s="4" t="s">
        <v>10123</v>
      </c>
      <c r="B4085" s="5" t="s">
        <v>10123</v>
      </c>
      <c r="C4085" s="5" t="s">
        <v>42</v>
      </c>
      <c r="D4085" s="5" t="s">
        <v>43</v>
      </c>
      <c r="E4085" s="5" t="s">
        <v>44</v>
      </c>
      <c r="F4085" s="9">
        <v>99</v>
      </c>
      <c r="G4085" s="9" t="s">
        <v>262</v>
      </c>
      <c r="H4085" s="5" t="s">
        <v>21</v>
      </c>
      <c r="I4085" s="5" t="s">
        <v>10125</v>
      </c>
      <c r="J4085" s="12" t="str">
        <f>HYPERLINK("https://www.boe.es/gazeta/dias/1802/12/07/pdfs/GMD-D-1802-99.pdf#page=8","Abrir facsímil")</f>
        <v>Abrir facsímil</v>
      </c>
      <c r="K4085" s="15" t="s">
        <v>23</v>
      </c>
    </row>
    <row r="4086" spans="1:11" ht="42" customHeight="1">
      <c r="A4086" s="4" t="s">
        <v>10126</v>
      </c>
      <c r="B4086" s="5" t="s">
        <v>10126</v>
      </c>
      <c r="C4086" s="5" t="s">
        <v>42</v>
      </c>
      <c r="D4086" s="5" t="s">
        <v>43</v>
      </c>
      <c r="E4086" s="5" t="s">
        <v>44</v>
      </c>
      <c r="F4086" s="9">
        <v>99</v>
      </c>
      <c r="G4086" s="9" t="s">
        <v>779</v>
      </c>
      <c r="H4086" s="5" t="s">
        <v>21</v>
      </c>
      <c r="I4086" s="5" t="s">
        <v>10127</v>
      </c>
      <c r="J4086" s="12" t="str">
        <f>HYPERLINK("https://www.boe.es/gazeta/dias/1802/12/07/pdfs/GMD-D-1802-99.pdf#page=13","Abrir facsímil")</f>
        <v>Abrir facsímil</v>
      </c>
      <c r="K4086" s="15" t="s">
        <v>23</v>
      </c>
    </row>
    <row r="4087" spans="1:11" ht="42" customHeight="1">
      <c r="A4087" s="4" t="s">
        <v>10126</v>
      </c>
      <c r="B4087" s="5" t="s">
        <v>10126</v>
      </c>
      <c r="C4087" s="5" t="s">
        <v>42</v>
      </c>
      <c r="D4087" s="5" t="s">
        <v>43</v>
      </c>
      <c r="E4087" s="5" t="s">
        <v>44</v>
      </c>
      <c r="F4087" s="9">
        <v>99</v>
      </c>
      <c r="G4087" s="9" t="s">
        <v>295</v>
      </c>
      <c r="H4087" s="5" t="s">
        <v>21</v>
      </c>
      <c r="I4087" s="5" t="s">
        <v>10128</v>
      </c>
      <c r="J4087" s="12" t="str">
        <f>HYPERLINK("https://www.boe.es/gazeta/dias/1802/12/07/pdfs/GMD-D-1802-99.pdf#page=7","Abrir facsímil")</f>
        <v>Abrir facsímil</v>
      </c>
      <c r="K4087" s="15" t="s">
        <v>23</v>
      </c>
    </row>
    <row r="4088" spans="1:11" ht="42" customHeight="1">
      <c r="A4088" s="4" t="s">
        <v>10129</v>
      </c>
      <c r="B4088" s="5" t="s">
        <v>10129</v>
      </c>
      <c r="C4088" s="5" t="s">
        <v>42</v>
      </c>
      <c r="D4088" s="5" t="s">
        <v>43</v>
      </c>
      <c r="E4088" s="5" t="s">
        <v>44</v>
      </c>
      <c r="F4088" s="9">
        <v>99</v>
      </c>
      <c r="G4088" s="9" t="s">
        <v>78</v>
      </c>
      <c r="H4088" s="5" t="s">
        <v>21</v>
      </c>
      <c r="I4088" s="5" t="s">
        <v>10130</v>
      </c>
      <c r="J4088" s="12" t="str">
        <f>HYPERLINK("https://www.boe.es/gazeta/dias/1802/12/07/pdfs/GMD-D-1802-99.pdf#page=15","Abrir facsímil")</f>
        <v>Abrir facsímil</v>
      </c>
      <c r="K4088" s="15" t="s">
        <v>23</v>
      </c>
    </row>
    <row r="4089" spans="1:11" ht="42" customHeight="1">
      <c r="A4089" s="4" t="s">
        <v>10131</v>
      </c>
      <c r="B4089" s="5" t="s">
        <v>10131</v>
      </c>
      <c r="C4089" s="5" t="s">
        <v>42</v>
      </c>
      <c r="D4089" s="5" t="s">
        <v>43</v>
      </c>
      <c r="E4089" s="5" t="s">
        <v>44</v>
      </c>
      <c r="F4089" s="9">
        <v>99</v>
      </c>
      <c r="G4089" s="9" t="s">
        <v>78</v>
      </c>
      <c r="H4089" s="5" t="s">
        <v>21</v>
      </c>
      <c r="I4089" s="5" t="s">
        <v>10132</v>
      </c>
      <c r="J4089" s="12" t="str">
        <f>HYPERLINK("https://www.boe.es/gazeta/dias/1802/12/07/pdfs/GMD-D-1802-99.pdf#page=15","Abrir facsímil")</f>
        <v>Abrir facsímil</v>
      </c>
      <c r="K4089" s="15" t="s">
        <v>23</v>
      </c>
    </row>
    <row r="4090" spans="1:11" ht="42" customHeight="1">
      <c r="A4090" s="4" t="s">
        <v>10133</v>
      </c>
      <c r="B4090" s="5" t="s">
        <v>10133</v>
      </c>
      <c r="C4090" s="5" t="s">
        <v>42</v>
      </c>
      <c r="D4090" s="5" t="s">
        <v>43</v>
      </c>
      <c r="E4090" s="5" t="s">
        <v>44</v>
      </c>
      <c r="F4090" s="9">
        <v>99</v>
      </c>
      <c r="G4090" s="9" t="s">
        <v>272</v>
      </c>
      <c r="H4090" s="5" t="s">
        <v>21</v>
      </c>
      <c r="I4090" s="5" t="s">
        <v>10134</v>
      </c>
      <c r="J4090" s="12" t="str">
        <f>HYPERLINK("https://www.boe.es/gazeta/dias/1802/12/07/pdfs/GMD-D-1802-99.pdf#page=3","Abrir facsímil")</f>
        <v>Abrir facsímil</v>
      </c>
      <c r="K4090" s="15" t="s">
        <v>23</v>
      </c>
    </row>
    <row r="4091" spans="1:11" ht="42" customHeight="1">
      <c r="A4091" s="4" t="s">
        <v>10135</v>
      </c>
      <c r="B4091" s="5" t="s">
        <v>10135</v>
      </c>
      <c r="C4091" s="5" t="s">
        <v>42</v>
      </c>
      <c r="D4091" s="5" t="s">
        <v>43</v>
      </c>
      <c r="E4091" s="5" t="s">
        <v>44</v>
      </c>
      <c r="F4091" s="9">
        <v>99</v>
      </c>
      <c r="G4091" s="9" t="s">
        <v>779</v>
      </c>
      <c r="H4091" s="5" t="s">
        <v>21</v>
      </c>
      <c r="I4091" s="5" t="s">
        <v>10136</v>
      </c>
      <c r="J4091" s="12" t="str">
        <f>HYPERLINK("https://www.boe.es/gazeta/dias/1802/12/07/pdfs/GMD-D-1802-99.pdf#page=13","Abrir facsímil")</f>
        <v>Abrir facsímil</v>
      </c>
      <c r="K4091" s="15" t="s">
        <v>23</v>
      </c>
    </row>
    <row r="4092" spans="1:11" ht="42" customHeight="1">
      <c r="A4092" s="4" t="s">
        <v>10137</v>
      </c>
      <c r="B4092" s="5" t="s">
        <v>10137</v>
      </c>
      <c r="C4092" s="5" t="s">
        <v>42</v>
      </c>
      <c r="D4092" s="5" t="s">
        <v>43</v>
      </c>
      <c r="E4092" s="5" t="s">
        <v>44</v>
      </c>
      <c r="F4092" s="9">
        <v>99</v>
      </c>
      <c r="G4092" s="9" t="s">
        <v>222</v>
      </c>
      <c r="H4092" s="5" t="s">
        <v>21</v>
      </c>
      <c r="I4092" s="5" t="s">
        <v>10138</v>
      </c>
      <c r="J4092" s="12" t="str">
        <f>HYPERLINK("https://www.boe.es/gazeta/dias/1802/12/07/pdfs/GMD-D-1802-99.pdf#page=5","Abrir facsímil")</f>
        <v>Abrir facsímil</v>
      </c>
      <c r="K4092" s="15" t="s">
        <v>23</v>
      </c>
    </row>
    <row r="4093" spans="1:11" ht="42" customHeight="1">
      <c r="A4093" s="4" t="s">
        <v>10139</v>
      </c>
      <c r="B4093" s="5" t="s">
        <v>10139</v>
      </c>
      <c r="C4093" s="5" t="s">
        <v>42</v>
      </c>
      <c r="D4093" s="5" t="s">
        <v>43</v>
      </c>
      <c r="E4093" s="5" t="s">
        <v>44</v>
      </c>
      <c r="F4093" s="9">
        <v>99</v>
      </c>
      <c r="G4093" s="9" t="s">
        <v>544</v>
      </c>
      <c r="H4093" s="5" t="s">
        <v>21</v>
      </c>
      <c r="I4093" s="5" t="s">
        <v>10140</v>
      </c>
      <c r="J4093" s="12" t="str">
        <f>HYPERLINK("https://www.boe.es/gazeta/dias/1802/12/07/pdfs/GMD-D-1802-99.pdf#page=11","Abrir facsímil")</f>
        <v>Abrir facsímil</v>
      </c>
      <c r="K4093" s="15" t="s">
        <v>23</v>
      </c>
    </row>
    <row r="4094" spans="1:11" ht="42" customHeight="1">
      <c r="A4094" s="4" t="s">
        <v>10139</v>
      </c>
      <c r="B4094" s="5" t="s">
        <v>10139</v>
      </c>
      <c r="C4094" s="5" t="s">
        <v>42</v>
      </c>
      <c r="D4094" s="5" t="s">
        <v>43</v>
      </c>
      <c r="E4094" s="5" t="s">
        <v>44</v>
      </c>
      <c r="F4094" s="9">
        <v>99</v>
      </c>
      <c r="G4094" s="9" t="s">
        <v>78</v>
      </c>
      <c r="H4094" s="5" t="s">
        <v>21</v>
      </c>
      <c r="I4094" s="5" t="s">
        <v>10141</v>
      </c>
      <c r="J4094" s="12" t="str">
        <f>HYPERLINK("https://www.boe.es/gazeta/dias/1802/12/07/pdfs/GMD-D-1802-99.pdf#page=15","Abrir facsímil")</f>
        <v>Abrir facsímil</v>
      </c>
      <c r="K4094" s="15" t="s">
        <v>23</v>
      </c>
    </row>
    <row r="4095" spans="1:11" ht="42" customHeight="1">
      <c r="A4095" s="4" t="s">
        <v>10142</v>
      </c>
      <c r="B4095" s="5" t="s">
        <v>10142</v>
      </c>
      <c r="C4095" s="5" t="s">
        <v>42</v>
      </c>
      <c r="D4095" s="5" t="s">
        <v>43</v>
      </c>
      <c r="E4095" s="5" t="s">
        <v>44</v>
      </c>
      <c r="F4095" s="9">
        <v>99</v>
      </c>
      <c r="G4095" s="9" t="s">
        <v>272</v>
      </c>
      <c r="H4095" s="5" t="s">
        <v>21</v>
      </c>
      <c r="I4095" s="5" t="s">
        <v>10143</v>
      </c>
      <c r="J4095" s="12" t="str">
        <f>HYPERLINK("https://www.boe.es/gazeta/dias/1802/12/07/pdfs/GMD-D-1802-99.pdf#page=3","Abrir facsímil")</f>
        <v>Abrir facsímil</v>
      </c>
      <c r="K4095" s="15" t="s">
        <v>23</v>
      </c>
    </row>
    <row r="4096" spans="1:11" ht="42" customHeight="1">
      <c r="A4096" s="4" t="s">
        <v>10144</v>
      </c>
      <c r="B4096" s="5" t="s">
        <v>10144</v>
      </c>
      <c r="C4096" s="5" t="s">
        <v>42</v>
      </c>
      <c r="D4096" s="5" t="s">
        <v>43</v>
      </c>
      <c r="E4096" s="5" t="s">
        <v>44</v>
      </c>
      <c r="F4096" s="9">
        <v>99</v>
      </c>
      <c r="G4096" s="9" t="s">
        <v>78</v>
      </c>
      <c r="H4096" s="5" t="s">
        <v>21</v>
      </c>
      <c r="I4096" s="5" t="s">
        <v>10145</v>
      </c>
      <c r="J4096" s="12" t="str">
        <f>HYPERLINK("https://www.boe.es/gazeta/dias/1802/12/07/pdfs/GMD-D-1802-99.pdf#page=15","Abrir facsímil")</f>
        <v>Abrir facsímil</v>
      </c>
      <c r="K4096" s="15" t="s">
        <v>23</v>
      </c>
    </row>
    <row r="4097" spans="1:11" ht="42" customHeight="1">
      <c r="A4097" s="4" t="s">
        <v>10146</v>
      </c>
      <c r="B4097" s="5" t="s">
        <v>10146</v>
      </c>
      <c r="C4097" s="5" t="s">
        <v>42</v>
      </c>
      <c r="D4097" s="5" t="s">
        <v>43</v>
      </c>
      <c r="E4097" s="5" t="s">
        <v>44</v>
      </c>
      <c r="F4097" s="9">
        <v>99</v>
      </c>
      <c r="G4097" s="9" t="s">
        <v>779</v>
      </c>
      <c r="H4097" s="5" t="s">
        <v>21</v>
      </c>
      <c r="I4097" s="5" t="s">
        <v>10147</v>
      </c>
      <c r="J4097" s="12" t="str">
        <f>HYPERLINK("https://www.boe.es/gazeta/dias/1802/12/07/pdfs/GMD-D-1802-99.pdf#page=13","Abrir facsímil")</f>
        <v>Abrir facsímil</v>
      </c>
      <c r="K4097" s="15" t="s">
        <v>23</v>
      </c>
    </row>
    <row r="4098" spans="1:11" ht="42" customHeight="1">
      <c r="A4098" s="4" t="s">
        <v>10148</v>
      </c>
      <c r="B4098" s="5" t="s">
        <v>10148</v>
      </c>
      <c r="C4098" s="5" t="s">
        <v>42</v>
      </c>
      <c r="D4098" s="5" t="s">
        <v>43</v>
      </c>
      <c r="E4098" s="5" t="s">
        <v>44</v>
      </c>
      <c r="F4098" s="9">
        <v>99</v>
      </c>
      <c r="G4098" s="9" t="s">
        <v>78</v>
      </c>
      <c r="H4098" s="5" t="s">
        <v>21</v>
      </c>
      <c r="I4098" s="5" t="s">
        <v>10149</v>
      </c>
      <c r="J4098" s="12" t="str">
        <f>HYPERLINK("https://www.boe.es/gazeta/dias/1802/12/07/pdfs/GMD-D-1802-99.pdf#page=15","Abrir facsímil")</f>
        <v>Abrir facsímil</v>
      </c>
      <c r="K4098" s="15" t="s">
        <v>23</v>
      </c>
    </row>
    <row r="4099" spans="1:11" ht="42" customHeight="1">
      <c r="A4099" s="4" t="s">
        <v>10150</v>
      </c>
      <c r="B4099" s="5" t="s">
        <v>10150</v>
      </c>
      <c r="C4099" s="5" t="s">
        <v>42</v>
      </c>
      <c r="D4099" s="5" t="s">
        <v>43</v>
      </c>
      <c r="E4099" s="5" t="s">
        <v>44</v>
      </c>
      <c r="F4099" s="9">
        <v>99</v>
      </c>
      <c r="G4099" s="9" t="s">
        <v>779</v>
      </c>
      <c r="H4099" s="5" t="s">
        <v>21</v>
      </c>
      <c r="I4099" s="5" t="s">
        <v>10151</v>
      </c>
      <c r="J4099" s="12" t="str">
        <f>HYPERLINK("https://www.boe.es/gazeta/dias/1802/12/07/pdfs/GMD-D-1802-99.pdf#page=13","Abrir facsímil")</f>
        <v>Abrir facsímil</v>
      </c>
      <c r="K4099" s="15" t="s">
        <v>23</v>
      </c>
    </row>
    <row r="4100" spans="1:11" ht="42" customHeight="1">
      <c r="A4100" s="4" t="s">
        <v>10152</v>
      </c>
      <c r="B4100" s="5" t="s">
        <v>10152</v>
      </c>
      <c r="C4100" s="5" t="s">
        <v>42</v>
      </c>
      <c r="D4100" s="5" t="s">
        <v>43</v>
      </c>
      <c r="E4100" s="5" t="s">
        <v>44</v>
      </c>
      <c r="F4100" s="9">
        <v>99</v>
      </c>
      <c r="G4100" s="9" t="s">
        <v>537</v>
      </c>
      <c r="H4100" s="5" t="s">
        <v>21</v>
      </c>
      <c r="I4100" s="5" t="s">
        <v>10153</v>
      </c>
      <c r="J4100" s="12" t="str">
        <f>HYPERLINK("https://www.boe.es/gazeta/dias/1802/12/07/pdfs/GMD-D-1802-99.pdf#page=9","Abrir facsímil")</f>
        <v>Abrir facsímil</v>
      </c>
      <c r="K4100" s="15" t="s">
        <v>23</v>
      </c>
    </row>
    <row r="4101" spans="1:11" ht="42" customHeight="1">
      <c r="A4101" s="4" t="s">
        <v>10154</v>
      </c>
      <c r="B4101" s="5" t="s">
        <v>10154</v>
      </c>
      <c r="C4101" s="5" t="s">
        <v>42</v>
      </c>
      <c r="D4101" s="5" t="s">
        <v>43</v>
      </c>
      <c r="E4101" s="5" t="s">
        <v>44</v>
      </c>
      <c r="F4101" s="9">
        <v>99</v>
      </c>
      <c r="G4101" s="9" t="s">
        <v>78</v>
      </c>
      <c r="H4101" s="5" t="s">
        <v>21</v>
      </c>
      <c r="I4101" s="5" t="s">
        <v>10155</v>
      </c>
      <c r="J4101" s="12" t="str">
        <f>HYPERLINK("https://www.boe.es/gazeta/dias/1802/12/07/pdfs/GMD-D-1802-99.pdf#page=15","Abrir facsímil")</f>
        <v>Abrir facsímil</v>
      </c>
      <c r="K4101" s="15" t="s">
        <v>23</v>
      </c>
    </row>
    <row r="4102" spans="1:11" ht="42" customHeight="1">
      <c r="A4102" s="4" t="s">
        <v>10156</v>
      </c>
      <c r="B4102" s="5" t="s">
        <v>10156</v>
      </c>
      <c r="C4102" s="5" t="s">
        <v>42</v>
      </c>
      <c r="D4102" s="5" t="s">
        <v>43</v>
      </c>
      <c r="E4102" s="5" t="s">
        <v>44</v>
      </c>
      <c r="F4102" s="9">
        <v>99</v>
      </c>
      <c r="G4102" s="9" t="s">
        <v>272</v>
      </c>
      <c r="H4102" s="5" t="s">
        <v>21</v>
      </c>
      <c r="I4102" s="5" t="s">
        <v>10157</v>
      </c>
      <c r="J4102" s="12" t="str">
        <f>HYPERLINK("https://www.boe.es/gazeta/dias/1802/12/07/pdfs/GMD-D-1802-99.pdf#page=3","Abrir facsímil")</f>
        <v>Abrir facsímil</v>
      </c>
      <c r="K4102" s="15" t="s">
        <v>23</v>
      </c>
    </row>
    <row r="4103" spans="1:11" ht="42" customHeight="1">
      <c r="A4103" s="4" t="s">
        <v>10158</v>
      </c>
      <c r="B4103" s="5" t="s">
        <v>10158</v>
      </c>
      <c r="C4103" s="5" t="s">
        <v>42</v>
      </c>
      <c r="D4103" s="5" t="s">
        <v>43</v>
      </c>
      <c r="E4103" s="5" t="s">
        <v>44</v>
      </c>
      <c r="F4103" s="9">
        <v>99</v>
      </c>
      <c r="G4103" s="9" t="s">
        <v>295</v>
      </c>
      <c r="H4103" s="5" t="s">
        <v>21</v>
      </c>
      <c r="I4103" s="5" t="s">
        <v>10159</v>
      </c>
      <c r="J4103" s="12" t="str">
        <f>HYPERLINK("https://www.boe.es/gazeta/dias/1802/12/07/pdfs/GMD-D-1802-99.pdf#page=7","Abrir facsímil")</f>
        <v>Abrir facsímil</v>
      </c>
      <c r="K4103" s="15" t="s">
        <v>23</v>
      </c>
    </row>
    <row r="4104" spans="1:11" ht="42" customHeight="1">
      <c r="A4104" s="4" t="s">
        <v>10160</v>
      </c>
      <c r="B4104" s="5" t="s">
        <v>10160</v>
      </c>
      <c r="C4104" s="5" t="s">
        <v>42</v>
      </c>
      <c r="D4104" s="5" t="s">
        <v>43</v>
      </c>
      <c r="E4104" s="5" t="s">
        <v>44</v>
      </c>
      <c r="F4104" s="9">
        <v>99</v>
      </c>
      <c r="G4104" s="9" t="s">
        <v>78</v>
      </c>
      <c r="H4104" s="5" t="s">
        <v>21</v>
      </c>
      <c r="I4104" s="5" t="s">
        <v>10161</v>
      </c>
      <c r="J4104" s="12" t="str">
        <f>HYPERLINK("https://www.boe.es/gazeta/dias/1802/12/07/pdfs/GMD-D-1802-99.pdf#page=15","Abrir facsímil")</f>
        <v>Abrir facsímil</v>
      </c>
      <c r="K4104" s="15" t="s">
        <v>23</v>
      </c>
    </row>
    <row r="4105" spans="1:11" ht="42" customHeight="1">
      <c r="A4105" s="4" t="s">
        <v>10162</v>
      </c>
      <c r="B4105" s="5" t="s">
        <v>10162</v>
      </c>
      <c r="C4105" s="5" t="s">
        <v>42</v>
      </c>
      <c r="D4105" s="5" t="s">
        <v>43</v>
      </c>
      <c r="E4105" s="5" t="s">
        <v>44</v>
      </c>
      <c r="F4105" s="9">
        <v>99</v>
      </c>
      <c r="G4105" s="9" t="s">
        <v>544</v>
      </c>
      <c r="H4105" s="5" t="s">
        <v>21</v>
      </c>
      <c r="I4105" s="5" t="s">
        <v>10163</v>
      </c>
      <c r="J4105" s="12" t="str">
        <f>HYPERLINK("https://www.boe.es/gazeta/dias/1802/12/07/pdfs/GMD-D-1802-99.pdf#page=11","Abrir facsímil")</f>
        <v>Abrir facsímil</v>
      </c>
      <c r="K4105" s="15" t="s">
        <v>23</v>
      </c>
    </row>
    <row r="4106" spans="1:11" ht="42" customHeight="1">
      <c r="A4106" s="4" t="s">
        <v>10164</v>
      </c>
      <c r="B4106" s="5" t="s">
        <v>10164</v>
      </c>
      <c r="C4106" s="5" t="s">
        <v>42</v>
      </c>
      <c r="D4106" s="5" t="s">
        <v>43</v>
      </c>
      <c r="E4106" s="5" t="s">
        <v>44</v>
      </c>
      <c r="F4106" s="9">
        <v>99</v>
      </c>
      <c r="G4106" s="9" t="s">
        <v>314</v>
      </c>
      <c r="H4106" s="5" t="s">
        <v>21</v>
      </c>
      <c r="I4106" s="5" t="s">
        <v>10165</v>
      </c>
      <c r="J4106" s="12" t="str">
        <f>HYPERLINK("https://www.boe.es/gazeta/dias/1802/12/07/pdfs/GMD-D-1802-99.pdf#page=2","Abrir facsímil")</f>
        <v>Abrir facsímil</v>
      </c>
      <c r="K4106" s="15" t="s">
        <v>23</v>
      </c>
    </row>
    <row r="4107" spans="1:11" ht="42" customHeight="1">
      <c r="A4107" s="4" t="s">
        <v>10166</v>
      </c>
      <c r="B4107" s="5" t="s">
        <v>10166</v>
      </c>
      <c r="C4107" s="5" t="s">
        <v>42</v>
      </c>
      <c r="D4107" s="5" t="s">
        <v>43</v>
      </c>
      <c r="E4107" s="5" t="s">
        <v>44</v>
      </c>
      <c r="F4107" s="9">
        <v>99</v>
      </c>
      <c r="G4107" s="9" t="s">
        <v>314</v>
      </c>
      <c r="H4107" s="5" t="s">
        <v>21</v>
      </c>
      <c r="I4107" s="5" t="s">
        <v>10167</v>
      </c>
      <c r="J4107" s="12" t="str">
        <f>HYPERLINK("https://www.boe.es/gazeta/dias/1802/12/07/pdfs/GMD-D-1802-99.pdf#page=2","Abrir facsímil")</f>
        <v>Abrir facsímil</v>
      </c>
      <c r="K4107" s="15" t="s">
        <v>23</v>
      </c>
    </row>
    <row r="4108" spans="1:11" ht="42" customHeight="1">
      <c r="A4108" s="4" t="s">
        <v>10168</v>
      </c>
      <c r="B4108" s="5" t="s">
        <v>10168</v>
      </c>
      <c r="C4108" s="5" t="s">
        <v>42</v>
      </c>
      <c r="D4108" s="5" t="s">
        <v>43</v>
      </c>
      <c r="E4108" s="5" t="s">
        <v>44</v>
      </c>
      <c r="F4108" s="9">
        <v>99</v>
      </c>
      <c r="G4108" s="9" t="s">
        <v>779</v>
      </c>
      <c r="H4108" s="5" t="s">
        <v>21</v>
      </c>
      <c r="I4108" s="5" t="s">
        <v>10169</v>
      </c>
      <c r="J4108" s="12" t="str">
        <f>HYPERLINK("https://www.boe.es/gazeta/dias/1802/12/07/pdfs/GMD-D-1802-99.pdf#page=13","Abrir facsímil")</f>
        <v>Abrir facsímil</v>
      </c>
      <c r="K4108" s="15" t="s">
        <v>23</v>
      </c>
    </row>
    <row r="4109" spans="1:11" ht="42" customHeight="1">
      <c r="A4109" s="4" t="s">
        <v>10170</v>
      </c>
      <c r="B4109" s="5" t="s">
        <v>10170</v>
      </c>
      <c r="C4109" s="5" t="s">
        <v>42</v>
      </c>
      <c r="D4109" s="5" t="s">
        <v>43</v>
      </c>
      <c r="E4109" s="5" t="s">
        <v>44</v>
      </c>
      <c r="F4109" s="9">
        <v>99</v>
      </c>
      <c r="G4109" s="9" t="s">
        <v>45</v>
      </c>
      <c r="H4109" s="5" t="s">
        <v>21</v>
      </c>
      <c r="I4109" s="5" t="s">
        <v>10171</v>
      </c>
      <c r="J4109" s="12" t="str">
        <f>HYPERLINK("https://www.boe.es/gazeta/dias/1802/12/07/pdfs/GMD-D-1802-99.pdf#page=14","Abrir facsímil")</f>
        <v>Abrir facsímil</v>
      </c>
      <c r="K4109" s="15" t="s">
        <v>23</v>
      </c>
    </row>
    <row r="4110" spans="1:11" ht="42" customHeight="1">
      <c r="A4110" s="4" t="s">
        <v>10172</v>
      </c>
      <c r="B4110" s="5" t="s">
        <v>10172</v>
      </c>
      <c r="C4110" s="5" t="s">
        <v>42</v>
      </c>
      <c r="D4110" s="5" t="s">
        <v>43</v>
      </c>
      <c r="E4110" s="5" t="s">
        <v>44</v>
      </c>
      <c r="F4110" s="9">
        <v>99</v>
      </c>
      <c r="G4110" s="9" t="s">
        <v>222</v>
      </c>
      <c r="H4110" s="5" t="s">
        <v>21</v>
      </c>
      <c r="I4110" s="5" t="s">
        <v>10173</v>
      </c>
      <c r="J4110" s="12" t="str">
        <f>HYPERLINK("https://www.boe.es/gazeta/dias/1802/12/07/pdfs/GMD-D-1802-99.pdf#page=5","Abrir facsímil")</f>
        <v>Abrir facsímil</v>
      </c>
      <c r="K4110" s="15" t="s">
        <v>23</v>
      </c>
    </row>
    <row r="4111" spans="1:11" ht="42" customHeight="1">
      <c r="A4111" s="4" t="s">
        <v>10174</v>
      </c>
      <c r="B4111" s="5" t="s">
        <v>10174</v>
      </c>
      <c r="C4111" s="5" t="s">
        <v>90</v>
      </c>
      <c r="D4111" s="5" t="s">
        <v>91</v>
      </c>
      <c r="E4111" s="5" t="s">
        <v>865</v>
      </c>
      <c r="F4111" s="9">
        <v>12</v>
      </c>
      <c r="G4111" s="9">
        <v>124</v>
      </c>
      <c r="H4111" s="5" t="s">
        <v>21</v>
      </c>
      <c r="I4111" s="5" t="s">
        <v>10175</v>
      </c>
      <c r="J4111" s="12" t="str">
        <f>HYPERLINK("https://www.boe.es/gazeta/dias/1802/02/09/pdfs/GMD-1802-12.pdf#page=8","Abrir facsímil")</f>
        <v>Abrir facsímil</v>
      </c>
      <c r="K4111" s="15" t="s">
        <v>23</v>
      </c>
    </row>
    <row r="4112" spans="1:11" ht="42" customHeight="1">
      <c r="A4112" s="4" t="s">
        <v>10176</v>
      </c>
      <c r="B4112" s="5" t="s">
        <v>10176</v>
      </c>
      <c r="C4112" s="5" t="s">
        <v>18</v>
      </c>
      <c r="D4112" s="5" t="s">
        <v>19</v>
      </c>
      <c r="E4112" s="5" t="s">
        <v>20</v>
      </c>
      <c r="F4112" s="9">
        <v>84</v>
      </c>
      <c r="G4112" s="9">
        <v>1042</v>
      </c>
      <c r="H4112" s="5" t="s">
        <v>21</v>
      </c>
      <c r="I4112" s="5" t="s">
        <v>10177</v>
      </c>
      <c r="J4112" s="12" t="str">
        <f>HYPERLINK("https://www.boe.es/gazeta/dias/1802/10/15/pdfs/GMD-1802-84.pdf#page=10","Abrir facsímil")</f>
        <v>Abrir facsímil</v>
      </c>
      <c r="K4112" s="15" t="s">
        <v>23</v>
      </c>
    </row>
    <row r="4113" spans="1:11" ht="42" customHeight="1">
      <c r="A4113" s="4" t="s">
        <v>10178</v>
      </c>
      <c r="B4113" s="5" t="s">
        <v>10178</v>
      </c>
      <c r="C4113" s="5" t="s">
        <v>29</v>
      </c>
      <c r="D4113" s="5" t="s">
        <v>30</v>
      </c>
      <c r="E4113" s="5" t="s">
        <v>1381</v>
      </c>
      <c r="F4113" s="9">
        <v>17</v>
      </c>
      <c r="G4113" s="9">
        <v>185</v>
      </c>
      <c r="H4113" s="5" t="s">
        <v>21</v>
      </c>
      <c r="I4113" s="5" t="s">
        <v>10179</v>
      </c>
      <c r="J4113" s="12" t="str">
        <f>HYPERLINK("https://www.boe.es/gazeta/dias/1802/02/26/pdfs/GMD-1802-17.pdf#page=9","Abrir facsímil")</f>
        <v>Abrir facsímil</v>
      </c>
      <c r="K4113" s="15" t="s">
        <v>23</v>
      </c>
    </row>
    <row r="4114" spans="1:11" ht="42" customHeight="1">
      <c r="A4114" s="4" t="s">
        <v>10180</v>
      </c>
      <c r="B4114" s="5" t="s">
        <v>10180</v>
      </c>
      <c r="C4114" s="5" t="s">
        <v>29</v>
      </c>
      <c r="D4114" s="5" t="s">
        <v>30</v>
      </c>
      <c r="E4114" s="5" t="s">
        <v>339</v>
      </c>
      <c r="F4114" s="9">
        <v>39</v>
      </c>
      <c r="G4114" s="9">
        <v>468</v>
      </c>
      <c r="H4114" s="5" t="s">
        <v>21</v>
      </c>
      <c r="I4114" s="5" t="s">
        <v>10181</v>
      </c>
      <c r="J4114" s="12" t="str">
        <f>HYPERLINK("https://www.boe.es/gazeta/dias/1802/05/14/pdfs/GMD-1802-39.pdf#page=12","Abrir facsímil")</f>
        <v>Abrir facsímil</v>
      </c>
      <c r="K4114" s="15" t="s">
        <v>23</v>
      </c>
    </row>
    <row r="4115" spans="1:11" ht="42" customHeight="1">
      <c r="A4115" s="4" t="s">
        <v>10182</v>
      </c>
      <c r="B4115" s="5" t="s">
        <v>10182</v>
      </c>
      <c r="C4115" s="5" t="s">
        <v>18</v>
      </c>
      <c r="D4115" s="5" t="s">
        <v>19</v>
      </c>
      <c r="E4115" s="5" t="s">
        <v>491</v>
      </c>
      <c r="F4115" s="9">
        <v>57</v>
      </c>
      <c r="G4115" s="9">
        <v>690</v>
      </c>
      <c r="H4115" s="5" t="s">
        <v>21</v>
      </c>
      <c r="I4115" s="5" t="s">
        <v>10183</v>
      </c>
      <c r="J4115" s="12" t="str">
        <f>HYPERLINK("https://www.boe.es/gazeta/dias/1802/07/16/pdfs/GMD-1802-57.pdf#page=10","Abrir facsímil")</f>
        <v>Abrir facsímil</v>
      </c>
      <c r="K4115" s="15" t="s">
        <v>23</v>
      </c>
    </row>
    <row r="4116" spans="1:11" ht="42" customHeight="1">
      <c r="A4116" s="4" t="s">
        <v>10184</v>
      </c>
      <c r="B4116" s="5" t="s">
        <v>10184</v>
      </c>
      <c r="C4116" s="5" t="s">
        <v>29</v>
      </c>
      <c r="D4116" s="5" t="s">
        <v>30</v>
      </c>
      <c r="E4116" s="5" t="s">
        <v>49</v>
      </c>
      <c r="F4116" s="9">
        <v>83</v>
      </c>
      <c r="G4116" s="9">
        <v>1023</v>
      </c>
      <c r="H4116" s="5" t="s">
        <v>21</v>
      </c>
      <c r="I4116" s="5" t="s">
        <v>10185</v>
      </c>
      <c r="J4116" s="12" t="str">
        <f>HYPERLINK("https://www.boe.es/gazeta/dias/1802/10/12/pdfs/GMD-1802-83.pdf#page=11","Abrir facsímil")</f>
        <v>Abrir facsímil</v>
      </c>
      <c r="K4116" s="15" t="s">
        <v>23</v>
      </c>
    </row>
    <row r="4117" spans="1:11" ht="42" customHeight="1">
      <c r="A4117" s="4" t="s">
        <v>10186</v>
      </c>
      <c r="B4117" s="5" t="s">
        <v>10186</v>
      </c>
      <c r="C4117" s="5" t="s">
        <v>160</v>
      </c>
      <c r="D4117" s="5" t="s">
        <v>91</v>
      </c>
      <c r="E4117" s="5" t="s">
        <v>131</v>
      </c>
      <c r="F4117" s="9">
        <v>11</v>
      </c>
      <c r="G4117" s="9">
        <v>113</v>
      </c>
      <c r="H4117" s="5" t="s">
        <v>21</v>
      </c>
      <c r="I4117" s="5" t="s">
        <v>10187</v>
      </c>
      <c r="J4117" s="12" t="str">
        <f>HYPERLINK("https://www.boe.es/gazeta/dias/1802/02/05/pdfs/GMD-1802-11.pdf#page=9","Abrir facsímil")</f>
        <v>Abrir facsímil</v>
      </c>
      <c r="K4117" s="15" t="s">
        <v>23</v>
      </c>
    </row>
    <row r="4118" spans="1:11" ht="42" customHeight="1">
      <c r="A4118" s="4" t="s">
        <v>10188</v>
      </c>
      <c r="B4118" s="5" t="s">
        <v>10188</v>
      </c>
      <c r="C4118" s="5" t="s">
        <v>18</v>
      </c>
      <c r="D4118" s="5" t="s">
        <v>19</v>
      </c>
      <c r="E4118" s="5" t="s">
        <v>206</v>
      </c>
      <c r="F4118" s="9">
        <v>22</v>
      </c>
      <c r="G4118" s="9">
        <v>242</v>
      </c>
      <c r="H4118" s="5" t="s">
        <v>21</v>
      </c>
      <c r="I4118" s="5" t="s">
        <v>10189</v>
      </c>
      <c r="J4118" s="12" t="str">
        <f>HYPERLINK("https://www.boe.es/gazeta/dias/1802/03/16/pdfs/GMD-1802-22.pdf#page=10","Abrir facsímil")</f>
        <v>Abrir facsímil</v>
      </c>
      <c r="K4118" s="15" t="s">
        <v>23</v>
      </c>
    </row>
    <row r="4119" spans="1:11" ht="42" customHeight="1">
      <c r="A4119" s="4" t="s">
        <v>10190</v>
      </c>
      <c r="B4119" s="5" t="s">
        <v>10190</v>
      </c>
      <c r="C4119" s="5" t="s">
        <v>90</v>
      </c>
      <c r="D4119" s="5" t="s">
        <v>91</v>
      </c>
      <c r="E4119" s="5" t="s">
        <v>642</v>
      </c>
      <c r="F4119" s="9">
        <v>51</v>
      </c>
      <c r="G4119" s="9">
        <v>623</v>
      </c>
      <c r="H4119" s="5" t="s">
        <v>21</v>
      </c>
      <c r="I4119" s="5" t="s">
        <v>10191</v>
      </c>
      <c r="J4119" s="12" t="str">
        <f>HYPERLINK("https://www.boe.es/gazeta/dias/1802/06/25/pdfs/GMD-1802-51.pdf#page=11","Abrir facsímil")</f>
        <v>Abrir facsímil</v>
      </c>
      <c r="K4119" s="15" t="s">
        <v>23</v>
      </c>
    </row>
    <row r="4120" spans="1:11" ht="42" customHeight="1">
      <c r="A4120" s="4" t="s">
        <v>10192</v>
      </c>
      <c r="B4120" s="5" t="s">
        <v>10193</v>
      </c>
      <c r="C4120" s="5" t="s">
        <v>90</v>
      </c>
      <c r="D4120" s="5" t="s">
        <v>91</v>
      </c>
      <c r="E4120" s="5" t="s">
        <v>642</v>
      </c>
      <c r="F4120" s="9">
        <v>51</v>
      </c>
      <c r="G4120" s="9">
        <v>623</v>
      </c>
      <c r="H4120" s="5" t="s">
        <v>21</v>
      </c>
      <c r="I4120" s="5" t="s">
        <v>10194</v>
      </c>
      <c r="J4120" s="12" t="str">
        <f>HYPERLINK("https://www.boe.es/gazeta/dias/1802/06/25/pdfs/GMD-1802-51.pdf#page=11","Abrir facsímil")</f>
        <v>Abrir facsímil</v>
      </c>
      <c r="K4120" s="15" t="s">
        <v>23</v>
      </c>
    </row>
    <row r="4121" spans="1:11" ht="42" customHeight="1">
      <c r="A4121" s="4" t="s">
        <v>10195</v>
      </c>
      <c r="B4121" s="5" t="s">
        <v>10195</v>
      </c>
      <c r="C4121" s="5" t="s">
        <v>90</v>
      </c>
      <c r="D4121" s="5" t="s">
        <v>91</v>
      </c>
      <c r="E4121" s="5" t="s">
        <v>75</v>
      </c>
      <c r="F4121" s="9">
        <v>103</v>
      </c>
      <c r="G4121" s="9">
        <v>1263</v>
      </c>
      <c r="H4121" s="5" t="s">
        <v>21</v>
      </c>
      <c r="I4121" s="5" t="s">
        <v>10196</v>
      </c>
      <c r="J4121" s="12" t="str">
        <f>HYPERLINK("https://www.boe.es/gazeta/dias/1802/12/21/pdfs/GMD-1802-103.pdf#page=7","Abrir facsímil")</f>
        <v>Abrir facsímil</v>
      </c>
      <c r="K4121" s="15" t="s">
        <v>23</v>
      </c>
    </row>
    <row r="4122" spans="1:11" ht="42" customHeight="1">
      <c r="A4122" s="4" t="s">
        <v>10197</v>
      </c>
      <c r="B4122" s="5" t="s">
        <v>10198</v>
      </c>
      <c r="C4122" s="5" t="s">
        <v>90</v>
      </c>
      <c r="D4122" s="5" t="s">
        <v>91</v>
      </c>
      <c r="E4122" s="5" t="s">
        <v>1381</v>
      </c>
      <c r="F4122" s="9">
        <v>17</v>
      </c>
      <c r="G4122" s="9">
        <v>186</v>
      </c>
      <c r="H4122" s="5" t="s">
        <v>21</v>
      </c>
      <c r="I4122" s="5" t="s">
        <v>10199</v>
      </c>
      <c r="J4122" s="12" t="str">
        <f>HYPERLINK("https://www.boe.es/gazeta/dias/1802/02/26/pdfs/GMD-1802-17.pdf#page=10","Abrir facsímil")</f>
        <v>Abrir facsímil</v>
      </c>
      <c r="K4122" s="15" t="s">
        <v>23</v>
      </c>
    </row>
    <row r="4123" spans="1:11" ht="42" customHeight="1">
      <c r="A4123" s="4" t="s">
        <v>10200</v>
      </c>
      <c r="B4123" s="5" t="s">
        <v>10200</v>
      </c>
      <c r="C4123" s="5" t="s">
        <v>160</v>
      </c>
      <c r="D4123" s="5" t="s">
        <v>91</v>
      </c>
      <c r="E4123" s="5" t="s">
        <v>611</v>
      </c>
      <c r="F4123" s="9">
        <v>68</v>
      </c>
      <c r="G4123" s="9">
        <v>832</v>
      </c>
      <c r="H4123" s="5" t="s">
        <v>21</v>
      </c>
      <c r="I4123" s="5" t="s">
        <v>10201</v>
      </c>
      <c r="J4123" s="12" t="str">
        <f>HYPERLINK("https://www.boe.es/gazeta/dias/1802/08/20/pdfs/GMD-1802-68.pdf#page=8","Abrir facsímil")</f>
        <v>Abrir facsímil</v>
      </c>
      <c r="K4123" s="15" t="s">
        <v>23</v>
      </c>
    </row>
    <row r="4124" spans="1:11" ht="42" customHeight="1">
      <c r="A4124" s="4" t="s">
        <v>10202</v>
      </c>
      <c r="B4124" s="5" t="s">
        <v>10203</v>
      </c>
      <c r="C4124" s="5" t="s">
        <v>29</v>
      </c>
      <c r="D4124" s="5" t="s">
        <v>30</v>
      </c>
      <c r="E4124" s="5" t="s">
        <v>678</v>
      </c>
      <c r="F4124" s="9">
        <v>15</v>
      </c>
      <c r="G4124" s="9">
        <v>150</v>
      </c>
      <c r="H4124" s="5" t="s">
        <v>21</v>
      </c>
      <c r="I4124" s="5" t="s">
        <v>10204</v>
      </c>
      <c r="J4124" s="12" t="str">
        <f>HYPERLINK("https://www.boe.es/gazeta/dias/1802/02/19/pdfs/GMD-1802-15.pdf#page=2","Abrir facsímil")</f>
        <v>Abrir facsímil</v>
      </c>
      <c r="K4124" s="15" t="s">
        <v>23</v>
      </c>
    </row>
    <row r="4125" spans="1:11" ht="42" customHeight="1">
      <c r="A4125" s="4" t="s">
        <v>10202</v>
      </c>
      <c r="B4125" s="5" t="s">
        <v>10203</v>
      </c>
      <c r="C4125" s="5" t="s">
        <v>35</v>
      </c>
      <c r="D4125" s="5" t="s">
        <v>36</v>
      </c>
      <c r="E4125" s="5" t="s">
        <v>299</v>
      </c>
      <c r="F4125" s="9">
        <v>19</v>
      </c>
      <c r="G4125" s="9">
        <v>202</v>
      </c>
      <c r="H4125" s="5" t="s">
        <v>21</v>
      </c>
      <c r="I4125" s="5" t="s">
        <v>10205</v>
      </c>
      <c r="J4125" s="12" t="str">
        <f>HYPERLINK("https://www.boe.es/gazeta/dias/1802/03/05/pdfs/GMD-1802-19.pdf#page=2","Abrir facsímil")</f>
        <v>Abrir facsímil</v>
      </c>
      <c r="K4125" s="15" t="s">
        <v>23</v>
      </c>
    </row>
    <row r="4126" spans="1:11" ht="42" customHeight="1">
      <c r="A4126" s="4" t="s">
        <v>10206</v>
      </c>
      <c r="B4126" s="5" t="s">
        <v>10206</v>
      </c>
      <c r="C4126" s="5" t="s">
        <v>35</v>
      </c>
      <c r="D4126" s="5" t="s">
        <v>36</v>
      </c>
      <c r="E4126" s="5" t="s">
        <v>814</v>
      </c>
      <c r="F4126" s="9">
        <v>41</v>
      </c>
      <c r="G4126" s="9">
        <v>486</v>
      </c>
      <c r="H4126" s="5" t="s">
        <v>21</v>
      </c>
      <c r="I4126" s="5" t="s">
        <v>10207</v>
      </c>
      <c r="J4126" s="12" t="str">
        <f>HYPERLINK("https://www.boe.es/gazeta/dias/1802/05/21/pdfs/GMD-1802-41.pdf#page=2","Abrir facsímil")</f>
        <v>Abrir facsímil</v>
      </c>
      <c r="K4126" s="15" t="s">
        <v>23</v>
      </c>
    </row>
    <row r="4127" spans="1:11" ht="42" customHeight="1">
      <c r="A4127" s="4" t="s">
        <v>10208</v>
      </c>
      <c r="B4127" s="5" t="s">
        <v>10209</v>
      </c>
      <c r="C4127" s="5" t="s">
        <v>29</v>
      </c>
      <c r="D4127" s="5" t="s">
        <v>30</v>
      </c>
      <c r="E4127" s="5" t="s">
        <v>142</v>
      </c>
      <c r="F4127" s="9">
        <v>64</v>
      </c>
      <c r="G4127" s="9">
        <v>776</v>
      </c>
      <c r="H4127" s="5" t="s">
        <v>21</v>
      </c>
      <c r="I4127" s="5" t="s">
        <v>10210</v>
      </c>
      <c r="J4127" s="12" t="str">
        <f>HYPERLINK("https://www.boe.es/gazeta/dias/1802/08/06/pdfs/GMD-1802-64.pdf#page=4","Abrir facsímil")</f>
        <v>Abrir facsímil</v>
      </c>
      <c r="K4127" s="15" t="s">
        <v>23</v>
      </c>
    </row>
    <row r="4128" spans="1:11" ht="42" customHeight="1">
      <c r="A4128" s="4" t="s">
        <v>10211</v>
      </c>
      <c r="B4128" s="5" t="s">
        <v>10211</v>
      </c>
      <c r="C4128" s="5" t="s">
        <v>18</v>
      </c>
      <c r="D4128" s="5" t="s">
        <v>19</v>
      </c>
      <c r="E4128" s="5" t="s">
        <v>20</v>
      </c>
      <c r="F4128" s="9">
        <v>84</v>
      </c>
      <c r="G4128" s="9">
        <v>1040</v>
      </c>
      <c r="H4128" s="5" t="s">
        <v>21</v>
      </c>
      <c r="I4128" s="5" t="s">
        <v>10212</v>
      </c>
      <c r="J4128" s="12" t="str">
        <f>HYPERLINK("https://www.boe.es/gazeta/dias/1802/10/15/pdfs/GMD-1802-84.pdf#page=8","Abrir facsímil")</f>
        <v>Abrir facsímil</v>
      </c>
      <c r="K4128" s="15" t="s">
        <v>23</v>
      </c>
    </row>
    <row r="4129" spans="1:11" ht="42" customHeight="1">
      <c r="A4129" s="4" t="s">
        <v>10213</v>
      </c>
      <c r="B4129" s="5" t="s">
        <v>10213</v>
      </c>
      <c r="C4129" s="5" t="s">
        <v>90</v>
      </c>
      <c r="D4129" s="5" t="s">
        <v>91</v>
      </c>
      <c r="E4129" s="5" t="s">
        <v>714</v>
      </c>
      <c r="F4129" s="9">
        <v>89</v>
      </c>
      <c r="G4129" s="9">
        <v>1107</v>
      </c>
      <c r="H4129" s="5" t="s">
        <v>21</v>
      </c>
      <c r="I4129" s="5" t="s">
        <v>10214</v>
      </c>
      <c r="J4129" s="12" t="str">
        <f>HYPERLINK("https://www.boe.es/gazeta/dias/1802/11/02/pdfs/GMD-1802-89.pdf#page=11","Abrir facsímil")</f>
        <v>Abrir facsímil</v>
      </c>
      <c r="K4129" s="15" t="s">
        <v>23</v>
      </c>
    </row>
    <row r="4130" spans="1:11" ht="42" customHeight="1">
      <c r="A4130" s="4" t="s">
        <v>10215</v>
      </c>
      <c r="B4130" s="5" t="s">
        <v>10215</v>
      </c>
      <c r="C4130" s="5" t="s">
        <v>18</v>
      </c>
      <c r="D4130" s="5" t="s">
        <v>19</v>
      </c>
      <c r="E4130" s="5" t="s">
        <v>37</v>
      </c>
      <c r="F4130" s="9">
        <v>106</v>
      </c>
      <c r="G4130" s="9">
        <v>1294</v>
      </c>
      <c r="H4130" s="5" t="s">
        <v>21</v>
      </c>
      <c r="I4130" s="5" t="s">
        <v>10216</v>
      </c>
      <c r="J4130" s="12" t="str">
        <f>HYPERLINK("https://www.boe.es/gazeta/dias/1802/12/31/pdfs/GMD-1802-106.pdf#page=6","Abrir facsímil")</f>
        <v>Abrir facsímil</v>
      </c>
      <c r="K4130" s="15" t="s">
        <v>23</v>
      </c>
    </row>
    <row r="4131" spans="1:11" ht="42" customHeight="1">
      <c r="A4131" s="4" t="s">
        <v>10217</v>
      </c>
      <c r="B4131" s="5" t="s">
        <v>10217</v>
      </c>
      <c r="C4131" s="5" t="s">
        <v>35</v>
      </c>
      <c r="D4131" s="5" t="s">
        <v>36</v>
      </c>
      <c r="E4131" s="5" t="s">
        <v>247</v>
      </c>
      <c r="F4131" s="9">
        <v>14</v>
      </c>
      <c r="G4131" s="9">
        <v>144</v>
      </c>
      <c r="H4131" s="5" t="s">
        <v>21</v>
      </c>
      <c r="I4131" s="5" t="s">
        <v>10218</v>
      </c>
      <c r="J4131" s="12" t="str">
        <f>HYPERLINK("https://www.boe.es/gazeta/dias/1802/02/16/pdfs/GMD-1802-14.pdf#page=8","Abrir facsímil")</f>
        <v>Abrir facsímil</v>
      </c>
      <c r="K4131" s="15" t="s">
        <v>23</v>
      </c>
    </row>
    <row r="4132" spans="1:11" ht="42" customHeight="1">
      <c r="A4132" s="4" t="s">
        <v>10219</v>
      </c>
      <c r="B4132" s="5" t="s">
        <v>10219</v>
      </c>
      <c r="C4132" s="5" t="s">
        <v>18</v>
      </c>
      <c r="D4132" s="5" t="s">
        <v>19</v>
      </c>
      <c r="E4132" s="5" t="s">
        <v>148</v>
      </c>
      <c r="F4132" s="9">
        <v>66</v>
      </c>
      <c r="G4132" s="9">
        <v>809</v>
      </c>
      <c r="H4132" s="5" t="s">
        <v>21</v>
      </c>
      <c r="I4132" s="5" t="s">
        <v>10220</v>
      </c>
      <c r="J4132" s="12" t="str">
        <f>HYPERLINK("https://www.boe.es/gazeta/dias/1802/08/13/pdfs/GMD-1802-66.pdf#page=13","Abrir facsímil")</f>
        <v>Abrir facsímil</v>
      </c>
      <c r="K4132" s="15" t="s">
        <v>23</v>
      </c>
    </row>
    <row r="4133" spans="1:11" ht="42" customHeight="1">
      <c r="A4133" s="4" t="s">
        <v>10221</v>
      </c>
      <c r="B4133" s="5" t="s">
        <v>10221</v>
      </c>
      <c r="C4133" s="5" t="s">
        <v>35</v>
      </c>
      <c r="D4133" s="5" t="s">
        <v>36</v>
      </c>
      <c r="E4133" s="5" t="s">
        <v>142</v>
      </c>
      <c r="F4133" s="9">
        <v>64</v>
      </c>
      <c r="G4133" s="9">
        <v>781</v>
      </c>
      <c r="H4133" s="5" t="s">
        <v>21</v>
      </c>
      <c r="I4133" s="5" t="s">
        <v>10222</v>
      </c>
      <c r="J4133" s="12" t="str">
        <f>HYPERLINK("https://www.boe.es/gazeta/dias/1802/08/06/pdfs/GMD-1802-64.pdf#page=9","Abrir facsímil")</f>
        <v>Abrir facsímil</v>
      </c>
      <c r="K4133" s="15" t="s">
        <v>23</v>
      </c>
    </row>
    <row r="4134" spans="1:11" ht="42" customHeight="1">
      <c r="A4134" s="4" t="s">
        <v>10223</v>
      </c>
      <c r="B4134" s="5" t="s">
        <v>10223</v>
      </c>
      <c r="C4134" s="5" t="s">
        <v>18</v>
      </c>
      <c r="D4134" s="5" t="s">
        <v>19</v>
      </c>
      <c r="E4134" s="5" t="s">
        <v>20</v>
      </c>
      <c r="F4134" s="9">
        <v>84</v>
      </c>
      <c r="G4134" s="9">
        <v>1041</v>
      </c>
      <c r="H4134" s="5" t="s">
        <v>21</v>
      </c>
      <c r="I4134" s="5" t="s">
        <v>10224</v>
      </c>
      <c r="J4134" s="12" t="str">
        <f>HYPERLINK("https://www.boe.es/gazeta/dias/1802/10/15/pdfs/GMD-1802-84.pdf#page=9","Abrir facsímil")</f>
        <v>Abrir facsímil</v>
      </c>
      <c r="K4134" s="15" t="s">
        <v>23</v>
      </c>
    </row>
    <row r="4135" spans="1:11" ht="42" customHeight="1">
      <c r="A4135" s="4" t="s">
        <v>10225</v>
      </c>
      <c r="B4135" s="5" t="s">
        <v>10225</v>
      </c>
      <c r="C4135" s="5" t="s">
        <v>29</v>
      </c>
      <c r="D4135" s="5" t="s">
        <v>30</v>
      </c>
      <c r="E4135" s="5" t="s">
        <v>655</v>
      </c>
      <c r="F4135" s="9">
        <v>46</v>
      </c>
      <c r="G4135" s="9">
        <v>558</v>
      </c>
      <c r="H4135" s="5" t="s">
        <v>21</v>
      </c>
      <c r="I4135" s="5" t="s">
        <v>10226</v>
      </c>
      <c r="J4135" s="12" t="str">
        <f>HYPERLINK("https://www.boe.es/gazeta/dias/1802/06/08/pdfs/GMD-1802-46.pdf#page=10","Abrir facsímil")</f>
        <v>Abrir facsímil</v>
      </c>
      <c r="K4135" s="15" t="s">
        <v>23</v>
      </c>
    </row>
    <row r="4136" spans="1:11" ht="42" customHeight="1">
      <c r="A4136" s="4" t="s">
        <v>10227</v>
      </c>
      <c r="B4136" s="5" t="s">
        <v>10227</v>
      </c>
      <c r="C4136" s="5" t="s">
        <v>29</v>
      </c>
      <c r="D4136" s="5" t="s">
        <v>30</v>
      </c>
      <c r="E4136" s="5" t="s">
        <v>678</v>
      </c>
      <c r="F4136" s="9">
        <v>15</v>
      </c>
      <c r="G4136" s="9">
        <v>150</v>
      </c>
      <c r="H4136" s="5" t="s">
        <v>21</v>
      </c>
      <c r="I4136" s="5" t="s">
        <v>10228</v>
      </c>
      <c r="J4136" s="12" t="str">
        <f>HYPERLINK("https://www.boe.es/gazeta/dias/1802/02/19/pdfs/GMD-1802-15.pdf#page=2","Abrir facsímil")</f>
        <v>Abrir facsímil</v>
      </c>
      <c r="K4136" s="15" t="s">
        <v>23</v>
      </c>
    </row>
    <row r="4137" spans="1:11" ht="42" customHeight="1">
      <c r="A4137" s="4" t="s">
        <v>10229</v>
      </c>
      <c r="B4137" s="5" t="s">
        <v>10230</v>
      </c>
      <c r="C4137" s="5" t="s">
        <v>35</v>
      </c>
      <c r="D4137" s="5" t="s">
        <v>36</v>
      </c>
      <c r="E4137" s="5" t="s">
        <v>188</v>
      </c>
      <c r="F4137" s="9">
        <v>49</v>
      </c>
      <c r="G4137" s="9">
        <v>598</v>
      </c>
      <c r="H4137" s="5" t="s">
        <v>21</v>
      </c>
      <c r="I4137" s="5" t="s">
        <v>10231</v>
      </c>
      <c r="J4137" s="12" t="str">
        <f>HYPERLINK("https://www.boe.es/gazeta/dias/1802/06/18/pdfs/GMD-1802-49.pdf#page=10","Abrir facsímil")</f>
        <v>Abrir facsímil</v>
      </c>
      <c r="K4137" s="15" t="s">
        <v>23</v>
      </c>
    </row>
    <row r="4138" spans="1:11" ht="42" customHeight="1">
      <c r="A4138" s="4" t="s">
        <v>10232</v>
      </c>
      <c r="B4138" s="5" t="s">
        <v>10232</v>
      </c>
      <c r="C4138" s="5" t="s">
        <v>35</v>
      </c>
      <c r="D4138" s="5" t="s">
        <v>36</v>
      </c>
      <c r="E4138" s="5" t="s">
        <v>183</v>
      </c>
      <c r="F4138" s="9">
        <v>56</v>
      </c>
      <c r="G4138" s="9">
        <v>677</v>
      </c>
      <c r="H4138" s="5" t="s">
        <v>21</v>
      </c>
      <c r="I4138" s="5" t="s">
        <v>10233</v>
      </c>
      <c r="J4138" s="12" t="str">
        <f>HYPERLINK("https://www.boe.es/gazeta/dias/1802/07/13/pdfs/GMD-1802-56.pdf#page=9","Abrir facsímil")</f>
        <v>Abrir facsímil</v>
      </c>
      <c r="K4138" s="15" t="s">
        <v>23</v>
      </c>
    </row>
    <row r="4139" spans="1:11" ht="42" customHeight="1">
      <c r="A4139" s="4" t="s">
        <v>10234</v>
      </c>
      <c r="B4139" s="5" t="s">
        <v>10235</v>
      </c>
      <c r="C4139" s="5" t="s">
        <v>29</v>
      </c>
      <c r="D4139" s="5" t="s">
        <v>30</v>
      </c>
      <c r="E4139" s="5" t="s">
        <v>165</v>
      </c>
      <c r="F4139" s="9">
        <v>3</v>
      </c>
      <c r="G4139" s="9">
        <v>25</v>
      </c>
      <c r="H4139" s="5" t="s">
        <v>21</v>
      </c>
      <c r="I4139" s="5" t="s">
        <v>10236</v>
      </c>
      <c r="J4139" s="12" t="str">
        <f>HYPERLINK("https://www.boe.es/gazeta/dias/1802/01/08/pdfs/GMD-1802-3.pdf#page=5","Abrir facsímil")</f>
        <v>Abrir facsímil</v>
      </c>
      <c r="K4139" s="15" t="s">
        <v>23</v>
      </c>
    </row>
    <row r="4140" spans="1:11" ht="42" customHeight="1">
      <c r="A4140" s="4" t="s">
        <v>10237</v>
      </c>
      <c r="B4140" s="5" t="s">
        <v>10237</v>
      </c>
      <c r="C4140" s="5" t="s">
        <v>18</v>
      </c>
      <c r="D4140" s="5" t="s">
        <v>19</v>
      </c>
      <c r="E4140" s="5" t="s">
        <v>678</v>
      </c>
      <c r="F4140" s="9">
        <v>15</v>
      </c>
      <c r="G4140" s="9">
        <v>156</v>
      </c>
      <c r="H4140" s="5" t="s">
        <v>21</v>
      </c>
      <c r="I4140" s="5" t="s">
        <v>10238</v>
      </c>
      <c r="J4140" s="12" t="str">
        <f>HYPERLINK("https://www.boe.es/gazeta/dias/1802/02/19/pdfs/GMD-1802-15.pdf#page=8","Abrir facsímil")</f>
        <v>Abrir facsímil</v>
      </c>
      <c r="K4140" s="15" t="s">
        <v>23</v>
      </c>
    </row>
    <row r="4141" spans="1:11" ht="42" customHeight="1">
      <c r="A4141" s="4" t="s">
        <v>10239</v>
      </c>
      <c r="B4141" s="5" t="s">
        <v>10240</v>
      </c>
      <c r="C4141" s="5" t="s">
        <v>18</v>
      </c>
      <c r="D4141" s="5" t="s">
        <v>19</v>
      </c>
      <c r="E4141" s="5" t="s">
        <v>1113</v>
      </c>
      <c r="F4141" s="9">
        <v>6</v>
      </c>
      <c r="G4141" s="9">
        <v>56</v>
      </c>
      <c r="H4141" s="5" t="s">
        <v>21</v>
      </c>
      <c r="I4141" s="5" t="s">
        <v>10241</v>
      </c>
      <c r="J4141" s="12" t="str">
        <f>HYPERLINK("https://www.boe.es/gazeta/dias/1802/01/19/pdfs/GMD-1802-6.pdf#page=4","Abrir facsímil")</f>
        <v>Abrir facsímil</v>
      </c>
      <c r="K4141" s="15" t="s">
        <v>23</v>
      </c>
    </row>
    <row r="4142" spans="1:11" ht="42" customHeight="1">
      <c r="A4142" s="4" t="s">
        <v>10239</v>
      </c>
      <c r="B4142" s="5" t="s">
        <v>10240</v>
      </c>
      <c r="C4142" s="5" t="s">
        <v>35</v>
      </c>
      <c r="D4142" s="5" t="s">
        <v>36</v>
      </c>
      <c r="E4142" s="5" t="s">
        <v>900</v>
      </c>
      <c r="F4142" s="9">
        <v>16</v>
      </c>
      <c r="G4142" s="9">
        <v>164</v>
      </c>
      <c r="H4142" s="5" t="s">
        <v>21</v>
      </c>
      <c r="I4142" s="5" t="s">
        <v>10242</v>
      </c>
      <c r="J4142" s="12" t="str">
        <f>HYPERLINK("https://www.boe.es/gazeta/dias/1802/02/23/pdfs/GMD-1802-16.pdf#page=4","Abrir facsímil")</f>
        <v>Abrir facsímil</v>
      </c>
      <c r="K4142" s="15" t="s">
        <v>23</v>
      </c>
    </row>
    <row r="4143" spans="1:11" ht="42" customHeight="1">
      <c r="A4143" s="4" t="s">
        <v>10239</v>
      </c>
      <c r="B4143" s="5" t="s">
        <v>10240</v>
      </c>
      <c r="C4143" s="5" t="s">
        <v>35</v>
      </c>
      <c r="D4143" s="5" t="s">
        <v>36</v>
      </c>
      <c r="E4143" s="5" t="s">
        <v>299</v>
      </c>
      <c r="F4143" s="9">
        <v>19</v>
      </c>
      <c r="G4143" s="9">
        <v>205</v>
      </c>
      <c r="H4143" s="5" t="s">
        <v>21</v>
      </c>
      <c r="I4143" s="5" t="s">
        <v>10243</v>
      </c>
      <c r="J4143" s="12" t="str">
        <f>HYPERLINK("https://www.boe.es/gazeta/dias/1802/03/05/pdfs/GMD-1802-19.pdf#page=5","Abrir facsímil")</f>
        <v>Abrir facsímil</v>
      </c>
      <c r="K4143" s="15" t="s">
        <v>23</v>
      </c>
    </row>
    <row r="4144" spans="1:11" ht="42" customHeight="1">
      <c r="A4144" s="4" t="s">
        <v>10239</v>
      </c>
      <c r="B4144" s="5" t="s">
        <v>10240</v>
      </c>
      <c r="C4144" s="5" t="s">
        <v>18</v>
      </c>
      <c r="D4144" s="5" t="s">
        <v>19</v>
      </c>
      <c r="E4144" s="5" t="s">
        <v>206</v>
      </c>
      <c r="F4144" s="9">
        <v>22</v>
      </c>
      <c r="G4144" s="9">
        <v>239</v>
      </c>
      <c r="H4144" s="5" t="s">
        <v>21</v>
      </c>
      <c r="I4144" s="5" t="s">
        <v>10244</v>
      </c>
      <c r="J4144" s="12" t="str">
        <f>HYPERLINK("https://www.boe.es/gazeta/dias/1802/03/16/pdfs/GMD-1802-22.pdf#page=7","Abrir facsímil")</f>
        <v>Abrir facsímil</v>
      </c>
      <c r="K4144" s="15" t="s">
        <v>23</v>
      </c>
    </row>
    <row r="4145" spans="1:11" ht="42" customHeight="1">
      <c r="A4145" s="4" t="s">
        <v>10239</v>
      </c>
      <c r="B4145" s="5" t="s">
        <v>10240</v>
      </c>
      <c r="C4145" s="5" t="s">
        <v>29</v>
      </c>
      <c r="D4145" s="5" t="s">
        <v>30</v>
      </c>
      <c r="E4145" s="5" t="s">
        <v>1829</v>
      </c>
      <c r="F4145" s="9">
        <v>32</v>
      </c>
      <c r="G4145" s="9">
        <v>376</v>
      </c>
      <c r="H4145" s="5" t="s">
        <v>21</v>
      </c>
      <c r="I4145" s="5" t="s">
        <v>10245</v>
      </c>
      <c r="J4145" s="12" t="str">
        <f>HYPERLINK("https://www.boe.es/gazeta/dias/1802/04/20/pdfs/GMD-1802-32.pdf#page=8","Abrir facsímil")</f>
        <v>Abrir facsímil</v>
      </c>
      <c r="K4145" s="15" t="s">
        <v>23</v>
      </c>
    </row>
    <row r="4146" spans="1:11" ht="42" customHeight="1">
      <c r="A4146" s="4" t="s">
        <v>10239</v>
      </c>
      <c r="B4146" s="5" t="s">
        <v>10240</v>
      </c>
      <c r="C4146" s="5" t="s">
        <v>29</v>
      </c>
      <c r="D4146" s="5" t="s">
        <v>30</v>
      </c>
      <c r="E4146" s="5" t="s">
        <v>172</v>
      </c>
      <c r="F4146" s="9">
        <v>35</v>
      </c>
      <c r="G4146" s="9">
        <v>408</v>
      </c>
      <c r="H4146" s="5" t="s">
        <v>21</v>
      </c>
      <c r="I4146" s="5" t="s">
        <v>10246</v>
      </c>
      <c r="J4146" s="12" t="str">
        <f>HYPERLINK("https://www.boe.es/gazeta/dias/1802/04/30/pdfs/GMD-1802-35.pdf#page=8","Abrir facsímil")</f>
        <v>Abrir facsímil</v>
      </c>
      <c r="K4146" s="15" t="s">
        <v>23</v>
      </c>
    </row>
    <row r="4147" spans="1:11" ht="42" customHeight="1">
      <c r="A4147" s="4" t="s">
        <v>10239</v>
      </c>
      <c r="B4147" s="5" t="s">
        <v>10240</v>
      </c>
      <c r="C4147" s="5" t="s">
        <v>18</v>
      </c>
      <c r="D4147" s="5" t="s">
        <v>19</v>
      </c>
      <c r="E4147" s="5" t="s">
        <v>635</v>
      </c>
      <c r="F4147" s="9">
        <v>47</v>
      </c>
      <c r="G4147" s="9">
        <v>570</v>
      </c>
      <c r="H4147" s="5" t="s">
        <v>21</v>
      </c>
      <c r="I4147" s="5" t="s">
        <v>10247</v>
      </c>
      <c r="J4147" s="12" t="str">
        <f>HYPERLINK("https://www.boe.es/gazeta/dias/1802/06/11/pdfs/GMD-1802-47.pdf#page=6","Abrir facsímil")</f>
        <v>Abrir facsímil</v>
      </c>
      <c r="K4147" s="15" t="s">
        <v>23</v>
      </c>
    </row>
    <row r="4148" spans="1:11" ht="42" customHeight="1">
      <c r="A4148" s="4" t="s">
        <v>10248</v>
      </c>
      <c r="B4148" s="5" t="s">
        <v>10249</v>
      </c>
      <c r="C4148" s="5" t="s">
        <v>35</v>
      </c>
      <c r="D4148" s="5" t="s">
        <v>36</v>
      </c>
      <c r="E4148" s="5" t="s">
        <v>148</v>
      </c>
      <c r="F4148" s="9">
        <v>66</v>
      </c>
      <c r="G4148" s="9">
        <v>802</v>
      </c>
      <c r="H4148" s="5" t="s">
        <v>21</v>
      </c>
      <c r="I4148" s="5" t="s">
        <v>10250</v>
      </c>
      <c r="J4148" s="12" t="str">
        <f>HYPERLINK("https://www.boe.es/gazeta/dias/1802/08/13/pdfs/GMD-1802-66.pdf#page=6","Abrir facsímil")</f>
        <v>Abrir facsímil</v>
      </c>
      <c r="K4148" s="15" t="s">
        <v>23</v>
      </c>
    </row>
    <row r="4149" spans="1:11" ht="42" customHeight="1">
      <c r="A4149" s="4" t="s">
        <v>10239</v>
      </c>
      <c r="B4149" s="5" t="s">
        <v>10240</v>
      </c>
      <c r="C4149" s="5" t="s">
        <v>35</v>
      </c>
      <c r="D4149" s="5" t="s">
        <v>36</v>
      </c>
      <c r="E4149" s="5" t="s">
        <v>148</v>
      </c>
      <c r="F4149" s="9">
        <v>66</v>
      </c>
      <c r="G4149" s="9">
        <v>803</v>
      </c>
      <c r="H4149" s="5" t="s">
        <v>21</v>
      </c>
      <c r="I4149" s="5" t="s">
        <v>10251</v>
      </c>
      <c r="J4149" s="12" t="str">
        <f>HYPERLINK("https://www.boe.es/gazeta/dias/1802/08/13/pdfs/GMD-1802-66.pdf#page=7","Abrir facsímil")</f>
        <v>Abrir facsímil</v>
      </c>
      <c r="K4149" s="15" t="s">
        <v>23</v>
      </c>
    </row>
    <row r="4150" spans="1:11" ht="42" customHeight="1">
      <c r="A4150" s="4" t="s">
        <v>10239</v>
      </c>
      <c r="B4150" s="5" t="s">
        <v>10240</v>
      </c>
      <c r="C4150" s="5" t="s">
        <v>35</v>
      </c>
      <c r="D4150" s="5" t="s">
        <v>36</v>
      </c>
      <c r="E4150" s="5" t="s">
        <v>325</v>
      </c>
      <c r="F4150" s="9">
        <v>90</v>
      </c>
      <c r="G4150" s="9">
        <v>1116</v>
      </c>
      <c r="H4150" s="5" t="s">
        <v>21</v>
      </c>
      <c r="I4150" s="5" t="s">
        <v>10252</v>
      </c>
      <c r="J4150" s="12" t="str">
        <f>HYPERLINK("https://www.boe.es/gazeta/dias/1802/11/05/pdfs/GMD-1802-90.pdf#page=8","Abrir facsímil")</f>
        <v>Abrir facsímil</v>
      </c>
      <c r="K4150" s="15" t="s">
        <v>23</v>
      </c>
    </row>
    <row r="4151" spans="1:11" ht="42" customHeight="1">
      <c r="A4151" s="4" t="s">
        <v>10253</v>
      </c>
      <c r="B4151" s="5" t="s">
        <v>10254</v>
      </c>
      <c r="C4151" s="5" t="s">
        <v>18</v>
      </c>
      <c r="D4151" s="5" t="s">
        <v>19</v>
      </c>
      <c r="E4151" s="5" t="s">
        <v>20</v>
      </c>
      <c r="F4151" s="9">
        <v>84</v>
      </c>
      <c r="G4151" s="9">
        <v>1041</v>
      </c>
      <c r="H4151" s="5" t="s">
        <v>21</v>
      </c>
      <c r="I4151" s="5" t="s">
        <v>10255</v>
      </c>
      <c r="J4151" s="12" t="str">
        <f>HYPERLINK("https://www.boe.es/gazeta/dias/1802/10/15/pdfs/GMD-1802-84.pdf#page=9","Abrir facsímil")</f>
        <v>Abrir facsímil</v>
      </c>
      <c r="K4151" s="15" t="s">
        <v>23</v>
      </c>
    </row>
    <row r="4152" spans="1:11" ht="42" customHeight="1">
      <c r="A4152" s="4" t="s">
        <v>10256</v>
      </c>
      <c r="B4152" s="5" t="s">
        <v>10257</v>
      </c>
      <c r="C4152" s="5" t="s">
        <v>90</v>
      </c>
      <c r="D4152" s="5" t="s">
        <v>91</v>
      </c>
      <c r="E4152" s="5" t="s">
        <v>1051</v>
      </c>
      <c r="F4152" s="9">
        <v>43</v>
      </c>
      <c r="G4152" s="9">
        <v>517</v>
      </c>
      <c r="H4152" s="5" t="s">
        <v>21</v>
      </c>
      <c r="I4152" s="5" t="s">
        <v>10258</v>
      </c>
      <c r="J4152" s="12" t="str">
        <f>HYPERLINK("https://www.boe.es/gazeta/dias/1802/05/28/pdfs/GMD-1802-43.pdf#page=9","Abrir facsímil")</f>
        <v>Abrir facsímil</v>
      </c>
      <c r="K4152" s="15" t="s">
        <v>23</v>
      </c>
    </row>
    <row r="4153" spans="1:11" ht="42" customHeight="1">
      <c r="A4153" s="4" t="s">
        <v>10259</v>
      </c>
      <c r="B4153" s="5" t="s">
        <v>10259</v>
      </c>
      <c r="C4153" s="5" t="s">
        <v>29</v>
      </c>
      <c r="D4153" s="5" t="s">
        <v>30</v>
      </c>
      <c r="E4153" s="5" t="s">
        <v>148</v>
      </c>
      <c r="F4153" s="9">
        <v>66</v>
      </c>
      <c r="G4153" s="9">
        <v>809</v>
      </c>
      <c r="H4153" s="5" t="s">
        <v>21</v>
      </c>
      <c r="I4153" s="5" t="s">
        <v>10260</v>
      </c>
      <c r="J4153" s="12" t="str">
        <f>HYPERLINK("https://www.boe.es/gazeta/dias/1802/08/13/pdfs/GMD-1802-66.pdf#page=13","Abrir facsímil")</f>
        <v>Abrir facsímil</v>
      </c>
      <c r="K4153" s="15" t="s">
        <v>23</v>
      </c>
    </row>
    <row r="4154" spans="1:11" ht="42" customHeight="1">
      <c r="A4154" s="4" t="s">
        <v>10261</v>
      </c>
      <c r="B4154" s="5" t="s">
        <v>10261</v>
      </c>
      <c r="C4154" s="5" t="s">
        <v>18</v>
      </c>
      <c r="D4154" s="5" t="s">
        <v>19</v>
      </c>
      <c r="E4154" s="5" t="s">
        <v>517</v>
      </c>
      <c r="F4154" s="9">
        <v>61</v>
      </c>
      <c r="G4154" s="9">
        <v>741</v>
      </c>
      <c r="H4154" s="5" t="s">
        <v>21</v>
      </c>
      <c r="I4154" s="5" t="s">
        <v>10262</v>
      </c>
      <c r="J4154" s="12" t="str">
        <f>HYPERLINK("https://www.boe.es/gazeta/dias/1802/07/27/pdfs/GMD-1802-61.pdf#page=9","Abrir facsímil")</f>
        <v>Abrir facsímil</v>
      </c>
      <c r="K4154" s="15" t="s">
        <v>23</v>
      </c>
    </row>
    <row r="4155" spans="1:11" ht="42" customHeight="1">
      <c r="A4155" s="4" t="s">
        <v>10263</v>
      </c>
      <c r="B4155" s="5" t="s">
        <v>10263</v>
      </c>
      <c r="C4155" s="5" t="s">
        <v>160</v>
      </c>
      <c r="D4155" s="5" t="s">
        <v>91</v>
      </c>
      <c r="E4155" s="5" t="s">
        <v>311</v>
      </c>
      <c r="F4155" s="9">
        <v>88</v>
      </c>
      <c r="G4155" s="9">
        <v>1095</v>
      </c>
      <c r="H4155" s="5" t="s">
        <v>21</v>
      </c>
      <c r="I4155" s="5" t="s">
        <v>10264</v>
      </c>
      <c r="J4155" s="12" t="str">
        <f>HYPERLINK("https://www.boe.es/gazeta/dias/1802/10/29/pdfs/GMD-1802-88.pdf#page=11","Abrir facsímil")</f>
        <v>Abrir facsímil</v>
      </c>
      <c r="K4155" s="15" t="s">
        <v>23</v>
      </c>
    </row>
    <row r="4156" spans="1:11" ht="42" customHeight="1">
      <c r="A4156" s="4" t="s">
        <v>10265</v>
      </c>
      <c r="B4156" s="5" t="s">
        <v>10265</v>
      </c>
      <c r="C4156" s="5" t="s">
        <v>42</v>
      </c>
      <c r="D4156" s="5" t="s">
        <v>43</v>
      </c>
      <c r="E4156" s="5" t="s">
        <v>44</v>
      </c>
      <c r="F4156" s="9">
        <v>99</v>
      </c>
      <c r="G4156" s="9" t="s">
        <v>45</v>
      </c>
      <c r="H4156" s="5" t="s">
        <v>21</v>
      </c>
      <c r="I4156" s="5" t="s">
        <v>10266</v>
      </c>
      <c r="J4156" s="12" t="str">
        <f>HYPERLINK("https://www.boe.es/gazeta/dias/1802/12/07/pdfs/GMD-D-1802-99.pdf#page=14","Abrir facsímil")</f>
        <v>Abrir facsímil</v>
      </c>
      <c r="K4156" s="15" t="s">
        <v>23</v>
      </c>
    </row>
    <row r="4157" spans="1:11" ht="42" customHeight="1">
      <c r="A4157" s="4" t="s">
        <v>10267</v>
      </c>
      <c r="B4157" s="5" t="s">
        <v>10267</v>
      </c>
      <c r="C4157" s="5" t="s">
        <v>160</v>
      </c>
      <c r="D4157" s="5" t="s">
        <v>91</v>
      </c>
      <c r="E4157" s="5" t="s">
        <v>1407</v>
      </c>
      <c r="F4157" s="9">
        <v>8</v>
      </c>
      <c r="G4157" s="9">
        <v>79</v>
      </c>
      <c r="H4157" s="5" t="s">
        <v>21</v>
      </c>
      <c r="I4157" s="5" t="s">
        <v>10268</v>
      </c>
      <c r="J4157" s="12" t="str">
        <f>HYPERLINK("https://www.boe.es/gazeta/dias/1802/01/26/pdfs/GMD-1802-8.pdf#page=7","Abrir facsímil")</f>
        <v>Abrir facsímil</v>
      </c>
      <c r="K4157" s="15" t="s">
        <v>23</v>
      </c>
    </row>
    <row r="4158" spans="1:11" ht="42" customHeight="1">
      <c r="A4158" s="4" t="s">
        <v>10267</v>
      </c>
      <c r="B4158" s="5" t="s">
        <v>10267</v>
      </c>
      <c r="C4158" s="5" t="s">
        <v>29</v>
      </c>
      <c r="D4158" s="5" t="s">
        <v>30</v>
      </c>
      <c r="E4158" s="5" t="s">
        <v>328</v>
      </c>
      <c r="F4158" s="9">
        <v>45</v>
      </c>
      <c r="G4158" s="9">
        <v>547</v>
      </c>
      <c r="H4158" s="5" t="s">
        <v>21</v>
      </c>
      <c r="I4158" s="5" t="s">
        <v>10269</v>
      </c>
      <c r="J4158" s="12" t="str">
        <f>HYPERLINK("https://www.boe.es/gazeta/dias/1802/06/04/pdfs/GMD-1802-45.pdf#page=11","Abrir facsímil")</f>
        <v>Abrir facsímil</v>
      </c>
      <c r="K4158" s="15" t="s">
        <v>23</v>
      </c>
    </row>
    <row r="4159" spans="1:11" ht="42" customHeight="1">
      <c r="A4159" s="4" t="s">
        <v>10267</v>
      </c>
      <c r="B4159" s="5" t="s">
        <v>10267</v>
      </c>
      <c r="C4159" s="5" t="s">
        <v>29</v>
      </c>
      <c r="D4159" s="5" t="s">
        <v>30</v>
      </c>
      <c r="E4159" s="5" t="s">
        <v>49</v>
      </c>
      <c r="F4159" s="9">
        <v>83</v>
      </c>
      <c r="G4159" s="9">
        <v>1023</v>
      </c>
      <c r="H4159" s="5" t="s">
        <v>21</v>
      </c>
      <c r="I4159" s="5" t="s">
        <v>10270</v>
      </c>
      <c r="J4159" s="12" t="str">
        <f>HYPERLINK("https://www.boe.es/gazeta/dias/1802/10/12/pdfs/GMD-1802-83.pdf#page=11","Abrir facsímil")</f>
        <v>Abrir facsímil</v>
      </c>
      <c r="K4159" s="15" t="s">
        <v>23</v>
      </c>
    </row>
    <row r="4160" spans="1:11" ht="42" customHeight="1">
      <c r="A4160" s="4" t="s">
        <v>10271</v>
      </c>
      <c r="B4160" s="5" t="s">
        <v>10271</v>
      </c>
      <c r="C4160" s="5" t="s">
        <v>55</v>
      </c>
      <c r="D4160" s="5" t="s">
        <v>56</v>
      </c>
      <c r="E4160" s="5" t="s">
        <v>517</v>
      </c>
      <c r="F4160" s="9">
        <v>61</v>
      </c>
      <c r="G4160" s="9">
        <v>741</v>
      </c>
      <c r="H4160" s="5" t="s">
        <v>21</v>
      </c>
      <c r="I4160" s="5" t="s">
        <v>10272</v>
      </c>
      <c r="J4160" s="12" t="str">
        <f>HYPERLINK("https://www.boe.es/gazeta/dias/1802/07/27/pdfs/GMD-1802-61.pdf#page=9","Abrir facsímil")</f>
        <v>Abrir facsímil</v>
      </c>
      <c r="K4160" s="15" t="s">
        <v>23</v>
      </c>
    </row>
    <row r="4161" spans="1:11" ht="42" customHeight="1">
      <c r="A4161" s="4" t="s">
        <v>10273</v>
      </c>
      <c r="B4161" s="5" t="s">
        <v>10273</v>
      </c>
      <c r="C4161" s="5" t="s">
        <v>160</v>
      </c>
      <c r="D4161" s="5" t="s">
        <v>91</v>
      </c>
      <c r="E4161" s="5" t="s">
        <v>247</v>
      </c>
      <c r="F4161" s="9">
        <v>14</v>
      </c>
      <c r="G4161" s="9">
        <v>146</v>
      </c>
      <c r="H4161" s="5" t="s">
        <v>21</v>
      </c>
      <c r="I4161" s="5" t="s">
        <v>10274</v>
      </c>
      <c r="J4161" s="12" t="str">
        <f>HYPERLINK("https://www.boe.es/gazeta/dias/1802/02/16/pdfs/GMD-1802-14.pdf#page=10","Abrir facsímil")</f>
        <v>Abrir facsímil</v>
      </c>
      <c r="K4161" s="15" t="s">
        <v>23</v>
      </c>
    </row>
    <row r="4162" spans="1:11" ht="42" customHeight="1">
      <c r="A4162" s="4" t="s">
        <v>10275</v>
      </c>
      <c r="B4162" s="5" t="s">
        <v>10275</v>
      </c>
      <c r="C4162" s="5" t="s">
        <v>90</v>
      </c>
      <c r="D4162" s="5" t="s">
        <v>91</v>
      </c>
      <c r="E4162" s="5" t="s">
        <v>1381</v>
      </c>
      <c r="F4162" s="9">
        <v>17</v>
      </c>
      <c r="G4162" s="9">
        <v>187</v>
      </c>
      <c r="H4162" s="5" t="s">
        <v>21</v>
      </c>
      <c r="I4162" s="5" t="s">
        <v>10276</v>
      </c>
      <c r="J4162" s="12" t="str">
        <f>HYPERLINK("https://www.boe.es/gazeta/dias/1802/02/26/pdfs/GMD-1802-17.pdf#page=11","Abrir facsímil")</f>
        <v>Abrir facsímil</v>
      </c>
      <c r="K4162" s="15" t="s">
        <v>23</v>
      </c>
    </row>
    <row r="4163" spans="1:11" ht="42" customHeight="1">
      <c r="A4163" s="4" t="s">
        <v>10275</v>
      </c>
      <c r="B4163" s="5" t="s">
        <v>10275</v>
      </c>
      <c r="C4163" s="5" t="s">
        <v>18</v>
      </c>
      <c r="D4163" s="5" t="s">
        <v>19</v>
      </c>
      <c r="E4163" s="5" t="s">
        <v>49</v>
      </c>
      <c r="F4163" s="9">
        <v>83</v>
      </c>
      <c r="G4163" s="9">
        <v>1025</v>
      </c>
      <c r="H4163" s="5" t="s">
        <v>21</v>
      </c>
      <c r="I4163" s="5" t="s">
        <v>10277</v>
      </c>
      <c r="J4163" s="12" t="str">
        <f>HYPERLINK("https://www.boe.es/gazeta/dias/1802/10/12/pdfs/GMD-1802-83.pdf#page=13","Abrir facsímil")</f>
        <v>Abrir facsímil</v>
      </c>
      <c r="K4163" s="15" t="s">
        <v>23</v>
      </c>
    </row>
    <row r="4164" spans="1:11" ht="42" customHeight="1">
      <c r="A4164" s="4" t="s">
        <v>10278</v>
      </c>
      <c r="B4164" s="5" t="s">
        <v>10278</v>
      </c>
      <c r="C4164" s="5" t="s">
        <v>29</v>
      </c>
      <c r="D4164" s="5" t="s">
        <v>30</v>
      </c>
      <c r="E4164" s="5" t="s">
        <v>299</v>
      </c>
      <c r="F4164" s="9">
        <v>19</v>
      </c>
      <c r="G4164" s="9">
        <v>210</v>
      </c>
      <c r="H4164" s="5" t="s">
        <v>21</v>
      </c>
      <c r="I4164" s="5" t="s">
        <v>10279</v>
      </c>
      <c r="J4164" s="12" t="str">
        <f>HYPERLINK("https://www.boe.es/gazeta/dias/1802/03/05/pdfs/GMD-1802-19.pdf#page=10","Abrir facsímil")</f>
        <v>Abrir facsímil</v>
      </c>
      <c r="K4164" s="15" t="s">
        <v>23</v>
      </c>
    </row>
    <row r="4165" spans="1:11" ht="42" customHeight="1">
      <c r="A4165" s="4" t="s">
        <v>10280</v>
      </c>
      <c r="B4165" s="5" t="s">
        <v>10280</v>
      </c>
      <c r="C4165" s="5" t="s">
        <v>42</v>
      </c>
      <c r="D4165" s="5" t="s">
        <v>43</v>
      </c>
      <c r="E4165" s="5" t="s">
        <v>44</v>
      </c>
      <c r="F4165" s="9">
        <v>99</v>
      </c>
      <c r="G4165" s="9" t="s">
        <v>314</v>
      </c>
      <c r="H4165" s="5" t="s">
        <v>21</v>
      </c>
      <c r="I4165" s="5" t="s">
        <v>10281</v>
      </c>
      <c r="J4165" s="12" t="str">
        <f>HYPERLINK("https://www.boe.es/gazeta/dias/1802/12/07/pdfs/GMD-D-1802-99.pdf#page=2","Abrir facsímil")</f>
        <v>Abrir facsímil</v>
      </c>
      <c r="K4165" s="15" t="s">
        <v>23</v>
      </c>
    </row>
    <row r="4166" spans="1:11" ht="42" customHeight="1">
      <c r="A4166" s="4" t="s">
        <v>10282</v>
      </c>
      <c r="B4166" s="5" t="s">
        <v>10282</v>
      </c>
      <c r="C4166" s="5" t="s">
        <v>29</v>
      </c>
      <c r="D4166" s="5" t="s">
        <v>30</v>
      </c>
      <c r="E4166" s="5" t="s">
        <v>276</v>
      </c>
      <c r="F4166" s="9">
        <v>75</v>
      </c>
      <c r="G4166" s="9">
        <v>928</v>
      </c>
      <c r="H4166" s="5" t="s">
        <v>21</v>
      </c>
      <c r="I4166" s="5" t="s">
        <v>10283</v>
      </c>
      <c r="J4166" s="12" t="str">
        <f>HYPERLINK("https://www.boe.es/gazeta/dias/1802/09/14/pdfs/GMD-1802-75.pdf#page=12","Abrir facsímil")</f>
        <v>Abrir facsímil</v>
      </c>
      <c r="K4166" s="15" t="s">
        <v>23</v>
      </c>
    </row>
    <row r="4167" spans="1:11" ht="42" customHeight="1">
      <c r="A4167" s="4" t="s">
        <v>10284</v>
      </c>
      <c r="B4167" s="5" t="s">
        <v>10284</v>
      </c>
      <c r="C4167" s="5" t="s">
        <v>18</v>
      </c>
      <c r="D4167" s="5" t="s">
        <v>19</v>
      </c>
      <c r="E4167" s="5" t="s">
        <v>20</v>
      </c>
      <c r="F4167" s="9">
        <v>84</v>
      </c>
      <c r="G4167" s="9">
        <v>1039</v>
      </c>
      <c r="H4167" s="5" t="s">
        <v>21</v>
      </c>
      <c r="I4167" s="5" t="s">
        <v>10285</v>
      </c>
      <c r="J4167" s="12" t="str">
        <f>HYPERLINK("https://www.boe.es/gazeta/dias/1802/10/15/pdfs/GMD-1802-84.pdf#page=7","Abrir facsímil")</f>
        <v>Abrir facsímil</v>
      </c>
      <c r="K4167" s="15" t="s">
        <v>23</v>
      </c>
    </row>
    <row r="4168" spans="1:11" ht="42" customHeight="1">
      <c r="A4168" s="4" t="s">
        <v>10286</v>
      </c>
      <c r="B4168" s="5" t="s">
        <v>10286</v>
      </c>
      <c r="C4168" s="5" t="s">
        <v>29</v>
      </c>
      <c r="D4168" s="5" t="s">
        <v>30</v>
      </c>
      <c r="E4168" s="5" t="s">
        <v>181</v>
      </c>
      <c r="F4168" s="9">
        <v>55</v>
      </c>
      <c r="G4168" s="9">
        <v>667</v>
      </c>
      <c r="H4168" s="5" t="s">
        <v>21</v>
      </c>
      <c r="I4168" s="5" t="s">
        <v>10287</v>
      </c>
      <c r="J4168" s="12" t="str">
        <f>HYPERLINK("https://www.boe.es/gazeta/dias/1802/07/09/pdfs/GMD-1802-55.pdf#page=11","Abrir facsímil")</f>
        <v>Abrir facsímil</v>
      </c>
      <c r="K4168" s="15" t="s">
        <v>23</v>
      </c>
    </row>
    <row r="4169" spans="1:11" ht="42" customHeight="1">
      <c r="A4169" s="4" t="s">
        <v>10288</v>
      </c>
      <c r="B4169" s="5" t="s">
        <v>10289</v>
      </c>
      <c r="C4169" s="5" t="s">
        <v>18</v>
      </c>
      <c r="D4169" s="5" t="s">
        <v>19</v>
      </c>
      <c r="E4169" s="5" t="s">
        <v>196</v>
      </c>
      <c r="F4169" s="9">
        <v>2</v>
      </c>
      <c r="G4169" s="9">
        <v>10</v>
      </c>
      <c r="H4169" s="5" t="s">
        <v>21</v>
      </c>
      <c r="I4169" s="5" t="s">
        <v>10290</v>
      </c>
      <c r="J4169" s="12" t="str">
        <f>HYPERLINK("https://www.boe.es/gazeta/dias/1802/01/05/pdfs/GMD-1802-2.pdf#page=2","Abrir facsímil")</f>
        <v>Abrir facsímil</v>
      </c>
      <c r="K4169" s="15" t="s">
        <v>23</v>
      </c>
    </row>
    <row r="4170" spans="1:11" ht="42" customHeight="1">
      <c r="A4170" s="4" t="s">
        <v>10288</v>
      </c>
      <c r="B4170" s="5" t="s">
        <v>10289</v>
      </c>
      <c r="C4170" s="5" t="s">
        <v>55</v>
      </c>
      <c r="D4170" s="5" t="s">
        <v>56</v>
      </c>
      <c r="E4170" s="5" t="s">
        <v>1381</v>
      </c>
      <c r="F4170" s="9">
        <v>17</v>
      </c>
      <c r="G4170" s="9">
        <v>181</v>
      </c>
      <c r="H4170" s="5" t="s">
        <v>21</v>
      </c>
      <c r="I4170" s="5" t="s">
        <v>10291</v>
      </c>
      <c r="J4170" s="12" t="str">
        <f>HYPERLINK("https://www.boe.es/gazeta/dias/1802/02/26/pdfs/GMD-1802-17.pdf#page=5","Abrir facsímil")</f>
        <v>Abrir facsímil</v>
      </c>
      <c r="K4170" s="15" t="s">
        <v>23</v>
      </c>
    </row>
    <row r="4171" spans="1:11" ht="42" customHeight="1">
      <c r="A4171" s="4" t="s">
        <v>10288</v>
      </c>
      <c r="B4171" s="5" t="s">
        <v>10289</v>
      </c>
      <c r="C4171" s="5" t="s">
        <v>35</v>
      </c>
      <c r="D4171" s="5" t="s">
        <v>36</v>
      </c>
      <c r="E4171" s="5" t="s">
        <v>232</v>
      </c>
      <c r="F4171" s="9">
        <v>30</v>
      </c>
      <c r="G4171" s="9">
        <v>346</v>
      </c>
      <c r="H4171" s="5" t="s">
        <v>21</v>
      </c>
      <c r="I4171" s="5" t="s">
        <v>10292</v>
      </c>
      <c r="J4171" s="12" t="str">
        <f>HYPERLINK("https://www.boe.es/gazeta/dias/1802/04/13/pdfs/GMD-1802-30.pdf#page=2","Abrir facsímil")</f>
        <v>Abrir facsímil</v>
      </c>
      <c r="K4171" s="15" t="s">
        <v>23</v>
      </c>
    </row>
    <row r="4172" spans="1:11" ht="42" customHeight="1">
      <c r="A4172" s="4" t="s">
        <v>10288</v>
      </c>
      <c r="B4172" s="5" t="s">
        <v>10289</v>
      </c>
      <c r="C4172" s="5" t="s">
        <v>29</v>
      </c>
      <c r="D4172" s="5" t="s">
        <v>30</v>
      </c>
      <c r="E4172" s="5" t="s">
        <v>292</v>
      </c>
      <c r="F4172" s="9">
        <v>62</v>
      </c>
      <c r="G4172" s="9">
        <v>746</v>
      </c>
      <c r="H4172" s="5" t="s">
        <v>21</v>
      </c>
      <c r="I4172" s="5" t="s">
        <v>10293</v>
      </c>
      <c r="J4172" s="12" t="str">
        <f>HYPERLINK("https://www.boe.es/gazeta/dias/1802/07/30/pdfs/GMD-1802-62.pdf#page=2","Abrir facsímil")</f>
        <v>Abrir facsímil</v>
      </c>
      <c r="K4172" s="15" t="s">
        <v>23</v>
      </c>
    </row>
    <row r="4173" spans="1:11" ht="42" customHeight="1">
      <c r="A4173" s="4" t="s">
        <v>10288</v>
      </c>
      <c r="B4173" s="5" t="s">
        <v>10289</v>
      </c>
      <c r="C4173" s="5" t="s">
        <v>35</v>
      </c>
      <c r="D4173" s="5" t="s">
        <v>36</v>
      </c>
      <c r="E4173" s="5" t="s">
        <v>1289</v>
      </c>
      <c r="F4173" s="9">
        <v>72</v>
      </c>
      <c r="G4173" s="9">
        <v>882</v>
      </c>
      <c r="H4173" s="5" t="s">
        <v>21</v>
      </c>
      <c r="I4173" s="5" t="s">
        <v>10294</v>
      </c>
      <c r="J4173" s="12" t="str">
        <f>HYPERLINK("https://www.boe.es/gazeta/dias/1802/09/03/pdfs/GMD-1802-72.pdf#page=2","Abrir facsímil")</f>
        <v>Abrir facsímil</v>
      </c>
      <c r="K4173" s="15" t="s">
        <v>23</v>
      </c>
    </row>
    <row r="4174" spans="1:11" ht="42" customHeight="1">
      <c r="A4174" s="4" t="s">
        <v>10288</v>
      </c>
      <c r="B4174" s="5" t="s">
        <v>10289</v>
      </c>
      <c r="C4174" s="5" t="s">
        <v>29</v>
      </c>
      <c r="D4174" s="5" t="s">
        <v>30</v>
      </c>
      <c r="E4174" s="5" t="s">
        <v>82</v>
      </c>
      <c r="F4174" s="9">
        <v>74</v>
      </c>
      <c r="G4174" s="9">
        <v>905</v>
      </c>
      <c r="H4174" s="5" t="s">
        <v>21</v>
      </c>
      <c r="I4174" s="5" t="s">
        <v>10295</v>
      </c>
      <c r="J4174" s="12" t="str">
        <f>HYPERLINK("https://www.boe.es/gazeta/dias/1802/09/10/pdfs/GMD-1802-74.pdf#page=1","Abrir facsímil")</f>
        <v>Abrir facsímil</v>
      </c>
      <c r="K4174" s="15" t="s">
        <v>23</v>
      </c>
    </row>
    <row r="4175" spans="1:11" ht="42" customHeight="1">
      <c r="A4175" s="4" t="s">
        <v>10288</v>
      </c>
      <c r="B4175" s="5" t="s">
        <v>10289</v>
      </c>
      <c r="C4175" s="5" t="s">
        <v>35</v>
      </c>
      <c r="D4175" s="5" t="s">
        <v>36</v>
      </c>
      <c r="E4175" s="5" t="s">
        <v>907</v>
      </c>
      <c r="F4175" s="9">
        <v>77</v>
      </c>
      <c r="G4175" s="9">
        <v>942</v>
      </c>
      <c r="H4175" s="5" t="s">
        <v>21</v>
      </c>
      <c r="I4175" s="5" t="s">
        <v>10296</v>
      </c>
      <c r="J4175" s="12" t="str">
        <f>HYPERLINK("https://www.boe.es/gazeta/dias/1802/09/21/pdfs/GMD-1802-77.pdf#page=2","Abrir facsímil")</f>
        <v>Abrir facsímil</v>
      </c>
      <c r="K4175" s="15" t="s">
        <v>23</v>
      </c>
    </row>
    <row r="4176" spans="1:11" ht="42" customHeight="1">
      <c r="A4176" s="4" t="s">
        <v>10297</v>
      </c>
      <c r="B4176" s="5" t="s">
        <v>10297</v>
      </c>
      <c r="C4176" s="5" t="s">
        <v>160</v>
      </c>
      <c r="D4176" s="5" t="s">
        <v>91</v>
      </c>
      <c r="E4176" s="5" t="s">
        <v>20</v>
      </c>
      <c r="F4176" s="9">
        <v>84</v>
      </c>
      <c r="G4176" s="9">
        <v>1040</v>
      </c>
      <c r="H4176" s="5" t="s">
        <v>21</v>
      </c>
      <c r="I4176" s="5" t="s">
        <v>10298</v>
      </c>
      <c r="J4176" s="12" t="str">
        <f>HYPERLINK("https://www.boe.es/gazeta/dias/1802/10/15/pdfs/GMD-1802-84.pdf#page=8","Abrir facsímil")</f>
        <v>Abrir facsímil</v>
      </c>
      <c r="K4176" s="15" t="s">
        <v>23</v>
      </c>
    </row>
    <row r="4177" spans="1:11" ht="42" customHeight="1">
      <c r="A4177" s="4" t="s">
        <v>10299</v>
      </c>
      <c r="B4177" s="5" t="s">
        <v>10299</v>
      </c>
      <c r="C4177" s="5" t="s">
        <v>18</v>
      </c>
      <c r="D4177" s="5" t="s">
        <v>19</v>
      </c>
      <c r="E4177" s="5" t="s">
        <v>1185</v>
      </c>
      <c r="F4177" s="9">
        <v>93</v>
      </c>
      <c r="G4177" s="9">
        <v>1150</v>
      </c>
      <c r="H4177" s="5" t="s">
        <v>21</v>
      </c>
      <c r="I4177" s="5" t="s">
        <v>10300</v>
      </c>
      <c r="J4177" s="12" t="str">
        <f>HYPERLINK("https://www.boe.es/gazeta/dias/1802/11/16/pdfs/GMD-1802-93.pdf#page=10","Abrir facsímil")</f>
        <v>Abrir facsímil</v>
      </c>
      <c r="K4177" s="15" t="s">
        <v>23</v>
      </c>
    </row>
    <row r="4178" spans="1:11" ht="42" customHeight="1">
      <c r="A4178" s="4" t="s">
        <v>10301</v>
      </c>
      <c r="B4178" s="5" t="s">
        <v>10301</v>
      </c>
      <c r="C4178" s="5" t="s">
        <v>18</v>
      </c>
      <c r="D4178" s="5" t="s">
        <v>19</v>
      </c>
      <c r="E4178" s="5" t="s">
        <v>826</v>
      </c>
      <c r="F4178" s="9">
        <v>67</v>
      </c>
      <c r="G4178" s="9">
        <v>819</v>
      </c>
      <c r="H4178" s="5" t="s">
        <v>21</v>
      </c>
      <c r="I4178" s="5" t="s">
        <v>10302</v>
      </c>
      <c r="J4178" s="12" t="str">
        <f>HYPERLINK("https://www.boe.es/gazeta/dias/1802/08/17/pdfs/GMD-1802-67.pdf#page=7","Abrir facsímil")</f>
        <v>Abrir facsímil</v>
      </c>
      <c r="K4178" s="15" t="s">
        <v>23</v>
      </c>
    </row>
    <row r="4179" spans="1:11" ht="42" customHeight="1">
      <c r="A4179" s="4" t="s">
        <v>10303</v>
      </c>
      <c r="B4179" s="5" t="s">
        <v>10304</v>
      </c>
      <c r="C4179" s="5" t="s">
        <v>42</v>
      </c>
      <c r="D4179" s="5" t="s">
        <v>43</v>
      </c>
      <c r="E4179" s="5" t="s">
        <v>44</v>
      </c>
      <c r="F4179" s="9">
        <v>99</v>
      </c>
      <c r="G4179" s="9" t="s">
        <v>78</v>
      </c>
      <c r="H4179" s="5" t="s">
        <v>21</v>
      </c>
      <c r="I4179" s="5" t="s">
        <v>10305</v>
      </c>
      <c r="J4179" s="12" t="str">
        <f>HYPERLINK("https://www.boe.es/gazeta/dias/1802/12/07/pdfs/GMD-D-1802-99.pdf#page=15","Abrir facsímil")</f>
        <v>Abrir facsímil</v>
      </c>
      <c r="K4179" s="15" t="s">
        <v>23</v>
      </c>
    </row>
    <row r="4180" spans="1:11" ht="42" customHeight="1">
      <c r="A4180" s="4" t="s">
        <v>10306</v>
      </c>
      <c r="B4180" s="5" t="s">
        <v>10306</v>
      </c>
      <c r="C4180" s="5" t="s">
        <v>18</v>
      </c>
      <c r="D4180" s="5" t="s">
        <v>19</v>
      </c>
      <c r="E4180" s="5" t="s">
        <v>49</v>
      </c>
      <c r="F4180" s="9">
        <v>83</v>
      </c>
      <c r="G4180" s="9">
        <v>1025</v>
      </c>
      <c r="H4180" s="5" t="s">
        <v>21</v>
      </c>
      <c r="I4180" s="5" t="s">
        <v>10307</v>
      </c>
      <c r="J4180" s="12" t="str">
        <f>HYPERLINK("https://www.boe.es/gazeta/dias/1802/10/12/pdfs/GMD-1802-83.pdf#page=13","Abrir facsímil")</f>
        <v>Abrir facsímil</v>
      </c>
      <c r="K4180" s="15" t="s">
        <v>23</v>
      </c>
    </row>
    <row r="4181" spans="1:11" ht="42" customHeight="1">
      <c r="A4181" s="4" t="s">
        <v>10308</v>
      </c>
      <c r="B4181" s="5" t="s">
        <v>10309</v>
      </c>
      <c r="C4181" s="5" t="s">
        <v>35</v>
      </c>
      <c r="D4181" s="5" t="s">
        <v>36</v>
      </c>
      <c r="E4181" s="5" t="s">
        <v>142</v>
      </c>
      <c r="F4181" s="9">
        <v>64</v>
      </c>
      <c r="G4181" s="9">
        <v>781</v>
      </c>
      <c r="H4181" s="5" t="s">
        <v>21</v>
      </c>
      <c r="I4181" s="5" t="s">
        <v>10310</v>
      </c>
      <c r="J4181" s="12" t="str">
        <f>HYPERLINK("https://www.boe.es/gazeta/dias/1802/08/06/pdfs/GMD-1802-64.pdf#page=9","Abrir facsímil")</f>
        <v>Abrir facsímil</v>
      </c>
      <c r="K4181" s="15" t="s">
        <v>23</v>
      </c>
    </row>
    <row r="4182" spans="1:11" ht="42" customHeight="1">
      <c r="A4182" s="4" t="s">
        <v>10311</v>
      </c>
      <c r="B4182" s="5" t="s">
        <v>10312</v>
      </c>
      <c r="C4182" s="5" t="s">
        <v>29</v>
      </c>
      <c r="D4182" s="5" t="s">
        <v>30</v>
      </c>
      <c r="E4182" s="5" t="s">
        <v>49</v>
      </c>
      <c r="F4182" s="9">
        <v>83</v>
      </c>
      <c r="G4182" s="9">
        <v>1027</v>
      </c>
      <c r="H4182" s="5" t="s">
        <v>21</v>
      </c>
      <c r="I4182" s="5" t="s">
        <v>10313</v>
      </c>
      <c r="J4182" s="12" t="str">
        <f>HYPERLINK("https://www.boe.es/gazeta/dias/1802/10/12/pdfs/GMD-1802-83.pdf#page=15","Abrir facsímil")</f>
        <v>Abrir facsímil</v>
      </c>
      <c r="K4182" s="15" t="s">
        <v>23</v>
      </c>
    </row>
    <row r="4183" spans="1:11" ht="42" customHeight="1">
      <c r="A4183" s="4" t="s">
        <v>10314</v>
      </c>
      <c r="B4183" s="5" t="s">
        <v>10314</v>
      </c>
      <c r="C4183" s="5" t="s">
        <v>18</v>
      </c>
      <c r="D4183" s="5" t="s">
        <v>19</v>
      </c>
      <c r="E4183" s="5" t="s">
        <v>20</v>
      </c>
      <c r="F4183" s="9">
        <v>84</v>
      </c>
      <c r="G4183" s="9">
        <v>1041</v>
      </c>
      <c r="H4183" s="5" t="s">
        <v>21</v>
      </c>
      <c r="I4183" s="5" t="s">
        <v>10315</v>
      </c>
      <c r="J4183" s="12" t="str">
        <f>HYPERLINK("https://www.boe.es/gazeta/dias/1802/10/15/pdfs/GMD-1802-84.pdf#page=9","Abrir facsímil")</f>
        <v>Abrir facsímil</v>
      </c>
      <c r="K4183" s="15" t="s">
        <v>23</v>
      </c>
    </row>
    <row r="4184" spans="1:11" ht="42" customHeight="1">
      <c r="A4184" s="4" t="s">
        <v>10316</v>
      </c>
      <c r="B4184" s="5" t="s">
        <v>10317</v>
      </c>
      <c r="C4184" s="5" t="s">
        <v>35</v>
      </c>
      <c r="D4184" s="5" t="s">
        <v>36</v>
      </c>
      <c r="E4184" s="5" t="s">
        <v>385</v>
      </c>
      <c r="F4184" s="9">
        <v>70</v>
      </c>
      <c r="G4184" s="9">
        <v>854</v>
      </c>
      <c r="H4184" s="5" t="s">
        <v>21</v>
      </c>
      <c r="I4184" s="5" t="s">
        <v>10318</v>
      </c>
      <c r="J4184" s="12" t="str">
        <f>HYPERLINK("https://www.boe.es/gazeta/dias/1802/08/27/pdfs/GMD-1802-70.pdf#page=2","Abrir facsímil")</f>
        <v>Abrir facsímil</v>
      </c>
      <c r="K4184" s="15" t="s">
        <v>23</v>
      </c>
    </row>
    <row r="4185" spans="1:11" ht="42" customHeight="1">
      <c r="A4185" s="4" t="s">
        <v>10319</v>
      </c>
      <c r="B4185" s="5" t="s">
        <v>10319</v>
      </c>
      <c r="C4185" s="5" t="s">
        <v>18</v>
      </c>
      <c r="D4185" s="5" t="s">
        <v>19</v>
      </c>
      <c r="E4185" s="5" t="s">
        <v>49</v>
      </c>
      <c r="F4185" s="9">
        <v>83</v>
      </c>
      <c r="G4185" s="9">
        <v>1022</v>
      </c>
      <c r="H4185" s="5" t="s">
        <v>21</v>
      </c>
      <c r="I4185" s="5" t="s">
        <v>10320</v>
      </c>
      <c r="J4185" s="12" t="str">
        <f>HYPERLINK("https://www.boe.es/gazeta/dias/1802/10/12/pdfs/GMD-1802-83.pdf#page=10","Abrir facsímil")</f>
        <v>Abrir facsímil</v>
      </c>
      <c r="K4185" s="15" t="s">
        <v>23</v>
      </c>
    </row>
    <row r="4186" spans="1:11" ht="42" customHeight="1">
      <c r="A4186" s="4" t="s">
        <v>10321</v>
      </c>
      <c r="B4186" s="5" t="s">
        <v>10322</v>
      </c>
      <c r="C4186" s="5" t="s">
        <v>18</v>
      </c>
      <c r="D4186" s="5" t="s">
        <v>19</v>
      </c>
      <c r="E4186" s="5" t="s">
        <v>49</v>
      </c>
      <c r="F4186" s="9">
        <v>83</v>
      </c>
      <c r="G4186" s="9">
        <v>1024</v>
      </c>
      <c r="H4186" s="5" t="s">
        <v>21</v>
      </c>
      <c r="I4186" s="5" t="s">
        <v>10323</v>
      </c>
      <c r="J4186" s="12" t="str">
        <f>HYPERLINK("https://www.boe.es/gazeta/dias/1802/10/12/pdfs/GMD-1802-83.pdf#page=12","Abrir facsímil")</f>
        <v>Abrir facsímil</v>
      </c>
      <c r="K4186" s="15" t="s">
        <v>23</v>
      </c>
    </row>
    <row r="4187" spans="1:11" ht="42" customHeight="1">
      <c r="A4187" s="4" t="s">
        <v>10324</v>
      </c>
      <c r="B4187" s="5" t="s">
        <v>10324</v>
      </c>
      <c r="C4187" s="5" t="s">
        <v>35</v>
      </c>
      <c r="D4187" s="5" t="s">
        <v>36</v>
      </c>
      <c r="E4187" s="5" t="s">
        <v>381</v>
      </c>
      <c r="F4187" s="9">
        <v>13</v>
      </c>
      <c r="G4187" s="9">
        <v>129</v>
      </c>
      <c r="H4187" s="5" t="s">
        <v>21</v>
      </c>
      <c r="I4187" s="5" t="s">
        <v>10325</v>
      </c>
      <c r="J4187" s="12" t="str">
        <f>HYPERLINK("https://www.boe.es/gazeta/dias/1802/02/12/pdfs/GMD-1802-13.pdf#page=5","Abrir facsímil")</f>
        <v>Abrir facsímil</v>
      </c>
      <c r="K4187" s="15" t="s">
        <v>23</v>
      </c>
    </row>
    <row r="4188" spans="1:11" ht="42" customHeight="1">
      <c r="A4188" s="4" t="s">
        <v>10326</v>
      </c>
      <c r="B4188" s="5" t="s">
        <v>10326</v>
      </c>
      <c r="C4188" s="5" t="s">
        <v>90</v>
      </c>
      <c r="D4188" s="5" t="s">
        <v>91</v>
      </c>
      <c r="E4188" s="5" t="s">
        <v>247</v>
      </c>
      <c r="F4188" s="9">
        <v>14</v>
      </c>
      <c r="G4188" s="9">
        <v>146</v>
      </c>
      <c r="H4188" s="5" t="s">
        <v>21</v>
      </c>
      <c r="I4188" s="5" t="s">
        <v>10327</v>
      </c>
      <c r="J4188" s="12" t="str">
        <f>HYPERLINK("https://www.boe.es/gazeta/dias/1802/02/16/pdfs/GMD-1802-14.pdf#page=10","Abrir facsímil")</f>
        <v>Abrir facsímil</v>
      </c>
      <c r="K4188" s="15" t="s">
        <v>23</v>
      </c>
    </row>
    <row r="4189" spans="1:11" ht="42" customHeight="1">
      <c r="A4189" s="4" t="s">
        <v>10328</v>
      </c>
      <c r="B4189" s="5" t="s">
        <v>10329</v>
      </c>
      <c r="C4189" s="5" t="s">
        <v>90</v>
      </c>
      <c r="D4189" s="5" t="s">
        <v>91</v>
      </c>
      <c r="E4189" s="5" t="s">
        <v>86</v>
      </c>
      <c r="F4189" s="9">
        <v>26</v>
      </c>
      <c r="G4189" s="9">
        <v>296</v>
      </c>
      <c r="H4189" s="5" t="s">
        <v>21</v>
      </c>
      <c r="I4189" s="5" t="s">
        <v>10330</v>
      </c>
      <c r="J4189" s="12" t="str">
        <f>HYPERLINK("https://www.boe.es/gazeta/dias/1802/03/30/pdfs/GMD-1802-26.pdf#page=8","Abrir facsímil")</f>
        <v>Abrir facsímil</v>
      </c>
      <c r="K4189" s="15" t="s">
        <v>23</v>
      </c>
    </row>
    <row r="4190" spans="1:11" ht="42" customHeight="1">
      <c r="A4190" s="4" t="s">
        <v>10331</v>
      </c>
      <c r="B4190" s="5" t="s">
        <v>10331</v>
      </c>
      <c r="C4190" s="5" t="s">
        <v>55</v>
      </c>
      <c r="D4190" s="5" t="s">
        <v>56</v>
      </c>
      <c r="E4190" s="5" t="s">
        <v>185</v>
      </c>
      <c r="F4190" s="9">
        <v>95</v>
      </c>
      <c r="G4190" s="9">
        <v>1175</v>
      </c>
      <c r="H4190" s="5" t="s">
        <v>21</v>
      </c>
      <c r="I4190" s="5" t="s">
        <v>10332</v>
      </c>
      <c r="J4190" s="12" t="str">
        <f>HYPERLINK("https://www.boe.es/gazeta/dias/1802/11/23/pdfs/GMD-1802-95.pdf#page=11","Abrir facsímil")</f>
        <v>Abrir facsímil</v>
      </c>
      <c r="K4190" s="15" t="s">
        <v>23</v>
      </c>
    </row>
    <row r="4191" spans="1:11" ht="42" customHeight="1">
      <c r="A4191" s="4" t="s">
        <v>10333</v>
      </c>
      <c r="B4191" s="5" t="s">
        <v>10333</v>
      </c>
      <c r="C4191" s="5" t="s">
        <v>18</v>
      </c>
      <c r="D4191" s="5" t="s">
        <v>19</v>
      </c>
      <c r="E4191" s="5" t="s">
        <v>128</v>
      </c>
      <c r="F4191" s="9">
        <v>9</v>
      </c>
      <c r="G4191" s="9">
        <v>88</v>
      </c>
      <c r="H4191" s="5" t="s">
        <v>21</v>
      </c>
      <c r="I4191" s="5" t="s">
        <v>10334</v>
      </c>
      <c r="J4191" s="12" t="str">
        <f>HYPERLINK("https://www.boe.es/gazeta/dias/1802/01/29/pdfs/GMD-1802-9.pdf#page=8","Abrir facsímil")</f>
        <v>Abrir facsímil</v>
      </c>
      <c r="K4191" s="15" t="s">
        <v>23</v>
      </c>
    </row>
    <row r="4192" spans="1:11" ht="42" customHeight="1">
      <c r="A4192" s="4" t="s">
        <v>10335</v>
      </c>
      <c r="B4192" s="5" t="s">
        <v>10335</v>
      </c>
      <c r="C4192" s="5" t="s">
        <v>29</v>
      </c>
      <c r="D4192" s="5" t="s">
        <v>30</v>
      </c>
      <c r="E4192" s="5" t="s">
        <v>31</v>
      </c>
      <c r="F4192" s="9">
        <v>27</v>
      </c>
      <c r="G4192" s="9">
        <v>317</v>
      </c>
      <c r="H4192" s="5" t="s">
        <v>21</v>
      </c>
      <c r="I4192" s="5" t="s">
        <v>10336</v>
      </c>
      <c r="J4192" s="12" t="str">
        <f>HYPERLINK("https://www.boe.es/gazeta/dias/1802/04/02/pdfs/GMD-1802-27.pdf#page=13","Abrir facsímil")</f>
        <v>Abrir facsímil</v>
      </c>
      <c r="K4192" s="15" t="s">
        <v>23</v>
      </c>
    </row>
    <row r="4193" spans="1:11" ht="42" customHeight="1">
      <c r="A4193" s="4" t="s">
        <v>10337</v>
      </c>
      <c r="B4193" s="5" t="s">
        <v>10337</v>
      </c>
      <c r="C4193" s="5" t="s">
        <v>18</v>
      </c>
      <c r="D4193" s="5" t="s">
        <v>19</v>
      </c>
      <c r="E4193" s="5" t="s">
        <v>20</v>
      </c>
      <c r="F4193" s="9">
        <v>84</v>
      </c>
      <c r="G4193" s="9">
        <v>1041</v>
      </c>
      <c r="H4193" s="5" t="s">
        <v>21</v>
      </c>
      <c r="I4193" s="5" t="s">
        <v>10338</v>
      </c>
      <c r="J4193" s="12" t="str">
        <f>HYPERLINK("https://www.boe.es/gazeta/dias/1802/10/15/pdfs/GMD-1802-84.pdf#page=9","Abrir facsímil")</f>
        <v>Abrir facsímil</v>
      </c>
      <c r="K4193" s="15" t="s">
        <v>23</v>
      </c>
    </row>
    <row r="4194" spans="1:11" ht="42" customHeight="1">
      <c r="A4194" s="4" t="s">
        <v>10339</v>
      </c>
      <c r="B4194" s="5" t="s">
        <v>10339</v>
      </c>
      <c r="C4194" s="5" t="s">
        <v>42</v>
      </c>
      <c r="D4194" s="5" t="s">
        <v>43</v>
      </c>
      <c r="E4194" s="5" t="s">
        <v>44</v>
      </c>
      <c r="F4194" s="9">
        <v>99</v>
      </c>
      <c r="G4194" s="9" t="s">
        <v>550</v>
      </c>
      <c r="H4194" s="5" t="s">
        <v>21</v>
      </c>
      <c r="I4194" s="5" t="s">
        <v>10340</v>
      </c>
      <c r="J4194" s="12" t="str">
        <f>HYPERLINK("https://www.boe.es/gazeta/dias/1802/12/07/pdfs/GMD-D-1802-99.pdf#page=16","Abrir facsímil")</f>
        <v>Abrir facsímil</v>
      </c>
      <c r="K4194" s="15" t="s">
        <v>23</v>
      </c>
    </row>
    <row r="4195" spans="1:11" ht="42" customHeight="1">
      <c r="A4195" s="4" t="s">
        <v>10341</v>
      </c>
      <c r="B4195" s="5" t="s">
        <v>10342</v>
      </c>
      <c r="C4195" s="5" t="s">
        <v>90</v>
      </c>
      <c r="D4195" s="5" t="s">
        <v>91</v>
      </c>
      <c r="E4195" s="5" t="s">
        <v>1051</v>
      </c>
      <c r="F4195" s="9">
        <v>43</v>
      </c>
      <c r="G4195" s="9">
        <v>518</v>
      </c>
      <c r="H4195" s="5" t="s">
        <v>21</v>
      </c>
      <c r="I4195" s="5" t="s">
        <v>10343</v>
      </c>
      <c r="J4195" s="12" t="str">
        <f>HYPERLINK("https://www.boe.es/gazeta/dias/1802/05/28/pdfs/GMD-1802-43.pdf#page=10","Abrir facsímil")</f>
        <v>Abrir facsímil</v>
      </c>
      <c r="K4195" s="15" t="s">
        <v>23</v>
      </c>
    </row>
    <row r="4196" spans="1:11" ht="42" customHeight="1">
      <c r="A4196" s="4" t="s">
        <v>10344</v>
      </c>
      <c r="B4196" s="5" t="s">
        <v>10345</v>
      </c>
      <c r="C4196" s="5" t="s">
        <v>55</v>
      </c>
      <c r="D4196" s="5" t="s">
        <v>56</v>
      </c>
      <c r="E4196" s="5" t="s">
        <v>443</v>
      </c>
      <c r="F4196" s="9">
        <v>78</v>
      </c>
      <c r="G4196" s="9">
        <v>964</v>
      </c>
      <c r="H4196" s="5" t="s">
        <v>21</v>
      </c>
      <c r="I4196" s="5" t="s">
        <v>10346</v>
      </c>
      <c r="J4196" s="12" t="str">
        <f>HYPERLINK("https://www.boe.es/gazeta/dias/1802/09/24/pdfs/GMD-1802-78.pdf#page=12","Abrir facsímil")</f>
        <v>Abrir facsímil</v>
      </c>
      <c r="K4196" s="15" t="s">
        <v>23</v>
      </c>
    </row>
    <row r="4197" spans="1:11" ht="42" customHeight="1">
      <c r="A4197" s="4" t="s">
        <v>10347</v>
      </c>
      <c r="B4197" s="5" t="s">
        <v>10347</v>
      </c>
      <c r="C4197" s="5" t="s">
        <v>29</v>
      </c>
      <c r="D4197" s="5" t="s">
        <v>30</v>
      </c>
      <c r="E4197" s="5" t="s">
        <v>389</v>
      </c>
      <c r="F4197" s="9">
        <v>96</v>
      </c>
      <c r="G4197" s="9">
        <v>1191</v>
      </c>
      <c r="H4197" s="5" t="s">
        <v>21</v>
      </c>
      <c r="I4197" s="5" t="s">
        <v>10348</v>
      </c>
      <c r="J4197" s="12" t="str">
        <f>HYPERLINK("https://www.boe.es/gazeta/dias/1802/11/26/pdfs/GMD-1802-96.pdf#page=11","Abrir facsímil")</f>
        <v>Abrir facsímil</v>
      </c>
      <c r="K4197" s="15" t="s">
        <v>23</v>
      </c>
    </row>
    <row r="4198" spans="1:11" ht="42" customHeight="1">
      <c r="A4198" s="4" t="s">
        <v>10349</v>
      </c>
      <c r="B4198" s="5" t="s">
        <v>10349</v>
      </c>
      <c r="C4198" s="5" t="s">
        <v>42</v>
      </c>
      <c r="D4198" s="5" t="s">
        <v>43</v>
      </c>
      <c r="E4198" s="5" t="s">
        <v>44</v>
      </c>
      <c r="F4198" s="9">
        <v>99</v>
      </c>
      <c r="G4198" s="9" t="s">
        <v>548</v>
      </c>
      <c r="H4198" s="5" t="s">
        <v>21</v>
      </c>
      <c r="I4198" s="5" t="s">
        <v>10350</v>
      </c>
      <c r="J4198" s="12" t="str">
        <f>HYPERLINK("https://www.boe.es/gazeta/dias/1802/12/07/pdfs/GMD-D-1802-99.pdf#page=12","Abrir facsímil")</f>
        <v>Abrir facsímil</v>
      </c>
      <c r="K4198" s="15" t="s">
        <v>23</v>
      </c>
    </row>
    <row r="4199" spans="1:11" ht="42" customHeight="1">
      <c r="A4199" s="4" t="s">
        <v>10351</v>
      </c>
      <c r="B4199" s="5" t="s">
        <v>10352</v>
      </c>
      <c r="C4199" s="5" t="s">
        <v>42</v>
      </c>
      <c r="D4199" s="5" t="s">
        <v>43</v>
      </c>
      <c r="E4199" s="5" t="s">
        <v>44</v>
      </c>
      <c r="F4199" s="9">
        <v>99</v>
      </c>
      <c r="G4199" s="9" t="s">
        <v>295</v>
      </c>
      <c r="H4199" s="5" t="s">
        <v>21</v>
      </c>
      <c r="I4199" s="5" t="s">
        <v>10353</v>
      </c>
      <c r="J4199" s="12" t="str">
        <f>HYPERLINK("https://www.boe.es/gazeta/dias/1802/12/07/pdfs/GMD-D-1802-99.pdf#page=7","Abrir facsímil")</f>
        <v>Abrir facsímil</v>
      </c>
      <c r="K4199" s="15" t="s">
        <v>23</v>
      </c>
    </row>
    <row r="4200" spans="1:11" ht="42" customHeight="1">
      <c r="A4200" s="4" t="s">
        <v>10354</v>
      </c>
      <c r="B4200" s="5" t="s">
        <v>10355</v>
      </c>
      <c r="C4200" s="5" t="s">
        <v>18</v>
      </c>
      <c r="D4200" s="5" t="s">
        <v>19</v>
      </c>
      <c r="E4200" s="5" t="s">
        <v>196</v>
      </c>
      <c r="F4200" s="9">
        <v>2</v>
      </c>
      <c r="G4200" s="9">
        <v>11</v>
      </c>
      <c r="H4200" s="5" t="s">
        <v>21</v>
      </c>
      <c r="I4200" s="5" t="s">
        <v>10356</v>
      </c>
      <c r="J4200" s="12" t="str">
        <f>HYPERLINK("https://www.boe.es/gazeta/dias/1802/01/05/pdfs/GMD-1802-2.pdf#page=3","Abrir facsímil")</f>
        <v>Abrir facsímil</v>
      </c>
      <c r="K4200" s="15" t="s">
        <v>23</v>
      </c>
    </row>
    <row r="4201" spans="1:11" ht="42" customHeight="1">
      <c r="A4201" s="4" t="s">
        <v>10357</v>
      </c>
      <c r="B4201" s="5" t="s">
        <v>10358</v>
      </c>
      <c r="C4201" s="5" t="s">
        <v>90</v>
      </c>
      <c r="D4201" s="5" t="s">
        <v>91</v>
      </c>
      <c r="E4201" s="5" t="s">
        <v>75</v>
      </c>
      <c r="F4201" s="9">
        <v>103</v>
      </c>
      <c r="G4201" s="9">
        <v>1263</v>
      </c>
      <c r="H4201" s="5" t="s">
        <v>21</v>
      </c>
      <c r="I4201" s="5" t="s">
        <v>10359</v>
      </c>
      <c r="J4201" s="12" t="str">
        <f>HYPERLINK("https://www.boe.es/gazeta/dias/1802/12/21/pdfs/GMD-1802-103.pdf#page=7","Abrir facsímil")</f>
        <v>Abrir facsímil</v>
      </c>
      <c r="K4201" s="15" t="s">
        <v>23</v>
      </c>
    </row>
    <row r="4202" spans="1:11" ht="42" customHeight="1">
      <c r="A4202" s="4" t="s">
        <v>10360</v>
      </c>
      <c r="B4202" s="5" t="s">
        <v>10360</v>
      </c>
      <c r="C4202" s="5" t="s">
        <v>160</v>
      </c>
      <c r="D4202" s="5" t="s">
        <v>91</v>
      </c>
      <c r="E4202" s="5" t="s">
        <v>886</v>
      </c>
      <c r="F4202" s="9">
        <v>7</v>
      </c>
      <c r="G4202" s="9">
        <v>67</v>
      </c>
      <c r="H4202" s="5" t="s">
        <v>21</v>
      </c>
      <c r="I4202" s="5" t="s">
        <v>10361</v>
      </c>
      <c r="J4202" s="12" t="str">
        <f>HYPERLINK("https://www.boe.es/gazeta/dias/1802/01/22/pdfs/GMD-1802-7.pdf#page=7","Abrir facsímil")</f>
        <v>Abrir facsímil</v>
      </c>
      <c r="K4202" s="15" t="s">
        <v>23</v>
      </c>
    </row>
    <row r="4203" spans="1:11" ht="42" customHeight="1">
      <c r="A4203" s="4" t="s">
        <v>10362</v>
      </c>
      <c r="B4203" s="5" t="s">
        <v>10362</v>
      </c>
      <c r="C4203" s="5" t="s">
        <v>18</v>
      </c>
      <c r="D4203" s="5" t="s">
        <v>19</v>
      </c>
      <c r="E4203" s="5" t="s">
        <v>25</v>
      </c>
      <c r="F4203" s="9">
        <v>44</v>
      </c>
      <c r="G4203" s="9">
        <v>529</v>
      </c>
      <c r="H4203" s="5" t="s">
        <v>21</v>
      </c>
      <c r="I4203" s="5" t="s">
        <v>10363</v>
      </c>
      <c r="J4203" s="12" t="str">
        <f>HYPERLINK("https://www.boe.es/gazeta/dias/1802/06/01/pdfs/GMD-1802-44.pdf#page=5","Abrir facsímil")</f>
        <v>Abrir facsímil</v>
      </c>
      <c r="K4203" s="15" t="s">
        <v>23</v>
      </c>
    </row>
    <row r="4204" spans="1:11" ht="42" customHeight="1">
      <c r="A4204" s="4" t="s">
        <v>10364</v>
      </c>
      <c r="B4204" s="5" t="s">
        <v>10365</v>
      </c>
      <c r="C4204" s="5" t="s">
        <v>35</v>
      </c>
      <c r="D4204" s="5" t="s">
        <v>36</v>
      </c>
      <c r="E4204" s="5" t="s">
        <v>232</v>
      </c>
      <c r="F4204" s="9">
        <v>30</v>
      </c>
      <c r="G4204" s="9">
        <v>345</v>
      </c>
      <c r="H4204" s="5" t="s">
        <v>21</v>
      </c>
      <c r="I4204" s="5" t="s">
        <v>10366</v>
      </c>
      <c r="J4204" s="12" t="str">
        <f>HYPERLINK("https://www.boe.es/gazeta/dias/1802/04/13/pdfs/GMD-1802-30.pdf#page=1","Abrir facsímil")</f>
        <v>Abrir facsímil</v>
      </c>
      <c r="K4204" s="15" t="s">
        <v>23</v>
      </c>
    </row>
    <row r="4205" spans="1:11" ht="42" customHeight="1">
      <c r="A4205" s="4" t="s">
        <v>10367</v>
      </c>
      <c r="B4205" s="5" t="s">
        <v>10368</v>
      </c>
      <c r="C4205" s="5" t="s">
        <v>35</v>
      </c>
      <c r="D4205" s="5" t="s">
        <v>36</v>
      </c>
      <c r="E4205" s="5" t="s">
        <v>332</v>
      </c>
      <c r="F4205" s="9">
        <v>24</v>
      </c>
      <c r="G4205" s="9">
        <v>268</v>
      </c>
      <c r="H4205" s="5" t="s">
        <v>21</v>
      </c>
      <c r="I4205" s="5" t="s">
        <v>10369</v>
      </c>
      <c r="J4205" s="12" t="str">
        <f>HYPERLINK("https://www.boe.es/gazeta/dias/1802/03/23/pdfs/GMD-1802-24.pdf#page=4","Abrir facsímil")</f>
        <v>Abrir facsímil</v>
      </c>
      <c r="K4205" s="15" t="s">
        <v>23</v>
      </c>
    </row>
    <row r="4206" spans="1:11" ht="42" customHeight="1">
      <c r="A4206" s="4" t="s">
        <v>10370</v>
      </c>
      <c r="B4206" s="5" t="s">
        <v>10371</v>
      </c>
      <c r="C4206" s="5" t="s">
        <v>35</v>
      </c>
      <c r="D4206" s="5" t="s">
        <v>36</v>
      </c>
      <c r="E4206" s="5" t="s">
        <v>60</v>
      </c>
      <c r="F4206" s="9">
        <v>5</v>
      </c>
      <c r="G4206" s="9">
        <v>48</v>
      </c>
      <c r="H4206" s="5" t="s">
        <v>21</v>
      </c>
      <c r="I4206" s="5" t="s">
        <v>10372</v>
      </c>
      <c r="J4206" s="12" t="str">
        <f>HYPERLINK("https://www.boe.es/gazeta/dias/1802/01/15/pdfs/GMD-1802-5.pdf#page=4","Abrir facsímil")</f>
        <v>Abrir facsímil</v>
      </c>
      <c r="K4206" s="15" t="s">
        <v>23</v>
      </c>
    </row>
    <row r="4207" spans="1:11" ht="42" customHeight="1">
      <c r="A4207" s="4" t="s">
        <v>10370</v>
      </c>
      <c r="B4207" s="5" t="s">
        <v>10371</v>
      </c>
      <c r="C4207" s="5" t="s">
        <v>35</v>
      </c>
      <c r="D4207" s="5" t="s">
        <v>36</v>
      </c>
      <c r="E4207" s="5" t="s">
        <v>1588</v>
      </c>
      <c r="F4207" s="9">
        <v>18</v>
      </c>
      <c r="G4207" s="9">
        <v>191</v>
      </c>
      <c r="H4207" s="5" t="s">
        <v>21</v>
      </c>
      <c r="I4207" s="5" t="s">
        <v>10373</v>
      </c>
      <c r="J4207" s="12" t="str">
        <f>HYPERLINK("https://www.boe.es/gazeta/dias/1802/03/02/pdfs/GMD-1802-18.pdf#page=3","Abrir facsímil")</f>
        <v>Abrir facsímil</v>
      </c>
      <c r="K4207" s="15" t="s">
        <v>23</v>
      </c>
    </row>
    <row r="4208" spans="1:11" ht="42" customHeight="1">
      <c r="A4208" s="4" t="s">
        <v>10374</v>
      </c>
      <c r="B4208" s="5" t="s">
        <v>10375</v>
      </c>
      <c r="C4208" s="5" t="s">
        <v>18</v>
      </c>
      <c r="D4208" s="5" t="s">
        <v>19</v>
      </c>
      <c r="E4208" s="5" t="s">
        <v>196</v>
      </c>
      <c r="F4208" s="9">
        <v>2</v>
      </c>
      <c r="G4208" s="9">
        <v>12</v>
      </c>
      <c r="H4208" s="5" t="s">
        <v>21</v>
      </c>
      <c r="I4208" s="5" t="s">
        <v>10376</v>
      </c>
      <c r="J4208" s="12" t="str">
        <f>HYPERLINK("https://www.boe.es/gazeta/dias/1802/01/05/pdfs/GMD-1802-2.pdf#page=4","Abrir facsímil")</f>
        <v>Abrir facsímil</v>
      </c>
      <c r="K4208" s="15" t="s">
        <v>23</v>
      </c>
    </row>
    <row r="4209" spans="1:11" ht="42" customHeight="1">
      <c r="A4209" s="4" t="s">
        <v>10374</v>
      </c>
      <c r="B4209" s="5" t="s">
        <v>10375</v>
      </c>
      <c r="C4209" s="5" t="s">
        <v>18</v>
      </c>
      <c r="D4209" s="5" t="s">
        <v>19</v>
      </c>
      <c r="E4209" s="5" t="s">
        <v>196</v>
      </c>
      <c r="F4209" s="9">
        <v>2</v>
      </c>
      <c r="G4209" s="9">
        <v>13</v>
      </c>
      <c r="H4209" s="5" t="s">
        <v>21</v>
      </c>
      <c r="I4209" s="5" t="s">
        <v>10377</v>
      </c>
      <c r="J4209" s="12" t="str">
        <f>HYPERLINK("https://www.boe.es/gazeta/dias/1802/01/05/pdfs/GMD-1802-2.pdf#page=5","Abrir facsímil")</f>
        <v>Abrir facsímil</v>
      </c>
      <c r="K4209" s="15" t="s">
        <v>23</v>
      </c>
    </row>
    <row r="4210" spans="1:11" ht="42" customHeight="1">
      <c r="A4210" s="4" t="s">
        <v>10374</v>
      </c>
      <c r="B4210" s="5" t="s">
        <v>10375</v>
      </c>
      <c r="C4210" s="5" t="s">
        <v>90</v>
      </c>
      <c r="D4210" s="5" t="s">
        <v>91</v>
      </c>
      <c r="E4210" s="5" t="s">
        <v>1332</v>
      </c>
      <c r="F4210" s="9">
        <v>4</v>
      </c>
      <c r="G4210" s="9">
        <v>32</v>
      </c>
      <c r="H4210" s="5" t="s">
        <v>21</v>
      </c>
      <c r="I4210" s="5" t="s">
        <v>10378</v>
      </c>
      <c r="J4210" s="12" t="str">
        <f>HYPERLINK("https://www.boe.es/gazeta/dias/1802/01/12/pdfs/GMD-1802-4.pdf#page=4","Abrir facsímil")</f>
        <v>Abrir facsímil</v>
      </c>
      <c r="K4210" s="15" t="s">
        <v>23</v>
      </c>
    </row>
    <row r="4211" spans="1:11" ht="42" customHeight="1">
      <c r="A4211" s="4" t="s">
        <v>10374</v>
      </c>
      <c r="B4211" s="5" t="s">
        <v>10375</v>
      </c>
      <c r="C4211" s="5" t="s">
        <v>29</v>
      </c>
      <c r="D4211" s="5" t="s">
        <v>30</v>
      </c>
      <c r="E4211" s="5" t="s">
        <v>170</v>
      </c>
      <c r="F4211" s="9">
        <v>28</v>
      </c>
      <c r="G4211" s="9">
        <v>323</v>
      </c>
      <c r="H4211" s="5" t="s">
        <v>21</v>
      </c>
      <c r="I4211" s="5" t="s">
        <v>10379</v>
      </c>
      <c r="J4211" s="12" t="str">
        <f>HYPERLINK("https://www.boe.es/gazeta/dias/1802/04/06/pdfs/GMD-1802-28.pdf#page=3","Abrir facsímil")</f>
        <v>Abrir facsímil</v>
      </c>
      <c r="K4211" s="15" t="s">
        <v>23</v>
      </c>
    </row>
    <row r="4212" spans="1:11" ht="42" customHeight="1">
      <c r="A4212" s="4" t="s">
        <v>10374</v>
      </c>
      <c r="B4212" s="5" t="s">
        <v>10375</v>
      </c>
      <c r="C4212" s="5" t="s">
        <v>35</v>
      </c>
      <c r="D4212" s="5" t="s">
        <v>36</v>
      </c>
      <c r="E4212" s="5" t="s">
        <v>339</v>
      </c>
      <c r="F4212" s="9">
        <v>39</v>
      </c>
      <c r="G4212" s="9">
        <v>462</v>
      </c>
      <c r="H4212" s="5" t="s">
        <v>21</v>
      </c>
      <c r="I4212" s="5" t="s">
        <v>10380</v>
      </c>
      <c r="J4212" s="12" t="str">
        <f>HYPERLINK("https://www.boe.es/gazeta/dias/1802/05/14/pdfs/GMD-1802-39.pdf#page=6","Abrir facsímil")</f>
        <v>Abrir facsímil</v>
      </c>
      <c r="K4212" s="15" t="s">
        <v>23</v>
      </c>
    </row>
    <row r="4213" spans="1:11" ht="42" customHeight="1">
      <c r="A4213" s="4" t="s">
        <v>10381</v>
      </c>
      <c r="B4213" s="5" t="s">
        <v>10382</v>
      </c>
      <c r="C4213" s="5" t="s">
        <v>35</v>
      </c>
      <c r="D4213" s="5" t="s">
        <v>36</v>
      </c>
      <c r="E4213" s="5" t="s">
        <v>1381</v>
      </c>
      <c r="F4213" s="9">
        <v>17</v>
      </c>
      <c r="G4213" s="9">
        <v>179</v>
      </c>
      <c r="H4213" s="5" t="s">
        <v>21</v>
      </c>
      <c r="I4213" s="5" t="s">
        <v>10383</v>
      </c>
      <c r="J4213" s="12" t="str">
        <f>HYPERLINK("https://www.boe.es/gazeta/dias/1802/02/26/pdfs/GMD-1802-17.pdf#page=3","Abrir facsímil")</f>
        <v>Abrir facsímil</v>
      </c>
      <c r="K4213" s="15" t="s">
        <v>23</v>
      </c>
    </row>
    <row r="4214" spans="1:11" ht="42" customHeight="1">
      <c r="A4214" s="4" t="s">
        <v>10384</v>
      </c>
      <c r="B4214" s="5" t="s">
        <v>10385</v>
      </c>
      <c r="C4214" s="5" t="s">
        <v>29</v>
      </c>
      <c r="D4214" s="5" t="s">
        <v>30</v>
      </c>
      <c r="E4214" s="5" t="s">
        <v>635</v>
      </c>
      <c r="F4214" s="9">
        <v>47</v>
      </c>
      <c r="G4214" s="9">
        <v>570</v>
      </c>
      <c r="H4214" s="5" t="s">
        <v>21</v>
      </c>
      <c r="I4214" s="5" t="s">
        <v>10386</v>
      </c>
      <c r="J4214" s="12" t="str">
        <f>HYPERLINK("https://www.boe.es/gazeta/dias/1802/06/11/pdfs/GMD-1802-47.pdf#page=6","Abrir facsímil")</f>
        <v>Abrir facsímil</v>
      </c>
      <c r="K4214" s="15" t="s">
        <v>23</v>
      </c>
    </row>
    <row r="4215" spans="1:11" ht="42" customHeight="1">
      <c r="A4215" s="4" t="s">
        <v>10387</v>
      </c>
      <c r="B4215" s="5" t="s">
        <v>10388</v>
      </c>
      <c r="C4215" s="5" t="s">
        <v>29</v>
      </c>
      <c r="D4215" s="5" t="s">
        <v>30</v>
      </c>
      <c r="E4215" s="5" t="s">
        <v>82</v>
      </c>
      <c r="F4215" s="9">
        <v>74</v>
      </c>
      <c r="G4215" s="9">
        <v>915</v>
      </c>
      <c r="H4215" s="5" t="s">
        <v>21</v>
      </c>
      <c r="I4215" s="5" t="s">
        <v>10389</v>
      </c>
      <c r="J4215" s="12" t="str">
        <f>HYPERLINK("https://www.boe.es/gazeta/dias/1802/09/10/pdfs/GMD-1802-74.pdf#page=11","Abrir facsímil")</f>
        <v>Abrir facsímil</v>
      </c>
      <c r="K4215" s="15" t="s">
        <v>23</v>
      </c>
    </row>
    <row r="4216" spans="1:11" ht="42" customHeight="1">
      <c r="A4216" s="4" t="s">
        <v>10390</v>
      </c>
      <c r="B4216" s="5" t="s">
        <v>10391</v>
      </c>
      <c r="C4216" s="5" t="s">
        <v>18</v>
      </c>
      <c r="D4216" s="5" t="s">
        <v>19</v>
      </c>
      <c r="E4216" s="5" t="s">
        <v>20</v>
      </c>
      <c r="F4216" s="9">
        <v>84</v>
      </c>
      <c r="G4216" s="9">
        <v>1043</v>
      </c>
      <c r="H4216" s="5" t="s">
        <v>21</v>
      </c>
      <c r="I4216" s="5" t="s">
        <v>10392</v>
      </c>
      <c r="J4216" s="12" t="str">
        <f>HYPERLINK("https://www.boe.es/gazeta/dias/1802/10/15/pdfs/GMD-1802-84.pdf#page=11","Abrir facsímil")</f>
        <v>Abrir facsímil</v>
      </c>
      <c r="K4216" s="15" t="s">
        <v>23</v>
      </c>
    </row>
    <row r="4217" spans="1:11" ht="42" customHeight="1">
      <c r="A4217" s="4" t="s">
        <v>10393</v>
      </c>
      <c r="B4217" s="5" t="s">
        <v>10393</v>
      </c>
      <c r="C4217" s="5" t="s">
        <v>35</v>
      </c>
      <c r="D4217" s="5" t="s">
        <v>36</v>
      </c>
      <c r="E4217" s="5" t="s">
        <v>481</v>
      </c>
      <c r="F4217" s="9">
        <v>79</v>
      </c>
      <c r="G4217" s="9">
        <v>970</v>
      </c>
      <c r="H4217" s="5" t="s">
        <v>21</v>
      </c>
      <c r="I4217" s="5" t="s">
        <v>10394</v>
      </c>
      <c r="J4217" s="12" t="str">
        <f>HYPERLINK("https://www.boe.es/gazeta/dias/1802/09/28/pdfs/GMD-1802-79.pdf#page=6","Abrir facsímil")</f>
        <v>Abrir facsímil</v>
      </c>
      <c r="K4217" s="15" t="s">
        <v>23</v>
      </c>
    </row>
    <row r="4218" spans="1:11" ht="42" customHeight="1">
      <c r="A4218" s="4" t="s">
        <v>10395</v>
      </c>
      <c r="B4218" s="5" t="s">
        <v>10396</v>
      </c>
      <c r="C4218" s="5" t="s">
        <v>55</v>
      </c>
      <c r="D4218" s="5" t="s">
        <v>56</v>
      </c>
      <c r="E4218" s="5" t="s">
        <v>481</v>
      </c>
      <c r="F4218" s="9">
        <v>79</v>
      </c>
      <c r="G4218" s="9">
        <v>970</v>
      </c>
      <c r="H4218" s="5" t="s">
        <v>21</v>
      </c>
      <c r="I4218" s="5" t="s">
        <v>10397</v>
      </c>
      <c r="J4218" s="12" t="str">
        <f>HYPERLINK("https://www.boe.es/gazeta/dias/1802/09/28/pdfs/GMD-1802-79.pdf#page=6","Abrir facsímil")</f>
        <v>Abrir facsímil</v>
      </c>
      <c r="K4218" s="15" t="s">
        <v>23</v>
      </c>
    </row>
    <row r="4219" spans="1:11" ht="42" customHeight="1">
      <c r="A4219" s="4" t="s">
        <v>10398</v>
      </c>
      <c r="B4219" s="5" t="s">
        <v>10399</v>
      </c>
      <c r="C4219" s="5" t="s">
        <v>35</v>
      </c>
      <c r="D4219" s="5" t="s">
        <v>36</v>
      </c>
      <c r="E4219" s="5" t="s">
        <v>232</v>
      </c>
      <c r="F4219" s="9">
        <v>30</v>
      </c>
      <c r="G4219" s="9">
        <v>348</v>
      </c>
      <c r="H4219" s="5" t="s">
        <v>21</v>
      </c>
      <c r="I4219" s="5" t="s">
        <v>10400</v>
      </c>
      <c r="J4219" s="12" t="str">
        <f>HYPERLINK("https://www.boe.es/gazeta/dias/1802/04/13/pdfs/GMD-1802-30.pdf#page=4","Abrir facsímil")</f>
        <v>Abrir facsímil</v>
      </c>
      <c r="K4219" s="15" t="s">
        <v>23</v>
      </c>
    </row>
    <row r="4220" spans="1:11" ht="42" customHeight="1">
      <c r="A4220" s="4" t="s">
        <v>10401</v>
      </c>
      <c r="B4220" s="5" t="s">
        <v>10402</v>
      </c>
      <c r="C4220" s="5" t="s">
        <v>18</v>
      </c>
      <c r="D4220" s="5" t="s">
        <v>19</v>
      </c>
      <c r="E4220" s="5" t="s">
        <v>170</v>
      </c>
      <c r="F4220" s="9">
        <v>28</v>
      </c>
      <c r="G4220" s="9">
        <v>326</v>
      </c>
      <c r="H4220" s="5" t="s">
        <v>21</v>
      </c>
      <c r="I4220" s="5" t="s">
        <v>10403</v>
      </c>
      <c r="J4220" s="12" t="str">
        <f>HYPERLINK("https://www.boe.es/gazeta/dias/1802/04/06/pdfs/GMD-1802-28.pdf#page=6","Abrir facsímil")</f>
        <v>Abrir facsímil</v>
      </c>
      <c r="K4220" s="15" t="s">
        <v>23</v>
      </c>
    </row>
    <row r="4221" spans="1:11" ht="42" customHeight="1">
      <c r="A4221" s="4" t="s">
        <v>10401</v>
      </c>
      <c r="B4221" s="5" t="s">
        <v>10402</v>
      </c>
      <c r="C4221" s="5" t="s">
        <v>55</v>
      </c>
      <c r="D4221" s="5" t="s">
        <v>56</v>
      </c>
      <c r="E4221" s="5" t="s">
        <v>133</v>
      </c>
      <c r="F4221" s="9">
        <v>33</v>
      </c>
      <c r="G4221" s="9">
        <v>385</v>
      </c>
      <c r="H4221" s="5" t="s">
        <v>21</v>
      </c>
      <c r="I4221" s="5" t="s">
        <v>10404</v>
      </c>
      <c r="J4221" s="12" t="str">
        <f>HYPERLINK("https://www.boe.es/gazeta/dias/1802/04/23/pdfs/GMD-1802-33.pdf#page=5","Abrir facsímil")</f>
        <v>Abrir facsímil</v>
      </c>
      <c r="K4221" s="15" t="s">
        <v>23</v>
      </c>
    </row>
    <row r="4222" spans="1:11" ht="42" customHeight="1">
      <c r="A4222" s="4" t="s">
        <v>10405</v>
      </c>
      <c r="B4222" s="5" t="s">
        <v>10406</v>
      </c>
      <c r="C4222" s="5" t="s">
        <v>35</v>
      </c>
      <c r="D4222" s="5" t="s">
        <v>36</v>
      </c>
      <c r="E4222" s="5" t="s">
        <v>339</v>
      </c>
      <c r="F4222" s="9">
        <v>39</v>
      </c>
      <c r="G4222" s="9">
        <v>463</v>
      </c>
      <c r="H4222" s="5" t="s">
        <v>21</v>
      </c>
      <c r="I4222" s="5" t="s">
        <v>10407</v>
      </c>
      <c r="J4222" s="12" t="str">
        <f>HYPERLINK("https://www.boe.es/gazeta/dias/1802/05/14/pdfs/GMD-1802-39.pdf#page=7","Abrir facsímil")</f>
        <v>Abrir facsímil</v>
      </c>
      <c r="K4222" s="15" t="s">
        <v>23</v>
      </c>
    </row>
    <row r="4223" spans="1:11" ht="42" customHeight="1">
      <c r="A4223" s="4" t="s">
        <v>10405</v>
      </c>
      <c r="B4223" s="5" t="s">
        <v>10406</v>
      </c>
      <c r="C4223" s="5" t="s">
        <v>35</v>
      </c>
      <c r="D4223" s="5" t="s">
        <v>36</v>
      </c>
      <c r="E4223" s="5" t="s">
        <v>339</v>
      </c>
      <c r="F4223" s="9">
        <v>39</v>
      </c>
      <c r="G4223" s="9">
        <v>464</v>
      </c>
      <c r="H4223" s="5" t="s">
        <v>21</v>
      </c>
      <c r="I4223" s="5" t="s">
        <v>10408</v>
      </c>
      <c r="J4223" s="12" t="str">
        <f>HYPERLINK("https://www.boe.es/gazeta/dias/1802/05/14/pdfs/GMD-1802-39.pdf#page=8","Abrir facsímil")</f>
        <v>Abrir facsímil</v>
      </c>
      <c r="K4223" s="15" t="s">
        <v>23</v>
      </c>
    </row>
    <row r="4224" spans="1:11" ht="42" customHeight="1">
      <c r="A4224" s="4" t="s">
        <v>10409</v>
      </c>
      <c r="B4224" s="5" t="s">
        <v>10410</v>
      </c>
      <c r="C4224" s="5" t="s">
        <v>160</v>
      </c>
      <c r="D4224" s="5" t="s">
        <v>91</v>
      </c>
      <c r="E4224" s="5" t="s">
        <v>172</v>
      </c>
      <c r="F4224" s="9">
        <v>35</v>
      </c>
      <c r="G4224" s="9">
        <v>405</v>
      </c>
      <c r="H4224" s="5" t="s">
        <v>21</v>
      </c>
      <c r="I4224" s="5" t="s">
        <v>10411</v>
      </c>
      <c r="J4224" s="12" t="str">
        <f>HYPERLINK("https://www.boe.es/gazeta/dias/1802/04/30/pdfs/GMD-1802-35.pdf#page=5","Abrir facsímil")</f>
        <v>Abrir facsímil</v>
      </c>
      <c r="K4224" s="15" t="s">
        <v>23</v>
      </c>
    </row>
    <row r="4225" spans="1:11" ht="42" customHeight="1">
      <c r="A4225" s="4" t="s">
        <v>10412</v>
      </c>
      <c r="B4225" s="5" t="s">
        <v>10413</v>
      </c>
      <c r="C4225" s="5" t="s">
        <v>35</v>
      </c>
      <c r="D4225" s="5" t="s">
        <v>36</v>
      </c>
      <c r="E4225" s="5" t="s">
        <v>642</v>
      </c>
      <c r="F4225" s="9">
        <v>51</v>
      </c>
      <c r="G4225" s="9">
        <v>618</v>
      </c>
      <c r="H4225" s="5" t="s">
        <v>21</v>
      </c>
      <c r="I4225" s="5" t="s">
        <v>10414</v>
      </c>
      <c r="J4225" s="12" t="str">
        <f>HYPERLINK("https://www.boe.es/gazeta/dias/1802/06/25/pdfs/GMD-1802-51.pdf#page=6","Abrir facsímil")</f>
        <v>Abrir facsímil</v>
      </c>
      <c r="K4225" s="15" t="s">
        <v>23</v>
      </c>
    </row>
    <row r="4226" spans="1:11" ht="42" customHeight="1">
      <c r="A4226" s="4" t="s">
        <v>10412</v>
      </c>
      <c r="B4226" s="5" t="s">
        <v>10413</v>
      </c>
      <c r="C4226" s="5" t="s">
        <v>35</v>
      </c>
      <c r="D4226" s="5" t="s">
        <v>36</v>
      </c>
      <c r="E4226" s="5" t="s">
        <v>183</v>
      </c>
      <c r="F4226" s="9">
        <v>56</v>
      </c>
      <c r="G4226" s="9">
        <v>674</v>
      </c>
      <c r="H4226" s="5" t="s">
        <v>21</v>
      </c>
      <c r="I4226" s="5" t="s">
        <v>10415</v>
      </c>
      <c r="J4226" s="12" t="str">
        <f>HYPERLINK("https://www.boe.es/gazeta/dias/1802/07/13/pdfs/GMD-1802-56.pdf#page=6","Abrir facsímil")</f>
        <v>Abrir facsímil</v>
      </c>
      <c r="K4226" s="15" t="s">
        <v>23</v>
      </c>
    </row>
    <row r="4227" spans="1:11" ht="42" customHeight="1">
      <c r="A4227" s="4" t="s">
        <v>10412</v>
      </c>
      <c r="B4227" s="5" t="s">
        <v>10413</v>
      </c>
      <c r="C4227" s="5" t="s">
        <v>29</v>
      </c>
      <c r="D4227" s="5" t="s">
        <v>30</v>
      </c>
      <c r="E4227" s="5" t="s">
        <v>292</v>
      </c>
      <c r="F4227" s="9">
        <v>62</v>
      </c>
      <c r="G4227" s="9">
        <v>747</v>
      </c>
      <c r="H4227" s="5" t="s">
        <v>21</v>
      </c>
      <c r="I4227" s="5" t="s">
        <v>10416</v>
      </c>
      <c r="J4227" s="12" t="str">
        <f>HYPERLINK("https://www.boe.es/gazeta/dias/1802/07/30/pdfs/GMD-1802-62.pdf#page=3","Abrir facsímil")</f>
        <v>Abrir facsímil</v>
      </c>
      <c r="K4227" s="15" t="s">
        <v>23</v>
      </c>
    </row>
    <row r="4228" spans="1:11" ht="42" customHeight="1">
      <c r="A4228" s="4" t="s">
        <v>10412</v>
      </c>
      <c r="B4228" s="5" t="s">
        <v>10413</v>
      </c>
      <c r="C4228" s="5" t="s">
        <v>90</v>
      </c>
      <c r="D4228" s="5" t="s">
        <v>91</v>
      </c>
      <c r="E4228" s="5" t="s">
        <v>82</v>
      </c>
      <c r="F4228" s="9">
        <v>74</v>
      </c>
      <c r="G4228" s="9">
        <v>908</v>
      </c>
      <c r="H4228" s="5" t="s">
        <v>21</v>
      </c>
      <c r="I4228" s="5" t="s">
        <v>10417</v>
      </c>
      <c r="J4228" s="12" t="str">
        <f>HYPERLINK("https://www.boe.es/gazeta/dias/1802/09/10/pdfs/GMD-1802-74.pdf#page=4","Abrir facsímil")</f>
        <v>Abrir facsímil</v>
      </c>
      <c r="K4228" s="15" t="s">
        <v>23</v>
      </c>
    </row>
    <row r="4229" spans="1:11" ht="42" customHeight="1">
      <c r="A4229" s="4" t="s">
        <v>10418</v>
      </c>
      <c r="B4229" s="5" t="s">
        <v>10418</v>
      </c>
      <c r="C4229" s="5" t="s">
        <v>35</v>
      </c>
      <c r="D4229" s="5" t="s">
        <v>36</v>
      </c>
      <c r="E4229" s="5" t="s">
        <v>311</v>
      </c>
      <c r="F4229" s="9">
        <v>88</v>
      </c>
      <c r="G4229" s="9">
        <v>1091</v>
      </c>
      <c r="H4229" s="5" t="s">
        <v>21</v>
      </c>
      <c r="I4229" s="5" t="s">
        <v>10419</v>
      </c>
      <c r="J4229" s="12" t="str">
        <f>HYPERLINK("https://www.boe.es/gazeta/dias/1802/10/29/pdfs/GMD-1802-88.pdf#page=7","Abrir facsímil")</f>
        <v>Abrir facsímil</v>
      </c>
      <c r="K4229" s="15" t="s">
        <v>23</v>
      </c>
    </row>
    <row r="4230" spans="1:11" ht="42" customHeight="1">
      <c r="A4230" s="4" t="s">
        <v>10420</v>
      </c>
      <c r="B4230" s="5" t="s">
        <v>10420</v>
      </c>
      <c r="C4230" s="5" t="s">
        <v>55</v>
      </c>
      <c r="D4230" s="5" t="s">
        <v>56</v>
      </c>
      <c r="E4230" s="5" t="s">
        <v>385</v>
      </c>
      <c r="F4230" s="9">
        <v>70</v>
      </c>
      <c r="G4230" s="9">
        <v>864</v>
      </c>
      <c r="H4230" s="5" t="s">
        <v>21</v>
      </c>
      <c r="I4230" s="5" t="s">
        <v>10421</v>
      </c>
      <c r="J4230" s="12" t="str">
        <f>HYPERLINK("https://www.boe.es/gazeta/dias/1802/08/27/pdfs/GMD-1802-70.pdf#page=12","Abrir facsímil")</f>
        <v>Abrir facsímil</v>
      </c>
      <c r="K4230" s="15" t="s">
        <v>23</v>
      </c>
    </row>
    <row r="4231" spans="1:11" ht="42" customHeight="1">
      <c r="A4231" s="4" t="s">
        <v>10422</v>
      </c>
      <c r="B4231" s="5" t="s">
        <v>10423</v>
      </c>
      <c r="C4231" s="5" t="s">
        <v>18</v>
      </c>
      <c r="D4231" s="5" t="s">
        <v>19</v>
      </c>
      <c r="E4231" s="5" t="s">
        <v>152</v>
      </c>
      <c r="F4231" s="9">
        <v>25</v>
      </c>
      <c r="G4231" s="9">
        <v>285</v>
      </c>
      <c r="H4231" s="5" t="s">
        <v>21</v>
      </c>
      <c r="I4231" s="5" t="s">
        <v>10424</v>
      </c>
      <c r="J4231" s="12" t="str">
        <f>HYPERLINK("https://www.boe.es/gazeta/dias/1802/03/26/pdfs/GMD-1802-25.pdf#page=9","Abrir facsímil")</f>
        <v>Abrir facsímil</v>
      </c>
      <c r="K4231" s="15" t="s">
        <v>23</v>
      </c>
    </row>
    <row r="4232" spans="1:11" ht="42" customHeight="1">
      <c r="A4232" s="4" t="s">
        <v>10425</v>
      </c>
      <c r="B4232" s="5" t="s">
        <v>10426</v>
      </c>
      <c r="C4232" s="5" t="s">
        <v>18</v>
      </c>
      <c r="D4232" s="5" t="s">
        <v>19</v>
      </c>
      <c r="E4232" s="5" t="s">
        <v>152</v>
      </c>
      <c r="F4232" s="9">
        <v>25</v>
      </c>
      <c r="G4232" s="9">
        <v>284</v>
      </c>
      <c r="H4232" s="5" t="s">
        <v>21</v>
      </c>
      <c r="I4232" s="5" t="s">
        <v>10427</v>
      </c>
      <c r="J4232" s="12" t="str">
        <f>HYPERLINK("https://www.boe.es/gazeta/dias/1802/03/26/pdfs/GMD-1802-25.pdf#page=8","Abrir facsímil")</f>
        <v>Abrir facsímil</v>
      </c>
      <c r="K4232" s="15" t="s">
        <v>23</v>
      </c>
    </row>
    <row r="4233" spans="1:11" ht="42" customHeight="1">
      <c r="A4233" s="4" t="s">
        <v>10428</v>
      </c>
      <c r="B4233" s="5" t="s">
        <v>10429</v>
      </c>
      <c r="C4233" s="5" t="s">
        <v>18</v>
      </c>
      <c r="D4233" s="5" t="s">
        <v>19</v>
      </c>
      <c r="E4233" s="5" t="s">
        <v>49</v>
      </c>
      <c r="F4233" s="9">
        <v>83</v>
      </c>
      <c r="G4233" s="9">
        <v>1022</v>
      </c>
      <c r="H4233" s="5" t="s">
        <v>21</v>
      </c>
      <c r="I4233" s="5" t="s">
        <v>10430</v>
      </c>
      <c r="J4233" s="12" t="str">
        <f>HYPERLINK("https://www.boe.es/gazeta/dias/1802/10/12/pdfs/GMD-1802-83.pdf#page=10","Abrir facsímil")</f>
        <v>Abrir facsímil</v>
      </c>
      <c r="K4233" s="15" t="s">
        <v>23</v>
      </c>
    </row>
    <row r="4234" spans="1:11" ht="42" customHeight="1">
      <c r="A4234" s="4" t="s">
        <v>10431</v>
      </c>
      <c r="B4234" s="5" t="s">
        <v>10432</v>
      </c>
      <c r="C4234" s="5" t="s">
        <v>18</v>
      </c>
      <c r="D4234" s="5" t="s">
        <v>19</v>
      </c>
      <c r="E4234" s="5" t="s">
        <v>49</v>
      </c>
      <c r="F4234" s="9">
        <v>83</v>
      </c>
      <c r="G4234" s="9">
        <v>1023</v>
      </c>
      <c r="H4234" s="5" t="s">
        <v>21</v>
      </c>
      <c r="I4234" s="5" t="s">
        <v>10433</v>
      </c>
      <c r="J4234" s="12" t="str">
        <f>HYPERLINK("https://www.boe.es/gazeta/dias/1802/10/12/pdfs/GMD-1802-83.pdf#page=11","Abrir facsímil")</f>
        <v>Abrir facsímil</v>
      </c>
      <c r="K4234" s="15" t="s">
        <v>23</v>
      </c>
    </row>
    <row r="4235" spans="1:11" ht="42" customHeight="1">
      <c r="A4235" s="4" t="s">
        <v>10434</v>
      </c>
      <c r="B4235" s="5" t="s">
        <v>10434</v>
      </c>
      <c r="C4235" s="5" t="s">
        <v>35</v>
      </c>
      <c r="D4235" s="5" t="s">
        <v>36</v>
      </c>
      <c r="E4235" s="5" t="s">
        <v>131</v>
      </c>
      <c r="F4235" s="9">
        <v>11</v>
      </c>
      <c r="G4235" s="9">
        <v>108</v>
      </c>
      <c r="H4235" s="5" t="s">
        <v>21</v>
      </c>
      <c r="I4235" s="5" t="s">
        <v>10435</v>
      </c>
      <c r="J4235" s="12" t="str">
        <f>HYPERLINK("https://www.boe.es/gazeta/dias/1802/02/05/pdfs/GMD-1802-11.pdf#page=4","Abrir facsímil")</f>
        <v>Abrir facsímil</v>
      </c>
      <c r="K4235" s="15" t="s">
        <v>23</v>
      </c>
    </row>
    <row r="4236" spans="1:11" ht="42" customHeight="1">
      <c r="A4236" s="4" t="s">
        <v>10436</v>
      </c>
      <c r="B4236" s="5" t="s">
        <v>10437</v>
      </c>
      <c r="C4236" s="5" t="s">
        <v>29</v>
      </c>
      <c r="D4236" s="5" t="s">
        <v>30</v>
      </c>
      <c r="E4236" s="5" t="s">
        <v>670</v>
      </c>
      <c r="F4236" s="9">
        <v>40</v>
      </c>
      <c r="G4236" s="9">
        <v>474</v>
      </c>
      <c r="H4236" s="5" t="s">
        <v>21</v>
      </c>
      <c r="I4236" s="5" t="s">
        <v>10438</v>
      </c>
      <c r="J4236" s="12" t="str">
        <f>HYPERLINK("https://www.boe.es/gazeta/dias/1802/05/18/pdfs/GMD-1802-40.pdf#page=2","Abrir facsímil")</f>
        <v>Abrir facsímil</v>
      </c>
      <c r="K4236" s="15" t="s">
        <v>23</v>
      </c>
    </row>
    <row r="4237" spans="1:11" ht="42" customHeight="1">
      <c r="A4237" s="4" t="s">
        <v>10439</v>
      </c>
      <c r="B4237" s="5" t="s">
        <v>10440</v>
      </c>
      <c r="C4237" s="5" t="s">
        <v>35</v>
      </c>
      <c r="D4237" s="5" t="s">
        <v>36</v>
      </c>
      <c r="E4237" s="5" t="s">
        <v>276</v>
      </c>
      <c r="F4237" s="9">
        <v>75</v>
      </c>
      <c r="G4237" s="9">
        <v>917</v>
      </c>
      <c r="H4237" s="5" t="s">
        <v>21</v>
      </c>
      <c r="I4237" s="5" t="s">
        <v>10441</v>
      </c>
      <c r="J4237" s="12" t="str">
        <f>HYPERLINK("https://www.boe.es/gazeta/dias/1802/09/14/pdfs/GMD-1802-75.pdf#page=1","Abrir facsímil")</f>
        <v>Abrir facsímil</v>
      </c>
      <c r="K4237" s="15" t="s">
        <v>23</v>
      </c>
    </row>
    <row r="4238" spans="1:11" ht="42" customHeight="1">
      <c r="A4238" s="4" t="s">
        <v>10442</v>
      </c>
      <c r="B4238" s="5" t="s">
        <v>10442</v>
      </c>
      <c r="C4238" s="5" t="s">
        <v>29</v>
      </c>
      <c r="D4238" s="5" t="s">
        <v>30</v>
      </c>
      <c r="E4238" s="5" t="s">
        <v>655</v>
      </c>
      <c r="F4238" s="9">
        <v>46</v>
      </c>
      <c r="G4238" s="9">
        <v>550</v>
      </c>
      <c r="H4238" s="5" t="s">
        <v>21</v>
      </c>
      <c r="I4238" s="5" t="s">
        <v>10443</v>
      </c>
      <c r="J4238" s="12" t="str">
        <f>HYPERLINK("https://www.boe.es/gazeta/dias/1802/06/08/pdfs/GMD-1802-46.pdf#page=2","Abrir facsímil")</f>
        <v>Abrir facsímil</v>
      </c>
      <c r="K4238" s="15" t="s">
        <v>23</v>
      </c>
    </row>
    <row r="4239" spans="1:11" ht="42" customHeight="1">
      <c r="A4239" s="4" t="s">
        <v>10444</v>
      </c>
      <c r="B4239" s="5" t="s">
        <v>10445</v>
      </c>
      <c r="C4239" s="5" t="s">
        <v>35</v>
      </c>
      <c r="D4239" s="5" t="s">
        <v>36</v>
      </c>
      <c r="E4239" s="5" t="s">
        <v>148</v>
      </c>
      <c r="F4239" s="9">
        <v>66</v>
      </c>
      <c r="G4239" s="9">
        <v>797</v>
      </c>
      <c r="H4239" s="5" t="s">
        <v>21</v>
      </c>
      <c r="I4239" s="5" t="s">
        <v>10446</v>
      </c>
      <c r="J4239" s="12" t="str">
        <f>HYPERLINK("https://www.boe.es/gazeta/dias/1802/08/13/pdfs/GMD-1802-66.pdf#page=1","Abrir facsímil")</f>
        <v>Abrir facsímil</v>
      </c>
      <c r="K4239" s="15" t="s">
        <v>23</v>
      </c>
    </row>
    <row r="4240" spans="1:11" ht="42" customHeight="1">
      <c r="A4240" s="4" t="s">
        <v>10447</v>
      </c>
      <c r="B4240" s="5" t="s">
        <v>10448</v>
      </c>
      <c r="C4240" s="5" t="s">
        <v>29</v>
      </c>
      <c r="D4240" s="5" t="s">
        <v>30</v>
      </c>
      <c r="E4240" s="5" t="s">
        <v>443</v>
      </c>
      <c r="F4240" s="9">
        <v>78</v>
      </c>
      <c r="G4240" s="9">
        <v>953</v>
      </c>
      <c r="H4240" s="5" t="s">
        <v>21</v>
      </c>
      <c r="I4240" s="5" t="s">
        <v>10449</v>
      </c>
      <c r="J4240" s="12" t="str">
        <f>HYPERLINK("https://www.boe.es/gazeta/dias/1802/09/24/pdfs/GMD-1802-78.pdf#page=1","Abrir facsímil")</f>
        <v>Abrir facsímil</v>
      </c>
      <c r="K4240" s="15" t="s">
        <v>23</v>
      </c>
    </row>
    <row r="4241" spans="1:11" ht="42" customHeight="1">
      <c r="A4241" s="4" t="s">
        <v>10450</v>
      </c>
      <c r="B4241" s="5" t="s">
        <v>10450</v>
      </c>
      <c r="C4241" s="5" t="s">
        <v>35</v>
      </c>
      <c r="D4241" s="5" t="s">
        <v>36</v>
      </c>
      <c r="E4241" s="5" t="s">
        <v>1113</v>
      </c>
      <c r="F4241" s="9">
        <v>6</v>
      </c>
      <c r="G4241" s="9">
        <v>53</v>
      </c>
      <c r="H4241" s="5" t="s">
        <v>21</v>
      </c>
      <c r="I4241" s="5" t="s">
        <v>10451</v>
      </c>
      <c r="J4241" s="12" t="str">
        <f>HYPERLINK("https://www.boe.es/gazeta/dias/1802/01/19/pdfs/GMD-1802-6.pdf#page=1","Abrir facsímil")</f>
        <v>Abrir facsímil</v>
      </c>
      <c r="K4241" s="15" t="s">
        <v>23</v>
      </c>
    </row>
    <row r="4242" spans="1:11" ht="42" customHeight="1">
      <c r="A4242" s="4" t="s">
        <v>10452</v>
      </c>
      <c r="B4242" s="5" t="s">
        <v>10453</v>
      </c>
      <c r="C4242" s="5" t="s">
        <v>29</v>
      </c>
      <c r="D4242" s="5" t="s">
        <v>30</v>
      </c>
      <c r="E4242" s="5" t="s">
        <v>517</v>
      </c>
      <c r="F4242" s="9">
        <v>61</v>
      </c>
      <c r="G4242" s="9">
        <v>733</v>
      </c>
      <c r="H4242" s="5" t="s">
        <v>21</v>
      </c>
      <c r="I4242" s="5" t="s">
        <v>10454</v>
      </c>
      <c r="J4242" s="12" t="str">
        <f>HYPERLINK("https://www.boe.es/gazeta/dias/1802/07/27/pdfs/GMD-1802-61.pdf#page=1","Abrir facsímil")</f>
        <v>Abrir facsímil</v>
      </c>
      <c r="K4242" s="15" t="s">
        <v>23</v>
      </c>
    </row>
    <row r="4243" spans="1:11" ht="42" customHeight="1">
      <c r="A4243" s="4" t="s">
        <v>10455</v>
      </c>
      <c r="B4243" s="5" t="s">
        <v>10455</v>
      </c>
      <c r="C4243" s="5" t="s">
        <v>35</v>
      </c>
      <c r="D4243" s="5" t="s">
        <v>36</v>
      </c>
      <c r="E4243" s="5" t="s">
        <v>148</v>
      </c>
      <c r="F4243" s="9">
        <v>66</v>
      </c>
      <c r="G4243" s="9">
        <v>799</v>
      </c>
      <c r="H4243" s="5" t="s">
        <v>21</v>
      </c>
      <c r="I4243" s="5" t="s">
        <v>10456</v>
      </c>
      <c r="J4243" s="12" t="str">
        <f>HYPERLINK("https://www.boe.es/gazeta/dias/1802/08/13/pdfs/GMD-1802-66.pdf#page=3","Abrir facsímil")</f>
        <v>Abrir facsímil</v>
      </c>
      <c r="K4243" s="15" t="s">
        <v>23</v>
      </c>
    </row>
    <row r="4244" spans="1:11" ht="42" customHeight="1">
      <c r="A4244" s="4" t="s">
        <v>10457</v>
      </c>
      <c r="B4244" s="5" t="s">
        <v>10458</v>
      </c>
      <c r="C4244" s="5" t="s">
        <v>35</v>
      </c>
      <c r="D4244" s="5" t="s">
        <v>36</v>
      </c>
      <c r="E4244" s="5" t="s">
        <v>37</v>
      </c>
      <c r="F4244" s="9">
        <v>106</v>
      </c>
      <c r="G4244" s="9">
        <v>1290</v>
      </c>
      <c r="H4244" s="5" t="s">
        <v>21</v>
      </c>
      <c r="I4244" s="5" t="s">
        <v>10459</v>
      </c>
      <c r="J4244" s="12" t="str">
        <f>HYPERLINK("https://www.boe.es/gazeta/dias/1802/12/31/pdfs/GMD-1802-106.pdf#page=2","Abrir facsímil")</f>
        <v>Abrir facsímil</v>
      </c>
      <c r="K4244" s="15" t="s">
        <v>23</v>
      </c>
    </row>
    <row r="4245" spans="1:11" ht="42" customHeight="1">
      <c r="A4245" s="4" t="s">
        <v>10460</v>
      </c>
      <c r="B4245" s="5" t="s">
        <v>10461</v>
      </c>
      <c r="C4245" s="5" t="s">
        <v>35</v>
      </c>
      <c r="D4245" s="5" t="s">
        <v>36</v>
      </c>
      <c r="E4245" s="5" t="s">
        <v>1289</v>
      </c>
      <c r="F4245" s="9">
        <v>72</v>
      </c>
      <c r="G4245" s="9">
        <v>883</v>
      </c>
      <c r="H4245" s="5" t="s">
        <v>21</v>
      </c>
      <c r="I4245" s="5" t="s">
        <v>10462</v>
      </c>
      <c r="J4245" s="12" t="str">
        <f>HYPERLINK("https://www.boe.es/gazeta/dias/1802/09/03/pdfs/GMD-1802-72.pdf#page=3","Abrir facsímil")</f>
        <v>Abrir facsímil</v>
      </c>
      <c r="K4245" s="15" t="s">
        <v>23</v>
      </c>
    </row>
    <row r="4246" spans="1:11" ht="42" customHeight="1">
      <c r="A4246" s="4" t="s">
        <v>10460</v>
      </c>
      <c r="B4246" s="5" t="s">
        <v>10461</v>
      </c>
      <c r="C4246" s="5" t="s">
        <v>90</v>
      </c>
      <c r="D4246" s="5" t="s">
        <v>91</v>
      </c>
      <c r="E4246" s="5" t="s">
        <v>82</v>
      </c>
      <c r="F4246" s="9">
        <v>74</v>
      </c>
      <c r="G4246" s="9">
        <v>914</v>
      </c>
      <c r="H4246" s="5" t="s">
        <v>21</v>
      </c>
      <c r="I4246" s="5" t="s">
        <v>10463</v>
      </c>
      <c r="J4246" s="12" t="str">
        <f>HYPERLINK("https://www.boe.es/gazeta/dias/1802/09/10/pdfs/GMD-1802-74.pdf#page=10","Abrir facsímil")</f>
        <v>Abrir facsímil</v>
      </c>
      <c r="K4246" s="15" t="s">
        <v>23</v>
      </c>
    </row>
    <row r="4247" spans="1:11" ht="42" customHeight="1">
      <c r="A4247" s="4" t="s">
        <v>10460</v>
      </c>
      <c r="B4247" s="5" t="s">
        <v>10461</v>
      </c>
      <c r="C4247" s="5" t="s">
        <v>35</v>
      </c>
      <c r="D4247" s="5" t="s">
        <v>36</v>
      </c>
      <c r="E4247" s="5" t="s">
        <v>481</v>
      </c>
      <c r="F4247" s="9">
        <v>79</v>
      </c>
      <c r="G4247" s="9">
        <v>965</v>
      </c>
      <c r="H4247" s="5" t="s">
        <v>21</v>
      </c>
      <c r="I4247" s="5" t="s">
        <v>10464</v>
      </c>
      <c r="J4247" s="12" t="str">
        <f>HYPERLINK("https://www.boe.es/gazeta/dias/1802/09/28/pdfs/GMD-1802-79.pdf#page=1","Abrir facsímil")</f>
        <v>Abrir facsímil</v>
      </c>
      <c r="K4247" s="15" t="s">
        <v>23</v>
      </c>
    </row>
    <row r="4248" spans="1:11" ht="42" customHeight="1">
      <c r="A4248" s="4" t="s">
        <v>10460</v>
      </c>
      <c r="B4248" s="5" t="s">
        <v>10461</v>
      </c>
      <c r="C4248" s="5" t="s">
        <v>35</v>
      </c>
      <c r="D4248" s="5" t="s">
        <v>36</v>
      </c>
      <c r="E4248" s="5" t="s">
        <v>481</v>
      </c>
      <c r="F4248" s="9">
        <v>79</v>
      </c>
      <c r="G4248" s="9">
        <v>968</v>
      </c>
      <c r="H4248" s="5" t="s">
        <v>21</v>
      </c>
      <c r="I4248" s="5" t="s">
        <v>10465</v>
      </c>
      <c r="J4248" s="12" t="str">
        <f>HYPERLINK("https://www.boe.es/gazeta/dias/1802/09/28/pdfs/GMD-1802-79.pdf#page=4","Abrir facsímil")</f>
        <v>Abrir facsímil</v>
      </c>
      <c r="K4248" s="15" t="s">
        <v>23</v>
      </c>
    </row>
    <row r="4249" spans="1:11" ht="42" customHeight="1">
      <c r="A4249" s="4" t="s">
        <v>10466</v>
      </c>
      <c r="B4249" s="5" t="s">
        <v>10466</v>
      </c>
      <c r="C4249" s="5" t="s">
        <v>160</v>
      </c>
      <c r="D4249" s="5" t="s">
        <v>91</v>
      </c>
      <c r="E4249" s="5" t="s">
        <v>385</v>
      </c>
      <c r="F4249" s="9">
        <v>70</v>
      </c>
      <c r="G4249" s="9">
        <v>863</v>
      </c>
      <c r="H4249" s="5" t="s">
        <v>21</v>
      </c>
      <c r="I4249" s="5" t="s">
        <v>10467</v>
      </c>
      <c r="J4249" s="12" t="str">
        <f>HYPERLINK("https://www.boe.es/gazeta/dias/1802/08/27/pdfs/GMD-1802-70.pdf#page=11","Abrir facsímil")</f>
        <v>Abrir facsímil</v>
      </c>
      <c r="K4249" s="15" t="s">
        <v>23</v>
      </c>
    </row>
    <row r="4250" spans="1:11" ht="42" customHeight="1">
      <c r="A4250" s="4" t="s">
        <v>10466</v>
      </c>
      <c r="B4250" s="5" t="s">
        <v>10466</v>
      </c>
      <c r="C4250" s="5" t="s">
        <v>55</v>
      </c>
      <c r="D4250" s="5" t="s">
        <v>56</v>
      </c>
      <c r="E4250" s="5" t="s">
        <v>73</v>
      </c>
      <c r="F4250" s="9">
        <v>102</v>
      </c>
      <c r="G4250" s="9">
        <v>1255</v>
      </c>
      <c r="H4250" s="5" t="s">
        <v>21</v>
      </c>
      <c r="I4250" s="5" t="s">
        <v>10468</v>
      </c>
      <c r="J4250" s="12" t="str">
        <f>HYPERLINK("https://www.boe.es/gazeta/dias/1802/12/17/pdfs/GMD-1802-102.pdf#page=11","Abrir facsímil")</f>
        <v>Abrir facsímil</v>
      </c>
      <c r="K4250" s="15" t="s">
        <v>23</v>
      </c>
    </row>
    <row r="4251" spans="1:11" ht="42" customHeight="1">
      <c r="A4251" s="4" t="s">
        <v>10469</v>
      </c>
      <c r="B4251" s="5" t="s">
        <v>10469</v>
      </c>
      <c r="C4251" s="5" t="s">
        <v>18</v>
      </c>
      <c r="D4251" s="5" t="s">
        <v>19</v>
      </c>
      <c r="E4251" s="5" t="s">
        <v>167</v>
      </c>
      <c r="F4251" s="9">
        <v>23</v>
      </c>
      <c r="G4251" s="9">
        <v>254</v>
      </c>
      <c r="H4251" s="5" t="s">
        <v>21</v>
      </c>
      <c r="I4251" s="5" t="s">
        <v>10470</v>
      </c>
      <c r="J4251" s="12" t="str">
        <f>HYPERLINK("https://www.boe.es/gazeta/dias/1802/03/19/pdfs/GMD-1802-23.pdf#page=2","Abrir facsímil")</f>
        <v>Abrir facsímil</v>
      </c>
      <c r="K4251" s="15" t="s">
        <v>23</v>
      </c>
    </row>
    <row r="4252" spans="1:11" ht="42" customHeight="1">
      <c r="A4252" s="4" t="s">
        <v>10471</v>
      </c>
      <c r="B4252" s="5" t="s">
        <v>10471</v>
      </c>
      <c r="C4252" s="5" t="s">
        <v>55</v>
      </c>
      <c r="D4252" s="5" t="s">
        <v>56</v>
      </c>
      <c r="E4252" s="5" t="s">
        <v>1051</v>
      </c>
      <c r="F4252" s="9">
        <v>43</v>
      </c>
      <c r="G4252" s="9">
        <v>514</v>
      </c>
      <c r="H4252" s="5" t="s">
        <v>21</v>
      </c>
      <c r="I4252" s="5" t="s">
        <v>10472</v>
      </c>
      <c r="J4252" s="12" t="str">
        <f>HYPERLINK("https://www.boe.es/gazeta/dias/1802/05/28/pdfs/GMD-1802-43.pdf#page=6","Abrir facsímil")</f>
        <v>Abrir facsímil</v>
      </c>
      <c r="K4252" s="15" t="s">
        <v>23</v>
      </c>
    </row>
    <row r="4253" spans="1:11" ht="42" customHeight="1">
      <c r="A4253" s="4" t="s">
        <v>10471</v>
      </c>
      <c r="B4253" s="5" t="s">
        <v>10471</v>
      </c>
      <c r="C4253" s="5" t="s">
        <v>29</v>
      </c>
      <c r="D4253" s="5" t="s">
        <v>30</v>
      </c>
      <c r="E4253" s="5" t="s">
        <v>706</v>
      </c>
      <c r="F4253" s="9">
        <v>80</v>
      </c>
      <c r="G4253" s="9">
        <v>982</v>
      </c>
      <c r="H4253" s="5" t="s">
        <v>21</v>
      </c>
      <c r="I4253" s="5" t="s">
        <v>10473</v>
      </c>
      <c r="J4253" s="12" t="str">
        <f>HYPERLINK("https://www.boe.es/gazeta/dias/1802/10/01/pdfs/GMD-1802-80.pdf#page=6","Abrir facsímil")</f>
        <v>Abrir facsímil</v>
      </c>
      <c r="K4253" s="15" t="s">
        <v>23</v>
      </c>
    </row>
    <row r="4254" spans="1:11" ht="42" customHeight="1">
      <c r="A4254" s="4" t="s">
        <v>10474</v>
      </c>
      <c r="B4254" s="5" t="s">
        <v>10475</v>
      </c>
      <c r="C4254" s="5" t="s">
        <v>29</v>
      </c>
      <c r="D4254" s="5" t="s">
        <v>30</v>
      </c>
      <c r="E4254" s="5" t="s">
        <v>1113</v>
      </c>
      <c r="F4254" s="9">
        <v>6</v>
      </c>
      <c r="G4254" s="9">
        <v>53</v>
      </c>
      <c r="H4254" s="5" t="s">
        <v>21</v>
      </c>
      <c r="I4254" s="5" t="s">
        <v>10476</v>
      </c>
      <c r="J4254" s="12" t="str">
        <f>HYPERLINK("https://www.boe.es/gazeta/dias/1802/01/19/pdfs/GMD-1802-6.pdf#page=1","Abrir facsímil")</f>
        <v>Abrir facsímil</v>
      </c>
      <c r="K4254" s="15" t="s">
        <v>23</v>
      </c>
    </row>
    <row r="4255" spans="1:11" ht="42" customHeight="1">
      <c r="A4255" s="4" t="s">
        <v>10474</v>
      </c>
      <c r="B4255" s="5" t="s">
        <v>10475</v>
      </c>
      <c r="C4255" s="5" t="s">
        <v>18</v>
      </c>
      <c r="D4255" s="5" t="s">
        <v>19</v>
      </c>
      <c r="E4255" s="5" t="s">
        <v>678</v>
      </c>
      <c r="F4255" s="9">
        <v>15</v>
      </c>
      <c r="G4255" s="9">
        <v>150</v>
      </c>
      <c r="H4255" s="5" t="s">
        <v>21</v>
      </c>
      <c r="I4255" s="5" t="s">
        <v>10477</v>
      </c>
      <c r="J4255" s="12" t="str">
        <f>HYPERLINK("https://www.boe.es/gazeta/dias/1802/02/19/pdfs/GMD-1802-15.pdf#page=2","Abrir facsímil")</f>
        <v>Abrir facsímil</v>
      </c>
      <c r="K4255" s="15" t="s">
        <v>23</v>
      </c>
    </row>
    <row r="4256" spans="1:11" ht="42" customHeight="1">
      <c r="A4256" s="4" t="s">
        <v>10478</v>
      </c>
      <c r="B4256" s="5" t="s">
        <v>10478</v>
      </c>
      <c r="C4256" s="5" t="s">
        <v>18</v>
      </c>
      <c r="D4256" s="5" t="s">
        <v>19</v>
      </c>
      <c r="E4256" s="5" t="s">
        <v>1749</v>
      </c>
      <c r="F4256" s="9">
        <v>60</v>
      </c>
      <c r="G4256" s="9">
        <v>720</v>
      </c>
      <c r="H4256" s="5" t="s">
        <v>21</v>
      </c>
      <c r="I4256" s="5" t="s">
        <v>10479</v>
      </c>
      <c r="J4256" s="12" t="str">
        <f>HYPERLINK("https://www.boe.es/gazeta/dias/1802/07/23/pdfs/GMD-1802-60.pdf#page=4","Abrir facsímil")</f>
        <v>Abrir facsímil</v>
      </c>
      <c r="K4256" s="15" t="s">
        <v>23</v>
      </c>
    </row>
    <row r="4257" spans="1:11" ht="42" customHeight="1">
      <c r="A4257" s="4" t="s">
        <v>10480</v>
      </c>
      <c r="B4257" s="5" t="s">
        <v>10480</v>
      </c>
      <c r="C4257" s="5" t="s">
        <v>29</v>
      </c>
      <c r="D4257" s="5" t="s">
        <v>30</v>
      </c>
      <c r="E4257" s="5" t="s">
        <v>258</v>
      </c>
      <c r="F4257" s="9">
        <v>63</v>
      </c>
      <c r="G4257" s="9">
        <v>765</v>
      </c>
      <c r="H4257" s="5" t="s">
        <v>21</v>
      </c>
      <c r="I4257" s="5" t="s">
        <v>10481</v>
      </c>
      <c r="J4257" s="12" t="str">
        <f>HYPERLINK("https://www.boe.es/gazeta/dias/1802/08/03/pdfs/GMD-1802-63.pdf#page=5","Abrir facsímil")</f>
        <v>Abrir facsímil</v>
      </c>
      <c r="K4257" s="15" t="s">
        <v>23</v>
      </c>
    </row>
    <row r="4258" spans="1:11" ht="42" customHeight="1">
      <c r="A4258" s="4" t="s">
        <v>10482</v>
      </c>
      <c r="B4258" s="5" t="s">
        <v>10483</v>
      </c>
      <c r="C4258" s="5" t="s">
        <v>18</v>
      </c>
      <c r="D4258" s="5" t="s">
        <v>19</v>
      </c>
      <c r="E4258" s="5" t="s">
        <v>49</v>
      </c>
      <c r="F4258" s="9">
        <v>83</v>
      </c>
      <c r="G4258" s="9">
        <v>1023</v>
      </c>
      <c r="H4258" s="5" t="s">
        <v>21</v>
      </c>
      <c r="I4258" s="5" t="s">
        <v>10484</v>
      </c>
      <c r="J4258" s="12" t="str">
        <f>HYPERLINK("https://www.boe.es/gazeta/dias/1802/10/12/pdfs/GMD-1802-83.pdf#page=11","Abrir facsímil")</f>
        <v>Abrir facsímil</v>
      </c>
      <c r="K4258" s="15" t="s">
        <v>23</v>
      </c>
    </row>
    <row r="4259" spans="1:11" ht="42" customHeight="1">
      <c r="A4259" s="4" t="s">
        <v>10485</v>
      </c>
      <c r="B4259" s="5" t="s">
        <v>10486</v>
      </c>
      <c r="C4259" s="5" t="s">
        <v>42</v>
      </c>
      <c r="D4259" s="5" t="s">
        <v>43</v>
      </c>
      <c r="E4259" s="5" t="s">
        <v>44</v>
      </c>
      <c r="F4259" s="9">
        <v>99</v>
      </c>
      <c r="G4259" s="9" t="s">
        <v>554</v>
      </c>
      <c r="H4259" s="5" t="s">
        <v>21</v>
      </c>
      <c r="I4259" s="5" t="s">
        <v>10487</v>
      </c>
      <c r="J4259" s="12" t="str">
        <f>HYPERLINK("https://www.boe.es/gazeta/dias/1802/12/07/pdfs/GMD-D-1802-99.pdf#page=4","Abrir facsímil")</f>
        <v>Abrir facsímil</v>
      </c>
      <c r="K4259" s="15" t="s">
        <v>23</v>
      </c>
    </row>
    <row r="4260" spans="1:11" ht="42" customHeight="1">
      <c r="A4260" s="4" t="s">
        <v>10488</v>
      </c>
      <c r="B4260" s="5" t="s">
        <v>10489</v>
      </c>
      <c r="C4260" s="5" t="s">
        <v>29</v>
      </c>
      <c r="D4260" s="5" t="s">
        <v>30</v>
      </c>
      <c r="E4260" s="5" t="s">
        <v>37</v>
      </c>
      <c r="F4260" s="9">
        <v>106</v>
      </c>
      <c r="G4260" s="9">
        <v>1295</v>
      </c>
      <c r="H4260" s="5" t="s">
        <v>21</v>
      </c>
      <c r="I4260" s="5" t="s">
        <v>10490</v>
      </c>
      <c r="J4260" s="12" t="str">
        <f>HYPERLINK("https://www.boe.es/gazeta/dias/1802/12/31/pdfs/GMD-1802-106.pdf#page=7","Abrir facsímil")</f>
        <v>Abrir facsímil</v>
      </c>
      <c r="K4260" s="15" t="s">
        <v>23</v>
      </c>
    </row>
    <row r="4261" spans="1:11" ht="42" customHeight="1">
      <c r="A4261" s="4" t="s">
        <v>10491</v>
      </c>
      <c r="B4261" s="5" t="s">
        <v>10492</v>
      </c>
      <c r="C4261" s="5" t="s">
        <v>18</v>
      </c>
      <c r="D4261" s="5" t="s">
        <v>19</v>
      </c>
      <c r="E4261" s="5" t="s">
        <v>49</v>
      </c>
      <c r="F4261" s="9">
        <v>83</v>
      </c>
      <c r="G4261" s="9">
        <v>1022</v>
      </c>
      <c r="H4261" s="5" t="s">
        <v>21</v>
      </c>
      <c r="I4261" s="5" t="s">
        <v>10493</v>
      </c>
      <c r="J4261" s="12" t="str">
        <f>HYPERLINK("https://www.boe.es/gazeta/dias/1802/10/12/pdfs/GMD-1802-83.pdf#page=10","Abrir facsímil")</f>
        <v>Abrir facsímil</v>
      </c>
      <c r="K4261" s="15" t="s">
        <v>23</v>
      </c>
    </row>
    <row r="4262" spans="1:11" ht="42" customHeight="1">
      <c r="A4262" s="4" t="s">
        <v>10494</v>
      </c>
      <c r="B4262" s="5" t="s">
        <v>10495</v>
      </c>
      <c r="C4262" s="5" t="s">
        <v>18</v>
      </c>
      <c r="D4262" s="5" t="s">
        <v>19</v>
      </c>
      <c r="E4262" s="5" t="s">
        <v>1097</v>
      </c>
      <c r="F4262" s="9">
        <v>20</v>
      </c>
      <c r="G4262" s="9">
        <v>221</v>
      </c>
      <c r="H4262" s="5" t="s">
        <v>21</v>
      </c>
      <c r="I4262" s="5" t="s">
        <v>10496</v>
      </c>
      <c r="J4262" s="12" t="str">
        <f>HYPERLINK("https://www.boe.es/gazeta/dias/1802/03/09/pdfs/GMD-1802-20.pdf#page=9","Abrir facsímil")</f>
        <v>Abrir facsímil</v>
      </c>
      <c r="K4262" s="15" t="s">
        <v>23</v>
      </c>
    </row>
    <row r="4263" spans="1:11" ht="42" customHeight="1">
      <c r="A4263" s="4" t="s">
        <v>10497</v>
      </c>
      <c r="B4263" s="5" t="s">
        <v>10497</v>
      </c>
      <c r="C4263" s="5" t="s">
        <v>18</v>
      </c>
      <c r="D4263" s="5" t="s">
        <v>19</v>
      </c>
      <c r="E4263" s="5" t="s">
        <v>276</v>
      </c>
      <c r="F4263" s="9">
        <v>75</v>
      </c>
      <c r="G4263" s="9">
        <v>928</v>
      </c>
      <c r="H4263" s="5" t="s">
        <v>21</v>
      </c>
      <c r="I4263" s="5" t="s">
        <v>10498</v>
      </c>
      <c r="J4263" s="12" t="str">
        <f>HYPERLINK("https://www.boe.es/gazeta/dias/1802/09/14/pdfs/GMD-1802-75.pdf#page=12","Abrir facsímil")</f>
        <v>Abrir facsímil</v>
      </c>
      <c r="K4263" s="15" t="s">
        <v>23</v>
      </c>
    </row>
    <row r="4264" spans="1:11" ht="42" customHeight="1">
      <c r="A4264" s="4" t="s">
        <v>10499</v>
      </c>
      <c r="B4264" s="5" t="s">
        <v>10500</v>
      </c>
      <c r="C4264" s="5" t="s">
        <v>18</v>
      </c>
      <c r="D4264" s="5" t="s">
        <v>19</v>
      </c>
      <c r="E4264" s="5" t="s">
        <v>49</v>
      </c>
      <c r="F4264" s="9">
        <v>83</v>
      </c>
      <c r="G4264" s="9">
        <v>1022</v>
      </c>
      <c r="H4264" s="5" t="s">
        <v>21</v>
      </c>
      <c r="I4264" s="5" t="s">
        <v>10501</v>
      </c>
      <c r="J4264" s="12" t="str">
        <f>HYPERLINK("https://www.boe.es/gazeta/dias/1802/10/12/pdfs/GMD-1802-83.pdf#page=10","Abrir facsímil")</f>
        <v>Abrir facsímil</v>
      </c>
      <c r="K4264" s="15" t="s">
        <v>23</v>
      </c>
    </row>
    <row r="4265" spans="1:11" ht="42" customHeight="1">
      <c r="A4265" s="4" t="s">
        <v>10502</v>
      </c>
      <c r="B4265" s="5" t="s">
        <v>10503</v>
      </c>
      <c r="C4265" s="5" t="s">
        <v>42</v>
      </c>
      <c r="D4265" s="5" t="s">
        <v>43</v>
      </c>
      <c r="E4265" s="5" t="s">
        <v>44</v>
      </c>
      <c r="F4265" s="9">
        <v>99</v>
      </c>
      <c r="G4265" s="9" t="s">
        <v>548</v>
      </c>
      <c r="H4265" s="5" t="s">
        <v>21</v>
      </c>
      <c r="I4265" s="5" t="s">
        <v>10504</v>
      </c>
      <c r="J4265" s="12" t="str">
        <f>HYPERLINK("https://www.boe.es/gazeta/dias/1802/12/07/pdfs/GMD-D-1802-99.pdf#page=12","Abrir facsímil")</f>
        <v>Abrir facsímil</v>
      </c>
      <c r="K4265" s="15" t="s">
        <v>23</v>
      </c>
    </row>
    <row r="4266" spans="1:11" ht="42" customHeight="1">
      <c r="A4266" s="4" t="s">
        <v>10505</v>
      </c>
      <c r="B4266" s="5" t="s">
        <v>10506</v>
      </c>
      <c r="C4266" s="5" t="s">
        <v>35</v>
      </c>
      <c r="D4266" s="5" t="s">
        <v>36</v>
      </c>
      <c r="E4266" s="5" t="s">
        <v>31</v>
      </c>
      <c r="F4266" s="9">
        <v>27</v>
      </c>
      <c r="G4266" s="9">
        <v>313</v>
      </c>
      <c r="H4266" s="5" t="s">
        <v>21</v>
      </c>
      <c r="I4266" s="5" t="s">
        <v>10507</v>
      </c>
      <c r="J4266" s="12" t="str">
        <f>HYPERLINK("https://www.boe.es/gazeta/dias/1802/04/02/pdfs/GMD-1802-27.pdf#page=9","Abrir facsímil")</f>
        <v>Abrir facsímil</v>
      </c>
      <c r="K4266" s="15" t="s">
        <v>23</v>
      </c>
    </row>
    <row r="4267" spans="1:11" ht="42" customHeight="1">
      <c r="A4267" s="4" t="s">
        <v>10508</v>
      </c>
      <c r="B4267" s="5" t="s">
        <v>10509</v>
      </c>
      <c r="C4267" s="5" t="s">
        <v>42</v>
      </c>
      <c r="D4267" s="5" t="s">
        <v>43</v>
      </c>
      <c r="E4267" s="5" t="s">
        <v>44</v>
      </c>
      <c r="F4267" s="9">
        <v>99</v>
      </c>
      <c r="G4267" s="9" t="s">
        <v>779</v>
      </c>
      <c r="H4267" s="5" t="s">
        <v>21</v>
      </c>
      <c r="I4267" s="5" t="s">
        <v>10510</v>
      </c>
      <c r="J4267" s="12" t="str">
        <f>HYPERLINK("https://www.boe.es/gazeta/dias/1802/12/07/pdfs/GMD-D-1802-99.pdf#page=13","Abrir facsímil")</f>
        <v>Abrir facsímil</v>
      </c>
      <c r="K4267" s="15" t="s">
        <v>23</v>
      </c>
    </row>
    <row r="4268" spans="1:11" ht="42" customHeight="1">
      <c r="A4268" s="4" t="s">
        <v>10511</v>
      </c>
      <c r="B4268" s="5" t="s">
        <v>10512</v>
      </c>
      <c r="C4268" s="5" t="s">
        <v>35</v>
      </c>
      <c r="D4268" s="5" t="s">
        <v>36</v>
      </c>
      <c r="E4268" s="5" t="s">
        <v>31</v>
      </c>
      <c r="F4268" s="9">
        <v>27</v>
      </c>
      <c r="G4268" s="9">
        <v>316</v>
      </c>
      <c r="H4268" s="5" t="s">
        <v>21</v>
      </c>
      <c r="I4268" s="5" t="s">
        <v>10513</v>
      </c>
      <c r="J4268" s="12" t="str">
        <f>HYPERLINK("https://www.boe.es/gazeta/dias/1802/04/02/pdfs/GMD-1802-27.pdf#page=12","Abrir facsímil")</f>
        <v>Abrir facsímil</v>
      </c>
      <c r="K4268" s="15" t="s">
        <v>23</v>
      </c>
    </row>
    <row r="4269" spans="1:11" ht="42" customHeight="1">
      <c r="A4269" s="4" t="s">
        <v>10514</v>
      </c>
      <c r="B4269" s="5" t="s">
        <v>10515</v>
      </c>
      <c r="C4269" s="5" t="s">
        <v>35</v>
      </c>
      <c r="D4269" s="5" t="s">
        <v>36</v>
      </c>
      <c r="E4269" s="5" t="s">
        <v>31</v>
      </c>
      <c r="F4269" s="9">
        <v>27</v>
      </c>
      <c r="G4269" s="9">
        <v>314</v>
      </c>
      <c r="H4269" s="5" t="s">
        <v>21</v>
      </c>
      <c r="I4269" s="5" t="s">
        <v>10516</v>
      </c>
      <c r="J4269" s="12" t="str">
        <f>HYPERLINK("https://www.boe.es/gazeta/dias/1802/04/02/pdfs/GMD-1802-27.pdf#page=10","Abrir facsímil")</f>
        <v>Abrir facsímil</v>
      </c>
      <c r="K4269" s="15" t="s">
        <v>23</v>
      </c>
    </row>
    <row r="4270" spans="1:11" ht="42" customHeight="1">
      <c r="A4270" s="4" t="s">
        <v>10517</v>
      </c>
      <c r="B4270" s="5" t="s">
        <v>10518</v>
      </c>
      <c r="C4270" s="5" t="s">
        <v>18</v>
      </c>
      <c r="D4270" s="5" t="s">
        <v>19</v>
      </c>
      <c r="E4270" s="5" t="s">
        <v>20</v>
      </c>
      <c r="F4270" s="9">
        <v>84</v>
      </c>
      <c r="G4270" s="9">
        <v>1041</v>
      </c>
      <c r="H4270" s="5" t="s">
        <v>21</v>
      </c>
      <c r="I4270" s="5" t="s">
        <v>10519</v>
      </c>
      <c r="J4270" s="12" t="str">
        <f>HYPERLINK("https://www.boe.es/gazeta/dias/1802/10/15/pdfs/GMD-1802-84.pdf#page=9","Abrir facsímil")</f>
        <v>Abrir facsímil</v>
      </c>
      <c r="K4270" s="15" t="s">
        <v>23</v>
      </c>
    </row>
    <row r="4271" spans="1:11" ht="42" customHeight="1">
      <c r="A4271" s="4" t="s">
        <v>10520</v>
      </c>
      <c r="B4271" s="5" t="s">
        <v>10521</v>
      </c>
      <c r="C4271" s="5" t="s">
        <v>29</v>
      </c>
      <c r="D4271" s="5" t="s">
        <v>30</v>
      </c>
      <c r="E4271" s="5" t="s">
        <v>865</v>
      </c>
      <c r="F4271" s="9">
        <v>12</v>
      </c>
      <c r="G4271" s="9">
        <v>121</v>
      </c>
      <c r="H4271" s="5" t="s">
        <v>21</v>
      </c>
      <c r="I4271" s="5" t="s">
        <v>10522</v>
      </c>
      <c r="J4271" s="12" t="str">
        <f>HYPERLINK("https://www.boe.es/gazeta/dias/1802/02/09/pdfs/GMD-1802-12.pdf#page=5","Abrir facsímil")</f>
        <v>Abrir facsímil</v>
      </c>
      <c r="K4271" s="15" t="s">
        <v>23</v>
      </c>
    </row>
    <row r="4272" spans="1:11" ht="42" customHeight="1">
      <c r="A4272" s="4" t="s">
        <v>10523</v>
      </c>
      <c r="B4272" s="5" t="s">
        <v>10524</v>
      </c>
      <c r="C4272" s="5" t="s">
        <v>29</v>
      </c>
      <c r="D4272" s="5" t="s">
        <v>30</v>
      </c>
      <c r="E4272" s="5" t="s">
        <v>121</v>
      </c>
      <c r="F4272" s="9">
        <v>87</v>
      </c>
      <c r="G4272" s="9">
        <v>1081</v>
      </c>
      <c r="H4272" s="5" t="s">
        <v>21</v>
      </c>
      <c r="I4272" s="5" t="s">
        <v>10525</v>
      </c>
      <c r="J4272" s="12" t="str">
        <f>HYPERLINK("https://www.boe.es/gazeta/dias/1802/10/26/pdfs/GMD-1802-87.pdf#page=9","Abrir facsímil")</f>
        <v>Abrir facsímil</v>
      </c>
      <c r="K4272" s="15" t="s">
        <v>23</v>
      </c>
    </row>
    <row r="4273" spans="1:11" ht="42" customHeight="1">
      <c r="A4273" s="4" t="s">
        <v>10526</v>
      </c>
      <c r="B4273" s="5" t="s">
        <v>10527</v>
      </c>
      <c r="C4273" s="5" t="s">
        <v>29</v>
      </c>
      <c r="D4273" s="5" t="s">
        <v>30</v>
      </c>
      <c r="E4273" s="5" t="s">
        <v>128</v>
      </c>
      <c r="F4273" s="9">
        <v>9</v>
      </c>
      <c r="G4273" s="9">
        <v>90</v>
      </c>
      <c r="H4273" s="5" t="s">
        <v>21</v>
      </c>
      <c r="I4273" s="5" t="s">
        <v>10528</v>
      </c>
      <c r="J4273" s="12" t="str">
        <f>HYPERLINK("https://www.boe.es/gazeta/dias/1802/01/29/pdfs/GMD-1802-9.pdf#page=10","Abrir facsímil")</f>
        <v>Abrir facsímil</v>
      </c>
      <c r="K4273" s="15" t="s">
        <v>23</v>
      </c>
    </row>
    <row r="4274" spans="1:11" ht="42" customHeight="1">
      <c r="A4274" s="4" t="s">
        <v>10529</v>
      </c>
      <c r="B4274" s="5" t="s">
        <v>10530</v>
      </c>
      <c r="C4274" s="5" t="s">
        <v>18</v>
      </c>
      <c r="D4274" s="5" t="s">
        <v>19</v>
      </c>
      <c r="E4274" s="5" t="s">
        <v>20</v>
      </c>
      <c r="F4274" s="9">
        <v>84</v>
      </c>
      <c r="G4274" s="9">
        <v>1043</v>
      </c>
      <c r="H4274" s="5" t="s">
        <v>21</v>
      </c>
      <c r="I4274" s="5" t="s">
        <v>10531</v>
      </c>
      <c r="J4274" s="12" t="str">
        <f>HYPERLINK("https://www.boe.es/gazeta/dias/1802/10/15/pdfs/GMD-1802-84.pdf#page=11","Abrir facsímil")</f>
        <v>Abrir facsímil</v>
      </c>
      <c r="K4274" s="15" t="s">
        <v>23</v>
      </c>
    </row>
    <row r="4275" spans="1:11" ht="42" customHeight="1">
      <c r="A4275" s="4" t="s">
        <v>10532</v>
      </c>
      <c r="B4275" s="5" t="s">
        <v>10533</v>
      </c>
      <c r="C4275" s="5" t="s">
        <v>35</v>
      </c>
      <c r="D4275" s="5" t="s">
        <v>36</v>
      </c>
      <c r="E4275" s="5" t="s">
        <v>439</v>
      </c>
      <c r="F4275" s="9">
        <v>76</v>
      </c>
      <c r="G4275" s="9">
        <v>936</v>
      </c>
      <c r="H4275" s="5" t="s">
        <v>21</v>
      </c>
      <c r="I4275" s="5" t="s">
        <v>10534</v>
      </c>
      <c r="J4275" s="12" t="str">
        <f>HYPERLINK("https://www.boe.es/gazeta/dias/1802/09/17/pdfs/GMD-1802-76.pdf#page=8","Abrir facsímil")</f>
        <v>Abrir facsímil</v>
      </c>
      <c r="K4275" s="15" t="s">
        <v>23</v>
      </c>
    </row>
    <row r="4276" spans="1:11" ht="42" customHeight="1">
      <c r="A4276" s="4" t="s">
        <v>10535</v>
      </c>
      <c r="B4276" s="5" t="s">
        <v>10536</v>
      </c>
      <c r="C4276" s="5" t="s">
        <v>29</v>
      </c>
      <c r="D4276" s="5" t="s">
        <v>30</v>
      </c>
      <c r="E4276" s="5" t="s">
        <v>57</v>
      </c>
      <c r="F4276" s="9">
        <v>54</v>
      </c>
      <c r="G4276" s="9">
        <v>652</v>
      </c>
      <c r="H4276" s="5" t="s">
        <v>21</v>
      </c>
      <c r="I4276" s="5" t="s">
        <v>10537</v>
      </c>
      <c r="J4276" s="12" t="str">
        <f>HYPERLINK("https://www.boe.es/gazeta/dias/1802/07/06/pdfs/GMD-1802-54.pdf#page=8","Abrir facsímil")</f>
        <v>Abrir facsímil</v>
      </c>
      <c r="K4276" s="15" t="s">
        <v>23</v>
      </c>
    </row>
    <row r="4277" spans="1:11" ht="42" customHeight="1">
      <c r="A4277" s="4" t="s">
        <v>10538</v>
      </c>
      <c r="B4277" s="5" t="s">
        <v>10538</v>
      </c>
      <c r="C4277" s="5" t="s">
        <v>18</v>
      </c>
      <c r="D4277" s="5" t="s">
        <v>19</v>
      </c>
      <c r="E4277" s="5" t="s">
        <v>170</v>
      </c>
      <c r="F4277" s="9">
        <v>28</v>
      </c>
      <c r="G4277" s="9">
        <v>326</v>
      </c>
      <c r="H4277" s="5" t="s">
        <v>21</v>
      </c>
      <c r="I4277" s="5" t="s">
        <v>10539</v>
      </c>
      <c r="J4277" s="12" t="str">
        <f>HYPERLINK("https://www.boe.es/gazeta/dias/1802/04/06/pdfs/GMD-1802-28.pdf#page=6","Abrir facsímil")</f>
        <v>Abrir facsímil</v>
      </c>
      <c r="K4277" s="15" t="s">
        <v>23</v>
      </c>
    </row>
    <row r="4278" spans="1:11" ht="42" customHeight="1">
      <c r="A4278" s="4" t="s">
        <v>10540</v>
      </c>
      <c r="B4278" s="5" t="s">
        <v>10541</v>
      </c>
      <c r="C4278" s="5" t="s">
        <v>29</v>
      </c>
      <c r="D4278" s="5" t="s">
        <v>30</v>
      </c>
      <c r="E4278" s="5" t="s">
        <v>133</v>
      </c>
      <c r="F4278" s="9">
        <v>33</v>
      </c>
      <c r="G4278" s="9">
        <v>385</v>
      </c>
      <c r="H4278" s="5" t="s">
        <v>21</v>
      </c>
      <c r="I4278" s="5" t="s">
        <v>10542</v>
      </c>
      <c r="J4278" s="12" t="str">
        <f>HYPERLINK("https://www.boe.es/gazeta/dias/1802/04/23/pdfs/GMD-1802-33.pdf#page=5","Abrir facsímil")</f>
        <v>Abrir facsímil</v>
      </c>
      <c r="K4278" s="15" t="s">
        <v>23</v>
      </c>
    </row>
    <row r="4279" spans="1:11" ht="42" customHeight="1">
      <c r="A4279" s="4" t="s">
        <v>10543</v>
      </c>
      <c r="B4279" s="5" t="s">
        <v>10544</v>
      </c>
      <c r="C4279" s="5" t="s">
        <v>35</v>
      </c>
      <c r="D4279" s="5" t="s">
        <v>36</v>
      </c>
      <c r="E4279" s="5" t="s">
        <v>206</v>
      </c>
      <c r="F4279" s="9">
        <v>22</v>
      </c>
      <c r="G4279" s="9">
        <v>236</v>
      </c>
      <c r="H4279" s="5" t="s">
        <v>21</v>
      </c>
      <c r="I4279" s="5" t="s">
        <v>10545</v>
      </c>
      <c r="J4279" s="12" t="str">
        <f>HYPERLINK("https://www.boe.es/gazeta/dias/1802/03/16/pdfs/GMD-1802-22.pdf#page=4","Abrir facsímil")</f>
        <v>Abrir facsímil</v>
      </c>
      <c r="K4279" s="15" t="s">
        <v>23</v>
      </c>
    </row>
    <row r="4280" spans="1:11" ht="42" customHeight="1">
      <c r="A4280" s="4" t="s">
        <v>10543</v>
      </c>
      <c r="B4280" s="5" t="s">
        <v>10544</v>
      </c>
      <c r="C4280" s="5" t="s">
        <v>18</v>
      </c>
      <c r="D4280" s="5" t="s">
        <v>19</v>
      </c>
      <c r="E4280" s="5" t="s">
        <v>325</v>
      </c>
      <c r="F4280" s="9">
        <v>90</v>
      </c>
      <c r="G4280" s="9">
        <v>1117</v>
      </c>
      <c r="H4280" s="5" t="s">
        <v>21</v>
      </c>
      <c r="I4280" s="5" t="s">
        <v>10546</v>
      </c>
      <c r="J4280" s="12" t="str">
        <f>HYPERLINK("https://www.boe.es/gazeta/dias/1802/11/05/pdfs/GMD-1802-90.pdf#page=9","Abrir facsímil")</f>
        <v>Abrir facsímil</v>
      </c>
      <c r="K4280" s="15" t="s">
        <v>23</v>
      </c>
    </row>
    <row r="4281" spans="1:11" ht="42" customHeight="1">
      <c r="A4281" s="4" t="s">
        <v>10543</v>
      </c>
      <c r="B4281" s="5" t="s">
        <v>10544</v>
      </c>
      <c r="C4281" s="5" t="s">
        <v>90</v>
      </c>
      <c r="D4281" s="5" t="s">
        <v>91</v>
      </c>
      <c r="E4281" s="5" t="s">
        <v>745</v>
      </c>
      <c r="F4281" s="9">
        <v>92</v>
      </c>
      <c r="G4281" s="9">
        <v>1137</v>
      </c>
      <c r="H4281" s="5" t="s">
        <v>21</v>
      </c>
      <c r="I4281" s="5" t="s">
        <v>10547</v>
      </c>
      <c r="J4281" s="12" t="str">
        <f>HYPERLINK("https://www.boe.es/gazeta/dias/1802/11/12/pdfs/GMD-1802-92.pdf#page=5","Abrir facsímil")</f>
        <v>Abrir facsímil</v>
      </c>
      <c r="K4281" s="15" t="s">
        <v>23</v>
      </c>
    </row>
    <row r="4282" spans="1:11" ht="42" customHeight="1">
      <c r="A4282" s="4" t="s">
        <v>10548</v>
      </c>
      <c r="B4282" s="5" t="s">
        <v>10549</v>
      </c>
      <c r="C4282" s="5" t="s">
        <v>29</v>
      </c>
      <c r="D4282" s="5" t="s">
        <v>30</v>
      </c>
      <c r="E4282" s="5" t="s">
        <v>1588</v>
      </c>
      <c r="F4282" s="9">
        <v>18</v>
      </c>
      <c r="G4282" s="9">
        <v>191</v>
      </c>
      <c r="H4282" s="5" t="s">
        <v>21</v>
      </c>
      <c r="I4282" s="5" t="s">
        <v>10550</v>
      </c>
      <c r="J4282" s="12" t="str">
        <f>HYPERLINK("https://www.boe.es/gazeta/dias/1802/03/02/pdfs/GMD-1802-18.pdf#page=3","Abrir facsímil")</f>
        <v>Abrir facsímil</v>
      </c>
      <c r="K4282" s="15" t="s">
        <v>23</v>
      </c>
    </row>
    <row r="4283" spans="1:11" ht="42" customHeight="1">
      <c r="A4283" s="4" t="s">
        <v>10548</v>
      </c>
      <c r="B4283" s="5" t="s">
        <v>10549</v>
      </c>
      <c r="C4283" s="5" t="s">
        <v>35</v>
      </c>
      <c r="D4283" s="5" t="s">
        <v>36</v>
      </c>
      <c r="E4283" s="5" t="s">
        <v>642</v>
      </c>
      <c r="F4283" s="9">
        <v>51</v>
      </c>
      <c r="G4283" s="9">
        <v>620</v>
      </c>
      <c r="H4283" s="5" t="s">
        <v>21</v>
      </c>
      <c r="I4283" s="5" t="s">
        <v>10551</v>
      </c>
      <c r="J4283" s="12" t="str">
        <f>HYPERLINK("https://www.boe.es/gazeta/dias/1802/06/25/pdfs/GMD-1802-51.pdf#page=8","Abrir facsímil")</f>
        <v>Abrir facsímil</v>
      </c>
      <c r="K4283" s="15" t="s">
        <v>23</v>
      </c>
    </row>
    <row r="4284" spans="1:11" ht="42" customHeight="1">
      <c r="A4284" s="4" t="s">
        <v>10548</v>
      </c>
      <c r="B4284" s="5" t="s">
        <v>10549</v>
      </c>
      <c r="C4284" s="5" t="s">
        <v>18</v>
      </c>
      <c r="D4284" s="5" t="s">
        <v>19</v>
      </c>
      <c r="E4284" s="5" t="s">
        <v>325</v>
      </c>
      <c r="F4284" s="9">
        <v>90</v>
      </c>
      <c r="G4284" s="9">
        <v>1117</v>
      </c>
      <c r="H4284" s="5" t="s">
        <v>21</v>
      </c>
      <c r="I4284" s="5" t="s">
        <v>10552</v>
      </c>
      <c r="J4284" s="12" t="str">
        <f>HYPERLINK("https://www.boe.es/gazeta/dias/1802/11/05/pdfs/GMD-1802-90.pdf#page=9","Abrir facsímil")</f>
        <v>Abrir facsímil</v>
      </c>
      <c r="K4284" s="15" t="s">
        <v>23</v>
      </c>
    </row>
    <row r="4285" spans="1:11" ht="42" customHeight="1">
      <c r="A4285" s="4" t="s">
        <v>10553</v>
      </c>
      <c r="B4285" s="5" t="s">
        <v>10553</v>
      </c>
      <c r="C4285" s="5" t="s">
        <v>35</v>
      </c>
      <c r="D4285" s="5" t="s">
        <v>36</v>
      </c>
      <c r="E4285" s="5" t="s">
        <v>185</v>
      </c>
      <c r="F4285" s="9">
        <v>95</v>
      </c>
      <c r="G4285" s="9">
        <v>1167</v>
      </c>
      <c r="H4285" s="5" t="s">
        <v>21</v>
      </c>
      <c r="I4285" s="5" t="s">
        <v>10554</v>
      </c>
      <c r="J4285" s="12" t="str">
        <f>HYPERLINK("https://www.boe.es/gazeta/dias/1802/11/23/pdfs/GMD-1802-95.pdf#page=3","Abrir facsímil")</f>
        <v>Abrir facsímil</v>
      </c>
      <c r="K4285" s="15" t="s">
        <v>23</v>
      </c>
    </row>
    <row r="4286" spans="1:11" ht="42" customHeight="1">
      <c r="A4286" s="4" t="s">
        <v>10555</v>
      </c>
      <c r="B4286" s="5" t="s">
        <v>10556</v>
      </c>
      <c r="C4286" s="5" t="s">
        <v>18</v>
      </c>
      <c r="D4286" s="5" t="s">
        <v>19</v>
      </c>
      <c r="E4286" s="5" t="s">
        <v>49</v>
      </c>
      <c r="F4286" s="9">
        <v>83</v>
      </c>
      <c r="G4286" s="9">
        <v>1025</v>
      </c>
      <c r="H4286" s="5" t="s">
        <v>21</v>
      </c>
      <c r="I4286" s="5" t="s">
        <v>10557</v>
      </c>
      <c r="J4286" s="12" t="str">
        <f>HYPERLINK("https://www.boe.es/gazeta/dias/1802/10/12/pdfs/GMD-1802-83.pdf#page=13","Abrir facsímil")</f>
        <v>Abrir facsímil</v>
      </c>
      <c r="K4286" s="15" t="s">
        <v>23</v>
      </c>
    </row>
    <row r="4287" spans="1:11" ht="42" customHeight="1">
      <c r="A4287" s="4" t="s">
        <v>10558</v>
      </c>
      <c r="B4287" s="5" t="s">
        <v>10559</v>
      </c>
      <c r="C4287" s="5" t="s">
        <v>35</v>
      </c>
      <c r="D4287" s="5" t="s">
        <v>36</v>
      </c>
      <c r="E4287" s="5" t="s">
        <v>185</v>
      </c>
      <c r="F4287" s="9">
        <v>95</v>
      </c>
      <c r="G4287" s="9">
        <v>1172</v>
      </c>
      <c r="H4287" s="5" t="s">
        <v>21</v>
      </c>
      <c r="I4287" s="5" t="s">
        <v>10560</v>
      </c>
      <c r="J4287" s="12" t="str">
        <f>HYPERLINK("https://www.boe.es/gazeta/dias/1802/11/23/pdfs/GMD-1802-95.pdf#page=8","Abrir facsímil")</f>
        <v>Abrir facsímil</v>
      </c>
      <c r="K4287" s="15" t="s">
        <v>23</v>
      </c>
    </row>
    <row r="4288" spans="1:11" ht="42" customHeight="1">
      <c r="A4288" s="4" t="s">
        <v>10561</v>
      </c>
      <c r="B4288" s="5" t="s">
        <v>10561</v>
      </c>
      <c r="C4288" s="5" t="s">
        <v>29</v>
      </c>
      <c r="D4288" s="5" t="s">
        <v>30</v>
      </c>
      <c r="E4288" s="5" t="s">
        <v>530</v>
      </c>
      <c r="F4288" s="9">
        <v>48</v>
      </c>
      <c r="G4288" s="9">
        <v>579</v>
      </c>
      <c r="H4288" s="5" t="s">
        <v>21</v>
      </c>
      <c r="I4288" s="5" t="s">
        <v>10562</v>
      </c>
      <c r="J4288" s="12" t="str">
        <f>HYPERLINK("https://www.boe.es/gazeta/dias/1802/06/15/pdfs/GMD-1802-48.pdf#page=3","Abrir facsímil")</f>
        <v>Abrir facsímil</v>
      </c>
      <c r="K4288" s="15" t="s">
        <v>23</v>
      </c>
    </row>
    <row r="4289" spans="1:11" ht="42" customHeight="1">
      <c r="A4289" s="4" t="s">
        <v>10561</v>
      </c>
      <c r="B4289" s="5" t="s">
        <v>10561</v>
      </c>
      <c r="C4289" s="5" t="s">
        <v>35</v>
      </c>
      <c r="D4289" s="5" t="s">
        <v>36</v>
      </c>
      <c r="E4289" s="5" t="s">
        <v>82</v>
      </c>
      <c r="F4289" s="9">
        <v>74</v>
      </c>
      <c r="G4289" s="9">
        <v>908</v>
      </c>
      <c r="H4289" s="5" t="s">
        <v>21</v>
      </c>
      <c r="I4289" s="5" t="s">
        <v>10563</v>
      </c>
      <c r="J4289" s="12" t="str">
        <f>HYPERLINK("https://www.boe.es/gazeta/dias/1802/09/10/pdfs/GMD-1802-74.pdf#page=4","Abrir facsímil")</f>
        <v>Abrir facsímil</v>
      </c>
      <c r="K4289" s="15" t="s">
        <v>23</v>
      </c>
    </row>
    <row r="4290" spans="1:11" ht="42" customHeight="1">
      <c r="A4290" s="4" t="s">
        <v>10561</v>
      </c>
      <c r="B4290" s="5" t="s">
        <v>10561</v>
      </c>
      <c r="C4290" s="5" t="s">
        <v>29</v>
      </c>
      <c r="D4290" s="5" t="s">
        <v>30</v>
      </c>
      <c r="E4290" s="5" t="s">
        <v>439</v>
      </c>
      <c r="F4290" s="9">
        <v>76</v>
      </c>
      <c r="G4290" s="9">
        <v>936</v>
      </c>
      <c r="H4290" s="5" t="s">
        <v>21</v>
      </c>
      <c r="I4290" s="5" t="s">
        <v>10564</v>
      </c>
      <c r="J4290" s="12" t="str">
        <f>HYPERLINK("https://www.boe.es/gazeta/dias/1802/09/17/pdfs/GMD-1802-76.pdf#page=8","Abrir facsímil")</f>
        <v>Abrir facsímil</v>
      </c>
      <c r="K4290" s="15" t="s">
        <v>23</v>
      </c>
    </row>
    <row r="4291" spans="1:11" ht="42" customHeight="1">
      <c r="A4291" s="4" t="s">
        <v>10561</v>
      </c>
      <c r="B4291" s="5" t="s">
        <v>10561</v>
      </c>
      <c r="C4291" s="5" t="s">
        <v>29</v>
      </c>
      <c r="D4291" s="5" t="s">
        <v>30</v>
      </c>
      <c r="E4291" s="5" t="s">
        <v>907</v>
      </c>
      <c r="F4291" s="9">
        <v>77</v>
      </c>
      <c r="G4291" s="9">
        <v>942</v>
      </c>
      <c r="H4291" s="5" t="s">
        <v>21</v>
      </c>
      <c r="I4291" s="5" t="s">
        <v>10565</v>
      </c>
      <c r="J4291" s="12" t="str">
        <f>HYPERLINK("https://www.boe.es/gazeta/dias/1802/09/21/pdfs/GMD-1802-77.pdf#page=2","Abrir facsímil")</f>
        <v>Abrir facsímil</v>
      </c>
      <c r="K4291" s="15" t="s">
        <v>23</v>
      </c>
    </row>
    <row r="4292" spans="1:11" ht="42" customHeight="1">
      <c r="A4292" s="4" t="s">
        <v>10566</v>
      </c>
      <c r="B4292" s="5" t="s">
        <v>10566</v>
      </c>
      <c r="C4292" s="5" t="s">
        <v>18</v>
      </c>
      <c r="D4292" s="5" t="s">
        <v>19</v>
      </c>
      <c r="E4292" s="5" t="s">
        <v>1097</v>
      </c>
      <c r="F4292" s="9">
        <v>20</v>
      </c>
      <c r="G4292" s="9">
        <v>215</v>
      </c>
      <c r="H4292" s="5" t="s">
        <v>21</v>
      </c>
      <c r="I4292" s="5" t="s">
        <v>10567</v>
      </c>
      <c r="J4292" s="12" t="str">
        <f>HYPERLINK("https://www.boe.es/gazeta/dias/1802/03/09/pdfs/GMD-1802-20.pdf#page=3","Abrir facsímil")</f>
        <v>Abrir facsímil</v>
      </c>
      <c r="K4292" s="15" t="s">
        <v>23</v>
      </c>
    </row>
    <row r="4293" spans="1:11" ht="42" customHeight="1">
      <c r="A4293" s="4" t="s">
        <v>10566</v>
      </c>
      <c r="B4293" s="5" t="s">
        <v>10566</v>
      </c>
      <c r="C4293" s="5" t="s">
        <v>29</v>
      </c>
      <c r="D4293" s="5" t="s">
        <v>30</v>
      </c>
      <c r="E4293" s="5" t="s">
        <v>590</v>
      </c>
      <c r="F4293" s="9">
        <v>38</v>
      </c>
      <c r="G4293" s="9">
        <v>447</v>
      </c>
      <c r="H4293" s="5" t="s">
        <v>21</v>
      </c>
      <c r="I4293" s="5" t="s">
        <v>10568</v>
      </c>
      <c r="J4293" s="12" t="str">
        <f>HYPERLINK("https://www.boe.es/gazeta/dias/1802/05/11/pdfs/GMD-1802-38.pdf#page=3","Abrir facsímil")</f>
        <v>Abrir facsímil</v>
      </c>
      <c r="K4293" s="15" t="s">
        <v>23</v>
      </c>
    </row>
    <row r="4294" spans="1:11" ht="42" customHeight="1">
      <c r="A4294" s="4" t="s">
        <v>10566</v>
      </c>
      <c r="B4294" s="5" t="s">
        <v>10566</v>
      </c>
      <c r="C4294" s="5" t="s">
        <v>35</v>
      </c>
      <c r="D4294" s="5" t="s">
        <v>36</v>
      </c>
      <c r="E4294" s="5" t="s">
        <v>481</v>
      </c>
      <c r="F4294" s="9">
        <v>79</v>
      </c>
      <c r="G4294" s="9">
        <v>968</v>
      </c>
      <c r="H4294" s="5" t="s">
        <v>21</v>
      </c>
      <c r="I4294" s="5" t="s">
        <v>10569</v>
      </c>
      <c r="J4294" s="12" t="str">
        <f>HYPERLINK("https://www.boe.es/gazeta/dias/1802/09/28/pdfs/GMD-1802-79.pdf#page=4","Abrir facsímil")</f>
        <v>Abrir facsímil</v>
      </c>
      <c r="K4294" s="15" t="s">
        <v>23</v>
      </c>
    </row>
    <row r="4295" spans="1:11" ht="42" customHeight="1">
      <c r="A4295" s="4" t="s">
        <v>10566</v>
      </c>
      <c r="B4295" s="5" t="s">
        <v>10566</v>
      </c>
      <c r="C4295" s="5" t="s">
        <v>35</v>
      </c>
      <c r="D4295" s="5" t="s">
        <v>36</v>
      </c>
      <c r="E4295" s="5" t="s">
        <v>219</v>
      </c>
      <c r="F4295" s="9">
        <v>81</v>
      </c>
      <c r="G4295" s="9">
        <v>991</v>
      </c>
      <c r="H4295" s="5" t="s">
        <v>21</v>
      </c>
      <c r="I4295" s="5" t="s">
        <v>10570</v>
      </c>
      <c r="J4295" s="12" t="str">
        <f>HYPERLINK("https://www.boe.es/gazeta/dias/1802/10/05/pdfs/GMD-1802-81.pdf#page=3","Abrir facsímil")</f>
        <v>Abrir facsímil</v>
      </c>
      <c r="K4295" s="15" t="s">
        <v>23</v>
      </c>
    </row>
    <row r="4296" spans="1:11" ht="42" customHeight="1">
      <c r="A4296" s="4" t="s">
        <v>10566</v>
      </c>
      <c r="B4296" s="5" t="s">
        <v>10566</v>
      </c>
      <c r="C4296" s="5" t="s">
        <v>160</v>
      </c>
      <c r="D4296" s="5" t="s">
        <v>91</v>
      </c>
      <c r="E4296" s="5" t="s">
        <v>325</v>
      </c>
      <c r="F4296" s="9">
        <v>90</v>
      </c>
      <c r="G4296" s="9">
        <v>1111</v>
      </c>
      <c r="H4296" s="5" t="s">
        <v>21</v>
      </c>
      <c r="I4296" s="5" t="s">
        <v>10571</v>
      </c>
      <c r="J4296" s="12" t="str">
        <f>HYPERLINK("https://www.boe.es/gazeta/dias/1802/11/05/pdfs/GMD-1802-90.pdf#page=3","Abrir facsímil")</f>
        <v>Abrir facsímil</v>
      </c>
      <c r="K4296" s="15" t="s">
        <v>23</v>
      </c>
    </row>
    <row r="4297" spans="1:11" ht="42" customHeight="1">
      <c r="A4297" s="4" t="s">
        <v>10566</v>
      </c>
      <c r="B4297" s="5" t="s">
        <v>10566</v>
      </c>
      <c r="C4297" s="5" t="s">
        <v>35</v>
      </c>
      <c r="D4297" s="5" t="s">
        <v>36</v>
      </c>
      <c r="E4297" s="5" t="s">
        <v>745</v>
      </c>
      <c r="F4297" s="9">
        <v>92</v>
      </c>
      <c r="G4297" s="9">
        <v>1134</v>
      </c>
      <c r="H4297" s="5" t="s">
        <v>21</v>
      </c>
      <c r="I4297" s="5" t="s">
        <v>10572</v>
      </c>
      <c r="J4297" s="12" t="str">
        <f>HYPERLINK("https://www.boe.es/gazeta/dias/1802/11/12/pdfs/GMD-1802-92.pdf#page=2","Abrir facsímil")</f>
        <v>Abrir facsímil</v>
      </c>
      <c r="K4297" s="15" t="s">
        <v>23</v>
      </c>
    </row>
    <row r="4298" spans="1:11" ht="42" customHeight="1">
      <c r="A4298" s="4" t="s">
        <v>10566</v>
      </c>
      <c r="B4298" s="5" t="s">
        <v>10566</v>
      </c>
      <c r="C4298" s="5" t="s">
        <v>35</v>
      </c>
      <c r="D4298" s="5" t="s">
        <v>36</v>
      </c>
      <c r="E4298" s="5" t="s">
        <v>1185</v>
      </c>
      <c r="F4298" s="9">
        <v>93</v>
      </c>
      <c r="G4298" s="9">
        <v>1142</v>
      </c>
      <c r="H4298" s="5" t="s">
        <v>21</v>
      </c>
      <c r="I4298" s="5" t="s">
        <v>10573</v>
      </c>
      <c r="J4298" s="12" t="str">
        <f>HYPERLINK("https://www.boe.es/gazeta/dias/1802/11/16/pdfs/GMD-1802-93.pdf#page=2","Abrir facsímil")</f>
        <v>Abrir facsímil</v>
      </c>
      <c r="K4298" s="15" t="s">
        <v>23</v>
      </c>
    </row>
    <row r="4299" spans="1:11" ht="42" customHeight="1">
      <c r="A4299" s="4" t="s">
        <v>10566</v>
      </c>
      <c r="B4299" s="5" t="s">
        <v>10566</v>
      </c>
      <c r="C4299" s="5" t="s">
        <v>35</v>
      </c>
      <c r="D4299" s="5" t="s">
        <v>36</v>
      </c>
      <c r="E4299" s="5" t="s">
        <v>1185</v>
      </c>
      <c r="F4299" s="9">
        <v>93</v>
      </c>
      <c r="G4299" s="9">
        <v>1143</v>
      </c>
      <c r="H4299" s="5" t="s">
        <v>21</v>
      </c>
      <c r="I4299" s="5" t="s">
        <v>10574</v>
      </c>
      <c r="J4299" s="12" t="str">
        <f>HYPERLINK("https://www.boe.es/gazeta/dias/1802/11/16/pdfs/GMD-1802-93.pdf#page=3","Abrir facsímil")</f>
        <v>Abrir facsímil</v>
      </c>
      <c r="K4299" s="15" t="s">
        <v>23</v>
      </c>
    </row>
    <row r="4300" spans="1:11" ht="42" customHeight="1">
      <c r="A4300" s="4" t="s">
        <v>10566</v>
      </c>
      <c r="B4300" s="5" t="s">
        <v>10566</v>
      </c>
      <c r="C4300" s="5" t="s">
        <v>18</v>
      </c>
      <c r="D4300" s="5" t="s">
        <v>19</v>
      </c>
      <c r="E4300" s="5" t="s">
        <v>44</v>
      </c>
      <c r="F4300" s="9">
        <v>99</v>
      </c>
      <c r="G4300" s="9">
        <v>1218</v>
      </c>
      <c r="H4300" s="5" t="s">
        <v>21</v>
      </c>
      <c r="I4300" s="5" t="s">
        <v>10575</v>
      </c>
      <c r="J4300" s="12" t="str">
        <f>HYPERLINK("https://www.boe.es/gazeta/dias/1802/12/07/pdfs/GMD-1802-99.pdf#page=2","Abrir facsímil")</f>
        <v>Abrir facsímil</v>
      </c>
      <c r="K4300" s="15" t="s">
        <v>23</v>
      </c>
    </row>
    <row r="4301" spans="1:11" ht="42" customHeight="1">
      <c r="A4301" s="4" t="s">
        <v>10576</v>
      </c>
      <c r="B4301" s="5" t="s">
        <v>10576</v>
      </c>
      <c r="C4301" s="5" t="s">
        <v>18</v>
      </c>
      <c r="D4301" s="5" t="s">
        <v>19</v>
      </c>
      <c r="E4301" s="5" t="s">
        <v>152</v>
      </c>
      <c r="F4301" s="9">
        <v>25</v>
      </c>
      <c r="G4301" s="9">
        <v>282</v>
      </c>
      <c r="H4301" s="5" t="s">
        <v>21</v>
      </c>
      <c r="I4301" s="5" t="s">
        <v>10577</v>
      </c>
      <c r="J4301" s="12" t="str">
        <f>HYPERLINK("https://www.boe.es/gazeta/dias/1802/03/26/pdfs/GMD-1802-25.pdf#page=6","Abrir facsímil")</f>
        <v>Abrir facsímil</v>
      </c>
      <c r="K4301" s="15" t="s">
        <v>23</v>
      </c>
    </row>
    <row r="4302" spans="1:11" ht="42" customHeight="1">
      <c r="A4302" s="4" t="s">
        <v>10578</v>
      </c>
      <c r="B4302" s="5" t="s">
        <v>10579</v>
      </c>
      <c r="C4302" s="5" t="s">
        <v>42</v>
      </c>
      <c r="D4302" s="5" t="s">
        <v>43</v>
      </c>
      <c r="E4302" s="5" t="s">
        <v>44</v>
      </c>
      <c r="F4302" s="9">
        <v>99</v>
      </c>
      <c r="G4302" s="9" t="s">
        <v>554</v>
      </c>
      <c r="H4302" s="5" t="s">
        <v>21</v>
      </c>
      <c r="I4302" s="5" t="s">
        <v>10580</v>
      </c>
      <c r="J4302" s="12" t="str">
        <f>HYPERLINK("https://www.boe.es/gazeta/dias/1802/12/07/pdfs/GMD-D-1802-99.pdf#page=4","Abrir facsímil")</f>
        <v>Abrir facsímil</v>
      </c>
      <c r="K4302" s="15" t="s">
        <v>23</v>
      </c>
    </row>
    <row r="4303" spans="1:11" ht="42" customHeight="1">
      <c r="A4303" s="4" t="s">
        <v>10581</v>
      </c>
      <c r="B4303" s="5" t="s">
        <v>10582</v>
      </c>
      <c r="C4303" s="5" t="s">
        <v>18</v>
      </c>
      <c r="D4303" s="5" t="s">
        <v>19</v>
      </c>
      <c r="E4303" s="5" t="s">
        <v>20</v>
      </c>
      <c r="F4303" s="9">
        <v>84</v>
      </c>
      <c r="G4303" s="9">
        <v>1040</v>
      </c>
      <c r="H4303" s="5" t="s">
        <v>21</v>
      </c>
      <c r="I4303" s="5" t="s">
        <v>10583</v>
      </c>
      <c r="J4303" s="12" t="str">
        <f>HYPERLINK("https://www.boe.es/gazeta/dias/1802/10/15/pdfs/GMD-1802-84.pdf#page=8","Abrir facsímil")</f>
        <v>Abrir facsímil</v>
      </c>
      <c r="K4303" s="15" t="s">
        <v>23</v>
      </c>
    </row>
    <row r="4304" spans="1:11" ht="42" customHeight="1">
      <c r="A4304" s="4" t="s">
        <v>10584</v>
      </c>
      <c r="B4304" s="5" t="s">
        <v>10585</v>
      </c>
      <c r="C4304" s="5" t="s">
        <v>42</v>
      </c>
      <c r="D4304" s="5" t="s">
        <v>43</v>
      </c>
      <c r="E4304" s="5" t="s">
        <v>44</v>
      </c>
      <c r="F4304" s="9">
        <v>99</v>
      </c>
      <c r="G4304" s="9" t="s">
        <v>550</v>
      </c>
      <c r="H4304" s="5" t="s">
        <v>21</v>
      </c>
      <c r="I4304" s="5" t="s">
        <v>10586</v>
      </c>
      <c r="J4304" s="12" t="str">
        <f>HYPERLINK("https://www.boe.es/gazeta/dias/1802/12/07/pdfs/GMD-D-1802-99.pdf#page=16","Abrir facsímil")</f>
        <v>Abrir facsímil</v>
      </c>
      <c r="K4304" s="15" t="s">
        <v>23</v>
      </c>
    </row>
    <row r="4305" spans="1:11" ht="42" customHeight="1">
      <c r="A4305" s="4" t="s">
        <v>10587</v>
      </c>
      <c r="B4305" s="5" t="s">
        <v>10588</v>
      </c>
      <c r="C4305" s="5" t="s">
        <v>42</v>
      </c>
      <c r="D4305" s="5" t="s">
        <v>43</v>
      </c>
      <c r="E4305" s="5" t="s">
        <v>44</v>
      </c>
      <c r="F4305" s="9">
        <v>99</v>
      </c>
      <c r="G4305" s="9" t="s">
        <v>78</v>
      </c>
      <c r="H4305" s="5" t="s">
        <v>21</v>
      </c>
      <c r="I4305" s="5" t="s">
        <v>10589</v>
      </c>
      <c r="J4305" s="12" t="str">
        <f>HYPERLINK("https://www.boe.es/gazeta/dias/1802/12/07/pdfs/GMD-D-1802-99.pdf#page=15","Abrir facsímil")</f>
        <v>Abrir facsímil</v>
      </c>
      <c r="K4305" s="15" t="s">
        <v>23</v>
      </c>
    </row>
    <row r="4306" spans="1:11" ht="42" customHeight="1">
      <c r="A4306" s="4" t="s">
        <v>10590</v>
      </c>
      <c r="B4306" s="5" t="s">
        <v>10590</v>
      </c>
      <c r="C4306" s="5" t="s">
        <v>29</v>
      </c>
      <c r="D4306" s="5" t="s">
        <v>30</v>
      </c>
      <c r="E4306" s="5" t="s">
        <v>44</v>
      </c>
      <c r="F4306" s="9">
        <v>99</v>
      </c>
      <c r="G4306" s="9">
        <v>1220</v>
      </c>
      <c r="H4306" s="5" t="s">
        <v>21</v>
      </c>
      <c r="I4306" s="5" t="s">
        <v>10591</v>
      </c>
      <c r="J4306" s="12" t="str">
        <f>HYPERLINK("https://www.boe.es/gazeta/dias/1802/12/07/pdfs/GMD-1802-99.pdf#page=4","Abrir facsímil")</f>
        <v>Abrir facsímil</v>
      </c>
      <c r="K4306" s="15" t="s">
        <v>23</v>
      </c>
    </row>
    <row r="4307" spans="1:11" ht="42" customHeight="1">
      <c r="A4307" s="4" t="s">
        <v>10590</v>
      </c>
      <c r="B4307" s="5" t="s">
        <v>10590</v>
      </c>
      <c r="C4307" s="5" t="s">
        <v>29</v>
      </c>
      <c r="D4307" s="5" t="s">
        <v>30</v>
      </c>
      <c r="E4307" s="5" t="s">
        <v>75</v>
      </c>
      <c r="F4307" s="9">
        <v>103</v>
      </c>
      <c r="G4307" s="9">
        <v>1260</v>
      </c>
      <c r="H4307" s="5" t="s">
        <v>21</v>
      </c>
      <c r="I4307" s="5" t="s">
        <v>10592</v>
      </c>
      <c r="J4307" s="12" t="str">
        <f>HYPERLINK("https://www.boe.es/gazeta/dias/1802/12/21/pdfs/GMD-1802-103.pdf#page=4","Abrir facsímil")</f>
        <v>Abrir facsímil</v>
      </c>
      <c r="K4307" s="15" t="s">
        <v>23</v>
      </c>
    </row>
    <row r="4308" spans="1:11" ht="42" customHeight="1">
      <c r="A4308" s="4" t="s">
        <v>10593</v>
      </c>
      <c r="B4308" s="5" t="s">
        <v>10594</v>
      </c>
      <c r="C4308" s="5" t="s">
        <v>42</v>
      </c>
      <c r="D4308" s="5" t="s">
        <v>43</v>
      </c>
      <c r="E4308" s="5" t="s">
        <v>44</v>
      </c>
      <c r="F4308" s="9">
        <v>99</v>
      </c>
      <c r="G4308" s="9" t="s">
        <v>554</v>
      </c>
      <c r="H4308" s="5" t="s">
        <v>21</v>
      </c>
      <c r="I4308" s="5" t="s">
        <v>10595</v>
      </c>
      <c r="J4308" s="12" t="str">
        <f>HYPERLINK("https://www.boe.es/gazeta/dias/1802/12/07/pdfs/GMD-D-1802-99.pdf#page=4","Abrir facsímil")</f>
        <v>Abrir facsímil</v>
      </c>
      <c r="K4308" s="15" t="s">
        <v>23</v>
      </c>
    </row>
    <row r="4309" spans="1:11" ht="42" customHeight="1">
      <c r="A4309" s="4" t="s">
        <v>10596</v>
      </c>
      <c r="B4309" s="5" t="s">
        <v>10597</v>
      </c>
      <c r="C4309" s="5" t="s">
        <v>42</v>
      </c>
      <c r="D4309" s="5" t="s">
        <v>43</v>
      </c>
      <c r="E4309" s="5" t="s">
        <v>44</v>
      </c>
      <c r="F4309" s="9">
        <v>99</v>
      </c>
      <c r="G4309" s="9" t="s">
        <v>262</v>
      </c>
      <c r="H4309" s="5" t="s">
        <v>21</v>
      </c>
      <c r="I4309" s="5" t="s">
        <v>10598</v>
      </c>
      <c r="J4309" s="12" t="str">
        <f>HYPERLINK("https://www.boe.es/gazeta/dias/1802/12/07/pdfs/GMD-D-1802-99.pdf#page=8","Abrir facsímil")</f>
        <v>Abrir facsímil</v>
      </c>
      <c r="K4309" s="15" t="s">
        <v>23</v>
      </c>
    </row>
    <row r="4310" spans="1:11" ht="42" customHeight="1">
      <c r="A4310" s="4" t="s">
        <v>10599</v>
      </c>
      <c r="B4310" s="5" t="s">
        <v>10599</v>
      </c>
      <c r="C4310" s="5" t="s">
        <v>55</v>
      </c>
      <c r="D4310" s="5" t="s">
        <v>56</v>
      </c>
      <c r="E4310" s="5" t="s">
        <v>381</v>
      </c>
      <c r="F4310" s="9">
        <v>13</v>
      </c>
      <c r="G4310" s="9">
        <v>132</v>
      </c>
      <c r="H4310" s="5" t="s">
        <v>21</v>
      </c>
      <c r="I4310" s="5" t="s">
        <v>10600</v>
      </c>
      <c r="J4310" s="12" t="str">
        <f>HYPERLINK("https://www.boe.es/gazeta/dias/1802/02/12/pdfs/GMD-1802-13.pdf#page=8","Abrir facsímil")</f>
        <v>Abrir facsímil</v>
      </c>
      <c r="K4310" s="15" t="s">
        <v>23</v>
      </c>
    </row>
    <row r="4311" spans="1:11" ht="42" customHeight="1">
      <c r="A4311" s="4" t="s">
        <v>10599</v>
      </c>
      <c r="B4311" s="5" t="s">
        <v>10599</v>
      </c>
      <c r="C4311" s="5" t="s">
        <v>35</v>
      </c>
      <c r="D4311" s="5" t="s">
        <v>36</v>
      </c>
      <c r="E4311" s="5" t="s">
        <v>172</v>
      </c>
      <c r="F4311" s="9">
        <v>35</v>
      </c>
      <c r="G4311" s="9">
        <v>412</v>
      </c>
      <c r="H4311" s="5" t="s">
        <v>21</v>
      </c>
      <c r="I4311" s="5" t="s">
        <v>10601</v>
      </c>
      <c r="J4311" s="12" t="str">
        <f>HYPERLINK("https://www.boe.es/gazeta/dias/1802/04/30/pdfs/GMD-1802-35.pdf#page=12","Abrir facsímil")</f>
        <v>Abrir facsímil</v>
      </c>
      <c r="K4311" s="15" t="s">
        <v>23</v>
      </c>
    </row>
    <row r="4312" spans="1:11" ht="42" customHeight="1">
      <c r="A4312" s="4" t="s">
        <v>10599</v>
      </c>
      <c r="B4312" s="5" t="s">
        <v>10599</v>
      </c>
      <c r="C4312" s="5" t="s">
        <v>18</v>
      </c>
      <c r="D4312" s="5" t="s">
        <v>19</v>
      </c>
      <c r="E4312" s="5" t="s">
        <v>436</v>
      </c>
      <c r="F4312" s="9">
        <v>58</v>
      </c>
      <c r="G4312" s="9">
        <v>700</v>
      </c>
      <c r="H4312" s="5" t="s">
        <v>21</v>
      </c>
      <c r="I4312" s="5" t="s">
        <v>10602</v>
      </c>
      <c r="J4312" s="12" t="str">
        <f>HYPERLINK("https://www.boe.es/gazeta/dias/1802/07/20/pdfs/GMD-1802-58.pdf#page=8","Abrir facsímil")</f>
        <v>Abrir facsímil</v>
      </c>
      <c r="K4312" s="15" t="s">
        <v>23</v>
      </c>
    </row>
    <row r="4313" spans="1:11" ht="42" customHeight="1">
      <c r="A4313" s="4" t="s">
        <v>10599</v>
      </c>
      <c r="B4313" s="5" t="s">
        <v>10599</v>
      </c>
      <c r="C4313" s="5" t="s">
        <v>18</v>
      </c>
      <c r="D4313" s="5" t="s">
        <v>19</v>
      </c>
      <c r="E4313" s="5" t="s">
        <v>1749</v>
      </c>
      <c r="F4313" s="9">
        <v>60</v>
      </c>
      <c r="G4313" s="9">
        <v>725</v>
      </c>
      <c r="H4313" s="5" t="s">
        <v>21</v>
      </c>
      <c r="I4313" s="5" t="s">
        <v>10603</v>
      </c>
      <c r="J4313" s="12" t="str">
        <f>HYPERLINK("https://www.boe.es/gazeta/dias/1802/07/23/pdfs/GMD-1802-60.pdf#page=9","Abrir facsímil")</f>
        <v>Abrir facsímil</v>
      </c>
      <c r="K4313" s="15" t="s">
        <v>23</v>
      </c>
    </row>
    <row r="4314" spans="1:11" ht="42" customHeight="1">
      <c r="A4314" s="4" t="s">
        <v>10599</v>
      </c>
      <c r="B4314" s="5" t="s">
        <v>10599</v>
      </c>
      <c r="C4314" s="5" t="s">
        <v>18</v>
      </c>
      <c r="D4314" s="5" t="s">
        <v>19</v>
      </c>
      <c r="E4314" s="5" t="s">
        <v>714</v>
      </c>
      <c r="F4314" s="9">
        <v>89</v>
      </c>
      <c r="G4314" s="9">
        <v>1106</v>
      </c>
      <c r="H4314" s="5" t="s">
        <v>21</v>
      </c>
      <c r="I4314" s="5" t="s">
        <v>10604</v>
      </c>
      <c r="J4314" s="12" t="str">
        <f>HYPERLINK("https://www.boe.es/gazeta/dias/1802/11/02/pdfs/GMD-1802-89.pdf#page=10","Abrir facsímil")</f>
        <v>Abrir facsímil</v>
      </c>
      <c r="K4314" s="15" t="s">
        <v>23</v>
      </c>
    </row>
    <row r="4315" spans="1:11" ht="42" customHeight="1">
      <c r="A4315" s="4" t="s">
        <v>10605</v>
      </c>
      <c r="B4315" s="5" t="s">
        <v>10606</v>
      </c>
      <c r="C4315" s="5" t="s">
        <v>18</v>
      </c>
      <c r="D4315" s="5" t="s">
        <v>19</v>
      </c>
      <c r="E4315" s="5" t="s">
        <v>49</v>
      </c>
      <c r="F4315" s="9">
        <v>83</v>
      </c>
      <c r="G4315" s="9">
        <v>1025</v>
      </c>
      <c r="H4315" s="5" t="s">
        <v>21</v>
      </c>
      <c r="I4315" s="5" t="s">
        <v>10607</v>
      </c>
      <c r="J4315" s="12" t="str">
        <f>HYPERLINK("https://www.boe.es/gazeta/dias/1802/10/12/pdfs/GMD-1802-83.pdf#page=13","Abrir facsímil")</f>
        <v>Abrir facsímil</v>
      </c>
      <c r="K4315" s="15" t="s">
        <v>23</v>
      </c>
    </row>
    <row r="4316" spans="1:11" ht="42" customHeight="1">
      <c r="A4316" s="4" t="s">
        <v>10608</v>
      </c>
      <c r="B4316" s="5" t="s">
        <v>10608</v>
      </c>
      <c r="C4316" s="5" t="s">
        <v>35</v>
      </c>
      <c r="D4316" s="5" t="s">
        <v>36</v>
      </c>
      <c r="E4316" s="5" t="s">
        <v>311</v>
      </c>
      <c r="F4316" s="9">
        <v>88</v>
      </c>
      <c r="G4316" s="9">
        <v>1091</v>
      </c>
      <c r="H4316" s="5" t="s">
        <v>21</v>
      </c>
      <c r="I4316" s="5" t="s">
        <v>10609</v>
      </c>
      <c r="J4316" s="12" t="str">
        <f>HYPERLINK("https://www.boe.es/gazeta/dias/1802/10/29/pdfs/GMD-1802-88.pdf#page=7","Abrir facsímil")</f>
        <v>Abrir facsímil</v>
      </c>
      <c r="K4316" s="15" t="s">
        <v>23</v>
      </c>
    </row>
    <row r="4317" spans="1:11" ht="42" customHeight="1">
      <c r="A4317" s="4" t="s">
        <v>10610</v>
      </c>
      <c r="B4317" s="5" t="s">
        <v>10610</v>
      </c>
      <c r="C4317" s="5" t="s">
        <v>29</v>
      </c>
      <c r="D4317" s="5" t="s">
        <v>30</v>
      </c>
      <c r="E4317" s="5" t="s">
        <v>109</v>
      </c>
      <c r="F4317" s="9">
        <v>10</v>
      </c>
      <c r="G4317" s="9">
        <v>98</v>
      </c>
      <c r="H4317" s="5" t="s">
        <v>21</v>
      </c>
      <c r="I4317" s="5" t="s">
        <v>10611</v>
      </c>
      <c r="J4317" s="12" t="str">
        <f>HYPERLINK("https://www.boe.es/gazeta/dias/1802/02/02/pdfs/GMD-1802-10.pdf#page=6","Abrir facsímil")</f>
        <v>Abrir facsímil</v>
      </c>
      <c r="K4317" s="15" t="s">
        <v>23</v>
      </c>
    </row>
    <row r="4318" spans="1:11" ht="42" customHeight="1">
      <c r="A4318" s="4" t="s">
        <v>10612</v>
      </c>
      <c r="B4318" s="5" t="s">
        <v>10613</v>
      </c>
      <c r="C4318" s="5" t="s">
        <v>90</v>
      </c>
      <c r="D4318" s="5" t="s">
        <v>91</v>
      </c>
      <c r="E4318" s="5" t="s">
        <v>71</v>
      </c>
      <c r="F4318" s="9">
        <v>21</v>
      </c>
      <c r="G4318" s="9">
        <v>225</v>
      </c>
      <c r="H4318" s="5" t="s">
        <v>21</v>
      </c>
      <c r="I4318" s="5" t="s">
        <v>10614</v>
      </c>
      <c r="J4318" s="12" t="str">
        <f>HYPERLINK("https://www.boe.es/gazeta/dias/1802/03/12/pdfs/GMD-1802-21.pdf#page=1","Abrir facsímil")</f>
        <v>Abrir facsímil</v>
      </c>
      <c r="K4318" s="15" t="s">
        <v>23</v>
      </c>
    </row>
    <row r="4319" spans="1:11" ht="42" customHeight="1">
      <c r="A4319" s="4" t="s">
        <v>10615</v>
      </c>
      <c r="B4319" s="5" t="s">
        <v>10615</v>
      </c>
      <c r="C4319" s="5" t="s">
        <v>29</v>
      </c>
      <c r="D4319" s="5" t="s">
        <v>30</v>
      </c>
      <c r="E4319" s="5" t="s">
        <v>181</v>
      </c>
      <c r="F4319" s="9">
        <v>55</v>
      </c>
      <c r="G4319" s="9">
        <v>663</v>
      </c>
      <c r="H4319" s="5" t="s">
        <v>21</v>
      </c>
      <c r="I4319" s="5" t="s">
        <v>2115</v>
      </c>
      <c r="J4319" s="12" t="str">
        <f>HYPERLINK("https://www.boe.es/gazeta/dias/1802/07/09/pdfs/GMD-1802-55.pdf#page=7","Abrir facsímil")</f>
        <v>Abrir facsímil</v>
      </c>
      <c r="K4319" s="15" t="s">
        <v>23</v>
      </c>
    </row>
    <row r="4320" spans="1:11" ht="42" customHeight="1">
      <c r="A4320" s="4" t="s">
        <v>10616</v>
      </c>
      <c r="B4320" s="5" t="s">
        <v>10617</v>
      </c>
      <c r="C4320" s="5" t="s">
        <v>18</v>
      </c>
      <c r="D4320" s="5" t="s">
        <v>19</v>
      </c>
      <c r="E4320" s="5" t="s">
        <v>49</v>
      </c>
      <c r="F4320" s="9">
        <v>83</v>
      </c>
      <c r="G4320" s="9">
        <v>1024</v>
      </c>
      <c r="H4320" s="5" t="s">
        <v>21</v>
      </c>
      <c r="I4320" s="5" t="s">
        <v>10618</v>
      </c>
      <c r="J4320" s="12" t="str">
        <f>HYPERLINK("https://www.boe.es/gazeta/dias/1802/10/12/pdfs/GMD-1802-83.pdf#page=12","Abrir facsímil")</f>
        <v>Abrir facsímil</v>
      </c>
      <c r="K4320" s="15" t="s">
        <v>23</v>
      </c>
    </row>
    <row r="4321" spans="1:11" ht="42" customHeight="1">
      <c r="A4321" s="4" t="s">
        <v>10619</v>
      </c>
      <c r="B4321" s="5" t="s">
        <v>10620</v>
      </c>
      <c r="C4321" s="5" t="s">
        <v>42</v>
      </c>
      <c r="D4321" s="5" t="s">
        <v>43</v>
      </c>
      <c r="E4321" s="5" t="s">
        <v>44</v>
      </c>
      <c r="F4321" s="9">
        <v>99</v>
      </c>
      <c r="G4321" s="9" t="s">
        <v>262</v>
      </c>
      <c r="H4321" s="5" t="s">
        <v>21</v>
      </c>
      <c r="I4321" s="5" t="s">
        <v>10621</v>
      </c>
      <c r="J4321" s="12" t="str">
        <f>HYPERLINK("https://www.boe.es/gazeta/dias/1802/12/07/pdfs/GMD-D-1802-99.pdf#page=8","Abrir facsímil")</f>
        <v>Abrir facsímil</v>
      </c>
      <c r="K4321" s="15" t="s">
        <v>23</v>
      </c>
    </row>
    <row r="4322" spans="1:11" ht="42" customHeight="1">
      <c r="A4322" s="4" t="s">
        <v>10622</v>
      </c>
      <c r="B4322" s="5" t="s">
        <v>10623</v>
      </c>
      <c r="C4322" s="5" t="s">
        <v>55</v>
      </c>
      <c r="D4322" s="5" t="s">
        <v>56</v>
      </c>
      <c r="E4322" s="5" t="s">
        <v>604</v>
      </c>
      <c r="F4322" s="9">
        <v>100</v>
      </c>
      <c r="G4322" s="9">
        <v>1236</v>
      </c>
      <c r="H4322" s="5" t="s">
        <v>21</v>
      </c>
      <c r="I4322" s="5" t="s">
        <v>10624</v>
      </c>
      <c r="J4322" s="12" t="str">
        <f>HYPERLINK("https://www.boe.es/gazeta/dias/1802/12/10/pdfs/GMD-1802-100.pdf#page=8","Abrir facsímil")</f>
        <v>Abrir facsímil</v>
      </c>
      <c r="K4322" s="15" t="s">
        <v>23</v>
      </c>
    </row>
    <row r="4323" spans="1:11" ht="42" customHeight="1">
      <c r="A4323" s="4" t="s">
        <v>10625</v>
      </c>
      <c r="B4323" s="5" t="s">
        <v>10626</v>
      </c>
      <c r="C4323" s="5" t="s">
        <v>18</v>
      </c>
      <c r="D4323" s="5" t="s">
        <v>19</v>
      </c>
      <c r="E4323" s="5" t="s">
        <v>49</v>
      </c>
      <c r="F4323" s="9">
        <v>83</v>
      </c>
      <c r="G4323" s="9">
        <v>1019</v>
      </c>
      <c r="H4323" s="5" t="s">
        <v>21</v>
      </c>
      <c r="I4323" s="5" t="s">
        <v>10627</v>
      </c>
      <c r="J4323" s="12" t="str">
        <f>HYPERLINK("https://www.boe.es/gazeta/dias/1802/10/12/pdfs/GMD-1802-83.pdf#page=7","Abrir facsímil")</f>
        <v>Abrir facsímil</v>
      </c>
      <c r="K4323" s="15" t="s">
        <v>23</v>
      </c>
    </row>
    <row r="4324" spans="1:11" ht="42" customHeight="1">
      <c r="A4324" s="4" t="s">
        <v>10628</v>
      </c>
      <c r="B4324" s="5" t="s">
        <v>10629</v>
      </c>
      <c r="C4324" s="5" t="s">
        <v>18</v>
      </c>
      <c r="D4324" s="5" t="s">
        <v>19</v>
      </c>
      <c r="E4324" s="5" t="s">
        <v>764</v>
      </c>
      <c r="F4324" s="9">
        <v>69</v>
      </c>
      <c r="G4324" s="9">
        <v>850</v>
      </c>
      <c r="H4324" s="5" t="s">
        <v>21</v>
      </c>
      <c r="I4324" s="5" t="s">
        <v>10630</v>
      </c>
      <c r="J4324" s="12" t="str">
        <f>HYPERLINK("https://www.boe.es/gazeta/dias/1802/08/24/pdfs/GMD-1802-69.pdf#page=10","Abrir facsímil")</f>
        <v>Abrir facsímil</v>
      </c>
      <c r="K4324" s="15" t="s">
        <v>23</v>
      </c>
    </row>
    <row r="4325" spans="1:11" ht="42" customHeight="1">
      <c r="A4325" s="4" t="s">
        <v>10631</v>
      </c>
      <c r="B4325" s="5" t="s">
        <v>10632</v>
      </c>
      <c r="C4325" s="5" t="s">
        <v>29</v>
      </c>
      <c r="D4325" s="5" t="s">
        <v>30</v>
      </c>
      <c r="E4325" s="5" t="s">
        <v>1332</v>
      </c>
      <c r="F4325" s="9">
        <v>4</v>
      </c>
      <c r="G4325" s="9">
        <v>38</v>
      </c>
      <c r="H4325" s="5" t="s">
        <v>21</v>
      </c>
      <c r="I4325" s="5" t="s">
        <v>10633</v>
      </c>
      <c r="J4325" s="12" t="str">
        <f>HYPERLINK("https://www.boe.es/gazeta/dias/1802/01/12/pdfs/GMD-1802-4.pdf#page=10","Abrir facsímil")</f>
        <v>Abrir facsímil</v>
      </c>
      <c r="K4325" s="15" t="s">
        <v>23</v>
      </c>
    </row>
    <row r="4326" spans="1:11" ht="42" customHeight="1">
      <c r="A4326" s="4" t="s">
        <v>10634</v>
      </c>
      <c r="B4326" s="5" t="s">
        <v>10634</v>
      </c>
      <c r="C4326" s="5" t="s">
        <v>35</v>
      </c>
      <c r="D4326" s="5" t="s">
        <v>36</v>
      </c>
      <c r="E4326" s="5" t="s">
        <v>206</v>
      </c>
      <c r="F4326" s="9">
        <v>22</v>
      </c>
      <c r="G4326" s="9">
        <v>236</v>
      </c>
      <c r="H4326" s="5" t="s">
        <v>21</v>
      </c>
      <c r="I4326" s="5" t="s">
        <v>10635</v>
      </c>
      <c r="J4326" s="12" t="str">
        <f>HYPERLINK("https://www.boe.es/gazeta/dias/1802/03/16/pdfs/GMD-1802-22.pdf#page=4","Abrir facsímil")</f>
        <v>Abrir facsímil</v>
      </c>
      <c r="K4326" s="15" t="s">
        <v>23</v>
      </c>
    </row>
    <row r="4327" spans="1:11" ht="42" customHeight="1">
      <c r="A4327" s="4" t="s">
        <v>10636</v>
      </c>
      <c r="B4327" s="5" t="s">
        <v>10637</v>
      </c>
      <c r="C4327" s="5" t="s">
        <v>18</v>
      </c>
      <c r="D4327" s="5" t="s">
        <v>19</v>
      </c>
      <c r="E4327" s="5" t="s">
        <v>49</v>
      </c>
      <c r="F4327" s="9">
        <v>83</v>
      </c>
      <c r="G4327" s="9">
        <v>1025</v>
      </c>
      <c r="H4327" s="5" t="s">
        <v>21</v>
      </c>
      <c r="I4327" s="5" t="s">
        <v>10638</v>
      </c>
      <c r="J4327" s="12" t="str">
        <f>HYPERLINK("https://www.boe.es/gazeta/dias/1802/10/12/pdfs/GMD-1802-83.pdf#page=13","Abrir facsímil")</f>
        <v>Abrir facsímil</v>
      </c>
      <c r="K4327" s="15" t="s">
        <v>23</v>
      </c>
    </row>
    <row r="4328" spans="1:11" ht="42" customHeight="1">
      <c r="A4328" s="4" t="s">
        <v>10639</v>
      </c>
      <c r="B4328" s="5" t="s">
        <v>10639</v>
      </c>
      <c r="C4328" s="5" t="s">
        <v>35</v>
      </c>
      <c r="D4328" s="5" t="s">
        <v>36</v>
      </c>
      <c r="E4328" s="5" t="s">
        <v>590</v>
      </c>
      <c r="F4328" s="9">
        <v>38</v>
      </c>
      <c r="G4328" s="9">
        <v>449</v>
      </c>
      <c r="H4328" s="5" t="s">
        <v>21</v>
      </c>
      <c r="I4328" s="5" t="s">
        <v>10640</v>
      </c>
      <c r="J4328" s="12" t="str">
        <f>HYPERLINK("https://www.boe.es/gazeta/dias/1802/05/11/pdfs/GMD-1802-38.pdf#page=5","Abrir facsímil")</f>
        <v>Abrir facsímil</v>
      </c>
      <c r="K4328" s="15" t="s">
        <v>23</v>
      </c>
    </row>
    <row r="4329" spans="1:11" ht="42" customHeight="1">
      <c r="A4329" s="4" t="s">
        <v>10641</v>
      </c>
      <c r="B4329" s="5" t="s">
        <v>10642</v>
      </c>
      <c r="C4329" s="5" t="s">
        <v>160</v>
      </c>
      <c r="D4329" s="5" t="s">
        <v>91</v>
      </c>
      <c r="E4329" s="5" t="s">
        <v>1097</v>
      </c>
      <c r="F4329" s="9">
        <v>20</v>
      </c>
      <c r="G4329" s="9">
        <v>224</v>
      </c>
      <c r="H4329" s="5" t="s">
        <v>21</v>
      </c>
      <c r="I4329" s="5" t="s">
        <v>10643</v>
      </c>
      <c r="J4329" s="12" t="str">
        <f>HYPERLINK("https://www.boe.es/gazeta/dias/1802/03/09/pdfs/GMD-1802-20.pdf#page=12","Abrir facsímil")</f>
        <v>Abrir facsímil</v>
      </c>
      <c r="K4329" s="15" t="s">
        <v>23</v>
      </c>
    </row>
    <row r="4330" spans="1:11" ht="42" customHeight="1">
      <c r="A4330" s="4" t="s">
        <v>10644</v>
      </c>
      <c r="B4330" s="5" t="s">
        <v>10645</v>
      </c>
      <c r="C4330" s="5" t="s">
        <v>55</v>
      </c>
      <c r="D4330" s="5" t="s">
        <v>56</v>
      </c>
      <c r="E4330" s="5" t="s">
        <v>49</v>
      </c>
      <c r="F4330" s="9">
        <v>83</v>
      </c>
      <c r="G4330" s="9">
        <v>1021</v>
      </c>
      <c r="H4330" s="5" t="s">
        <v>21</v>
      </c>
      <c r="I4330" s="5" t="s">
        <v>10646</v>
      </c>
      <c r="J4330" s="12" t="str">
        <f>HYPERLINK("https://www.boe.es/gazeta/dias/1802/10/12/pdfs/GMD-1802-83.pdf#page=9","Abrir facsímil")</f>
        <v>Abrir facsímil</v>
      </c>
      <c r="K4330" s="15" t="s">
        <v>23</v>
      </c>
    </row>
    <row r="4331" spans="1:11" ht="42" customHeight="1">
      <c r="A4331" s="4" t="s">
        <v>10647</v>
      </c>
      <c r="B4331" s="5" t="s">
        <v>10648</v>
      </c>
      <c r="C4331" s="5" t="s">
        <v>29</v>
      </c>
      <c r="D4331" s="5" t="s">
        <v>30</v>
      </c>
      <c r="E4331" s="5" t="s">
        <v>1185</v>
      </c>
      <c r="F4331" s="9">
        <v>93</v>
      </c>
      <c r="G4331" s="9">
        <v>1151</v>
      </c>
      <c r="H4331" s="5" t="s">
        <v>21</v>
      </c>
      <c r="I4331" s="5" t="s">
        <v>10649</v>
      </c>
      <c r="J4331" s="12" t="str">
        <f>HYPERLINK("https://www.boe.es/gazeta/dias/1802/11/16/pdfs/GMD-1802-93.pdf#page=11","Abrir facsímil")</f>
        <v>Abrir facsímil</v>
      </c>
      <c r="K4331" s="15" t="s">
        <v>23</v>
      </c>
    </row>
    <row r="4332" spans="1:11" ht="42" customHeight="1">
      <c r="A4332" s="4" t="s">
        <v>10650</v>
      </c>
      <c r="B4332" s="5" t="s">
        <v>10650</v>
      </c>
      <c r="C4332" s="5" t="s">
        <v>29</v>
      </c>
      <c r="D4332" s="5" t="s">
        <v>30</v>
      </c>
      <c r="E4332" s="5" t="s">
        <v>339</v>
      </c>
      <c r="F4332" s="9">
        <v>39</v>
      </c>
      <c r="G4332" s="9">
        <v>467</v>
      </c>
      <c r="H4332" s="5" t="s">
        <v>21</v>
      </c>
      <c r="I4332" s="5" t="s">
        <v>10651</v>
      </c>
      <c r="J4332" s="12" t="str">
        <f>HYPERLINK("https://www.boe.es/gazeta/dias/1802/05/14/pdfs/GMD-1802-39.pdf#page=11","Abrir facsímil")</f>
        <v>Abrir facsímil</v>
      </c>
      <c r="K4332" s="15" t="s">
        <v>23</v>
      </c>
    </row>
    <row r="4333" spans="1:11" ht="42" customHeight="1">
      <c r="A4333" s="4" t="s">
        <v>10652</v>
      </c>
      <c r="B4333" s="5" t="s">
        <v>10653</v>
      </c>
      <c r="C4333" s="5" t="s">
        <v>18</v>
      </c>
      <c r="D4333" s="5" t="s">
        <v>19</v>
      </c>
      <c r="E4333" s="5" t="s">
        <v>232</v>
      </c>
      <c r="F4333" s="9">
        <v>30</v>
      </c>
      <c r="G4333" s="9">
        <v>350</v>
      </c>
      <c r="H4333" s="5" t="s">
        <v>21</v>
      </c>
      <c r="I4333" s="5" t="s">
        <v>10654</v>
      </c>
      <c r="J4333" s="12" t="str">
        <f>HYPERLINK("https://www.boe.es/gazeta/dias/1802/04/13/pdfs/GMD-1802-30.pdf#page=6","Abrir facsímil")</f>
        <v>Abrir facsímil</v>
      </c>
      <c r="K4333" s="15" t="s">
        <v>23</v>
      </c>
    </row>
    <row r="4334" spans="1:11" ht="42" customHeight="1">
      <c r="A4334" s="4" t="s">
        <v>10652</v>
      </c>
      <c r="B4334" s="5" t="s">
        <v>10653</v>
      </c>
      <c r="C4334" s="5" t="s">
        <v>18</v>
      </c>
      <c r="D4334" s="5" t="s">
        <v>19</v>
      </c>
      <c r="E4334" s="5" t="s">
        <v>670</v>
      </c>
      <c r="F4334" s="9">
        <v>40</v>
      </c>
      <c r="G4334" s="9">
        <v>478</v>
      </c>
      <c r="H4334" s="5" t="s">
        <v>21</v>
      </c>
      <c r="I4334" s="5" t="s">
        <v>10655</v>
      </c>
      <c r="J4334" s="12" t="str">
        <f>HYPERLINK("https://www.boe.es/gazeta/dias/1802/05/18/pdfs/GMD-1802-40.pdf#page=6","Abrir facsímil")</f>
        <v>Abrir facsímil</v>
      </c>
      <c r="K4334" s="15" t="s">
        <v>23</v>
      </c>
    </row>
    <row r="4335" spans="1:11" ht="42" customHeight="1">
      <c r="A4335" s="4" t="s">
        <v>10656</v>
      </c>
      <c r="B4335" s="5" t="s">
        <v>10657</v>
      </c>
      <c r="C4335" s="5" t="s">
        <v>18</v>
      </c>
      <c r="D4335" s="5" t="s">
        <v>19</v>
      </c>
      <c r="E4335" s="5" t="s">
        <v>49</v>
      </c>
      <c r="F4335" s="9">
        <v>83</v>
      </c>
      <c r="G4335" s="9">
        <v>1023</v>
      </c>
      <c r="H4335" s="5" t="s">
        <v>21</v>
      </c>
      <c r="I4335" s="5" t="s">
        <v>10658</v>
      </c>
      <c r="J4335" s="12" t="str">
        <f>HYPERLINK("https://www.boe.es/gazeta/dias/1802/10/12/pdfs/GMD-1802-83.pdf#page=11","Abrir facsímil")</f>
        <v>Abrir facsímil</v>
      </c>
      <c r="K4335" s="15" t="s">
        <v>23</v>
      </c>
    </row>
    <row r="4336" spans="1:11" ht="42" customHeight="1">
      <c r="A4336" s="4" t="s">
        <v>10659</v>
      </c>
      <c r="B4336" s="5" t="s">
        <v>10660</v>
      </c>
      <c r="C4336" s="5" t="s">
        <v>18</v>
      </c>
      <c r="D4336" s="5" t="s">
        <v>19</v>
      </c>
      <c r="E4336" s="5" t="s">
        <v>49</v>
      </c>
      <c r="F4336" s="9">
        <v>83</v>
      </c>
      <c r="G4336" s="9">
        <v>1025</v>
      </c>
      <c r="H4336" s="5" t="s">
        <v>21</v>
      </c>
      <c r="I4336" s="5" t="s">
        <v>10661</v>
      </c>
      <c r="J4336" s="12" t="str">
        <f>HYPERLINK("https://www.boe.es/gazeta/dias/1802/10/12/pdfs/GMD-1802-83.pdf#page=13","Abrir facsímil")</f>
        <v>Abrir facsímil</v>
      </c>
      <c r="K4336" s="15" t="s">
        <v>23</v>
      </c>
    </row>
    <row r="4337" spans="1:11" ht="42" customHeight="1">
      <c r="A4337" s="4" t="s">
        <v>10662</v>
      </c>
      <c r="B4337" s="5" t="s">
        <v>10663</v>
      </c>
      <c r="C4337" s="5" t="s">
        <v>90</v>
      </c>
      <c r="D4337" s="5" t="s">
        <v>91</v>
      </c>
      <c r="E4337" s="5" t="s">
        <v>678</v>
      </c>
      <c r="F4337" s="9">
        <v>15</v>
      </c>
      <c r="G4337" s="9">
        <v>158</v>
      </c>
      <c r="H4337" s="5" t="s">
        <v>21</v>
      </c>
      <c r="I4337" s="5" t="s">
        <v>10664</v>
      </c>
      <c r="J4337" s="12" t="str">
        <f>HYPERLINK("https://www.boe.es/gazeta/dias/1802/02/19/pdfs/GMD-1802-15.pdf#page=10","Abrir facsímil")</f>
        <v>Abrir facsímil</v>
      </c>
      <c r="K4337" s="15" t="s">
        <v>23</v>
      </c>
    </row>
    <row r="4338" spans="1:11" ht="42" customHeight="1">
      <c r="A4338" s="4" t="s">
        <v>10665</v>
      </c>
      <c r="B4338" s="5" t="s">
        <v>10666</v>
      </c>
      <c r="C4338" s="5" t="s">
        <v>90</v>
      </c>
      <c r="D4338" s="5" t="s">
        <v>91</v>
      </c>
      <c r="E4338" s="5" t="s">
        <v>152</v>
      </c>
      <c r="F4338" s="9">
        <v>25</v>
      </c>
      <c r="G4338" s="9">
        <v>285</v>
      </c>
      <c r="H4338" s="5" t="s">
        <v>21</v>
      </c>
      <c r="I4338" s="5" t="s">
        <v>10667</v>
      </c>
      <c r="J4338" s="12" t="str">
        <f>HYPERLINK("https://www.boe.es/gazeta/dias/1802/03/26/pdfs/GMD-1802-25.pdf#page=9","Abrir facsímil")</f>
        <v>Abrir facsímil</v>
      </c>
      <c r="K4338" s="15" t="s">
        <v>23</v>
      </c>
    </row>
    <row r="4339" spans="1:11" ht="42" customHeight="1">
      <c r="A4339" s="4" t="s">
        <v>10668</v>
      </c>
      <c r="B4339" s="5" t="s">
        <v>10669</v>
      </c>
      <c r="C4339" s="5" t="s">
        <v>29</v>
      </c>
      <c r="D4339" s="5" t="s">
        <v>30</v>
      </c>
      <c r="E4339" s="5" t="s">
        <v>148</v>
      </c>
      <c r="F4339" s="9">
        <v>66</v>
      </c>
      <c r="G4339" s="9">
        <v>808</v>
      </c>
      <c r="H4339" s="5" t="s">
        <v>21</v>
      </c>
      <c r="I4339" s="5" t="s">
        <v>10670</v>
      </c>
      <c r="J4339" s="12" t="str">
        <f>HYPERLINK("https://www.boe.es/gazeta/dias/1802/08/13/pdfs/GMD-1802-66.pdf#page=12","Abrir facsímil")</f>
        <v>Abrir facsímil</v>
      </c>
      <c r="K4339" s="15" t="s">
        <v>23</v>
      </c>
    </row>
    <row r="4340" spans="1:11" ht="42" customHeight="1">
      <c r="A4340" s="4" t="s">
        <v>10668</v>
      </c>
      <c r="B4340" s="5" t="s">
        <v>10669</v>
      </c>
      <c r="C4340" s="5" t="s">
        <v>18</v>
      </c>
      <c r="D4340" s="5" t="s">
        <v>19</v>
      </c>
      <c r="E4340" s="5" t="s">
        <v>826</v>
      </c>
      <c r="F4340" s="9">
        <v>67</v>
      </c>
      <c r="G4340" s="9">
        <v>818</v>
      </c>
      <c r="H4340" s="5" t="s">
        <v>21</v>
      </c>
      <c r="I4340" s="5" t="s">
        <v>10671</v>
      </c>
      <c r="J4340" s="12" t="str">
        <f>HYPERLINK("https://www.boe.es/gazeta/dias/1802/08/17/pdfs/GMD-1802-67.pdf#page=6","Abrir facsímil")</f>
        <v>Abrir facsímil</v>
      </c>
      <c r="K4340" s="15" t="s">
        <v>23</v>
      </c>
    </row>
    <row r="4341" spans="1:11" ht="42" customHeight="1">
      <c r="A4341" s="4" t="s">
        <v>10672</v>
      </c>
      <c r="B4341" s="5" t="s">
        <v>10672</v>
      </c>
      <c r="C4341" s="5" t="s">
        <v>35</v>
      </c>
      <c r="D4341" s="5" t="s">
        <v>36</v>
      </c>
      <c r="E4341" s="5" t="s">
        <v>128</v>
      </c>
      <c r="F4341" s="9">
        <v>9</v>
      </c>
      <c r="G4341" s="9">
        <v>83</v>
      </c>
      <c r="H4341" s="5" t="s">
        <v>21</v>
      </c>
      <c r="I4341" s="5" t="s">
        <v>10673</v>
      </c>
      <c r="J4341" s="12" t="str">
        <f>HYPERLINK("https://www.boe.es/gazeta/dias/1802/01/29/pdfs/GMD-1802-9.pdf#page=3","Abrir facsímil")</f>
        <v>Abrir facsímil</v>
      </c>
      <c r="K4341" s="15" t="s">
        <v>23</v>
      </c>
    </row>
    <row r="4342" spans="1:11" ht="42" customHeight="1">
      <c r="A4342" s="4" t="s">
        <v>10674</v>
      </c>
      <c r="B4342" s="5" t="s">
        <v>10675</v>
      </c>
      <c r="C4342" s="5" t="s">
        <v>18</v>
      </c>
      <c r="D4342" s="5" t="s">
        <v>19</v>
      </c>
      <c r="E4342" s="5" t="s">
        <v>31</v>
      </c>
      <c r="F4342" s="9">
        <v>27</v>
      </c>
      <c r="G4342" s="9">
        <v>318</v>
      </c>
      <c r="H4342" s="5" t="s">
        <v>21</v>
      </c>
      <c r="I4342" s="5" t="s">
        <v>10676</v>
      </c>
      <c r="J4342" s="12" t="str">
        <f>HYPERLINK("https://www.boe.es/gazeta/dias/1802/04/02/pdfs/GMD-1802-27.pdf#page=14","Abrir facsímil")</f>
        <v>Abrir facsímil</v>
      </c>
      <c r="K4342" s="15" t="s">
        <v>23</v>
      </c>
    </row>
    <row r="4343" spans="1:11" ht="42" customHeight="1">
      <c r="A4343" s="4" t="s">
        <v>10677</v>
      </c>
      <c r="B4343" s="5" t="s">
        <v>10678</v>
      </c>
      <c r="C4343" s="5" t="s">
        <v>18</v>
      </c>
      <c r="D4343" s="5" t="s">
        <v>19</v>
      </c>
      <c r="E4343" s="5" t="s">
        <v>49</v>
      </c>
      <c r="F4343" s="9">
        <v>83</v>
      </c>
      <c r="G4343" s="9">
        <v>1023</v>
      </c>
      <c r="H4343" s="5" t="s">
        <v>21</v>
      </c>
      <c r="I4343" s="5" t="s">
        <v>10679</v>
      </c>
      <c r="J4343" s="12" t="str">
        <f>HYPERLINK("https://www.boe.es/gazeta/dias/1802/10/12/pdfs/GMD-1802-83.pdf#page=11","Abrir facsímil")</f>
        <v>Abrir facsímil</v>
      </c>
      <c r="K4343" s="15" t="s">
        <v>23</v>
      </c>
    </row>
    <row r="4344" spans="1:11" ht="42" customHeight="1">
      <c r="A4344" s="4" t="s">
        <v>10680</v>
      </c>
      <c r="B4344" s="5" t="s">
        <v>10681</v>
      </c>
      <c r="C4344" s="5" t="s">
        <v>35</v>
      </c>
      <c r="D4344" s="5" t="s">
        <v>36</v>
      </c>
      <c r="E4344" s="5" t="s">
        <v>332</v>
      </c>
      <c r="F4344" s="9">
        <v>24</v>
      </c>
      <c r="G4344" s="9">
        <v>271</v>
      </c>
      <c r="H4344" s="5" t="s">
        <v>21</v>
      </c>
      <c r="I4344" s="5" t="s">
        <v>10682</v>
      </c>
      <c r="J4344" s="12" t="str">
        <f>HYPERLINK("https://www.boe.es/gazeta/dias/1802/03/23/pdfs/GMD-1802-24.pdf#page=7","Abrir facsímil")</f>
        <v>Abrir facsímil</v>
      </c>
      <c r="K4344" s="15" t="s">
        <v>23</v>
      </c>
    </row>
    <row r="4345" spans="1:11" ht="42" customHeight="1">
      <c r="A4345" s="4" t="s">
        <v>10683</v>
      </c>
      <c r="B4345" s="5" t="s">
        <v>10684</v>
      </c>
      <c r="C4345" s="5" t="s">
        <v>90</v>
      </c>
      <c r="D4345" s="5" t="s">
        <v>91</v>
      </c>
      <c r="E4345" s="5" t="s">
        <v>1097</v>
      </c>
      <c r="F4345" s="9">
        <v>20</v>
      </c>
      <c r="G4345" s="9">
        <v>222</v>
      </c>
      <c r="H4345" s="5" t="s">
        <v>21</v>
      </c>
      <c r="I4345" s="5" t="s">
        <v>10685</v>
      </c>
      <c r="J4345" s="12" t="str">
        <f>HYPERLINK("https://www.boe.es/gazeta/dias/1802/03/09/pdfs/GMD-1802-20.pdf#page=10","Abrir facsímil")</f>
        <v>Abrir facsímil</v>
      </c>
      <c r="K4345" s="15" t="s">
        <v>23</v>
      </c>
    </row>
    <row r="4346" spans="1:11" ht="42" customHeight="1">
      <c r="A4346" s="4" t="s">
        <v>10686</v>
      </c>
      <c r="B4346" s="5" t="s">
        <v>10687</v>
      </c>
      <c r="C4346" s="5" t="s">
        <v>18</v>
      </c>
      <c r="D4346" s="5" t="s">
        <v>19</v>
      </c>
      <c r="E4346" s="5" t="s">
        <v>49</v>
      </c>
      <c r="F4346" s="9">
        <v>83</v>
      </c>
      <c r="G4346" s="9">
        <v>1024</v>
      </c>
      <c r="H4346" s="5" t="s">
        <v>21</v>
      </c>
      <c r="I4346" s="5" t="s">
        <v>10688</v>
      </c>
      <c r="J4346" s="12" t="str">
        <f>HYPERLINK("https://www.boe.es/gazeta/dias/1802/10/12/pdfs/GMD-1802-83.pdf#page=12","Abrir facsímil")</f>
        <v>Abrir facsímil</v>
      </c>
      <c r="K4346" s="15" t="s">
        <v>23</v>
      </c>
    </row>
    <row r="4347" spans="1:11" ht="42" customHeight="1">
      <c r="A4347" s="4" t="s">
        <v>10689</v>
      </c>
      <c r="B4347" s="5" t="s">
        <v>10690</v>
      </c>
      <c r="C4347" s="5" t="s">
        <v>18</v>
      </c>
      <c r="D4347" s="5" t="s">
        <v>19</v>
      </c>
      <c r="E4347" s="5" t="s">
        <v>49</v>
      </c>
      <c r="F4347" s="9">
        <v>83</v>
      </c>
      <c r="G4347" s="9">
        <v>1023</v>
      </c>
      <c r="H4347" s="5" t="s">
        <v>21</v>
      </c>
      <c r="I4347" s="5" t="s">
        <v>10691</v>
      </c>
      <c r="J4347" s="12" t="str">
        <f>HYPERLINK("https://www.boe.es/gazeta/dias/1802/10/12/pdfs/GMD-1802-83.pdf#page=11","Abrir facsímil")</f>
        <v>Abrir facsímil</v>
      </c>
      <c r="K4347" s="15" t="s">
        <v>23</v>
      </c>
    </row>
    <row r="4348" spans="1:11" ht="42" customHeight="1">
      <c r="A4348" s="4" t="s">
        <v>10692</v>
      </c>
      <c r="B4348" s="5" t="s">
        <v>10693</v>
      </c>
      <c r="C4348" s="5" t="s">
        <v>29</v>
      </c>
      <c r="D4348" s="5" t="s">
        <v>30</v>
      </c>
      <c r="E4348" s="5" t="s">
        <v>49</v>
      </c>
      <c r="F4348" s="9">
        <v>83</v>
      </c>
      <c r="G4348" s="9">
        <v>1024</v>
      </c>
      <c r="H4348" s="5" t="s">
        <v>21</v>
      </c>
      <c r="I4348" s="5" t="s">
        <v>10694</v>
      </c>
      <c r="J4348" s="12" t="str">
        <f>HYPERLINK("https://www.boe.es/gazeta/dias/1802/10/12/pdfs/GMD-1802-83.pdf#page=12","Abrir facsímil")</f>
        <v>Abrir facsímil</v>
      </c>
      <c r="K4348" s="15" t="s">
        <v>23</v>
      </c>
    </row>
    <row r="4349" spans="1:11" ht="42" customHeight="1">
      <c r="A4349" s="4" t="s">
        <v>10695</v>
      </c>
      <c r="B4349" s="5" t="s">
        <v>10696</v>
      </c>
      <c r="C4349" s="5" t="s">
        <v>29</v>
      </c>
      <c r="D4349" s="5" t="s">
        <v>30</v>
      </c>
      <c r="E4349" s="5" t="s">
        <v>328</v>
      </c>
      <c r="F4349" s="9">
        <v>45</v>
      </c>
      <c r="G4349" s="9">
        <v>545</v>
      </c>
      <c r="H4349" s="5" t="s">
        <v>21</v>
      </c>
      <c r="I4349" s="5" t="s">
        <v>10697</v>
      </c>
      <c r="J4349" s="12" t="str">
        <f>HYPERLINK("https://www.boe.es/gazeta/dias/1802/06/04/pdfs/GMD-1802-45.pdf#page=9","Abrir facsímil")</f>
        <v>Abrir facsímil</v>
      </c>
      <c r="K4349" s="15" t="s">
        <v>23</v>
      </c>
    </row>
    <row r="4350" spans="1:11" ht="42" customHeight="1">
      <c r="A4350" s="4" t="s">
        <v>10698</v>
      </c>
      <c r="B4350" s="5" t="s">
        <v>10698</v>
      </c>
      <c r="C4350" s="5" t="s">
        <v>35</v>
      </c>
      <c r="D4350" s="5" t="s">
        <v>36</v>
      </c>
      <c r="E4350" s="5" t="s">
        <v>165</v>
      </c>
      <c r="F4350" s="9">
        <v>3</v>
      </c>
      <c r="G4350" s="9">
        <v>21</v>
      </c>
      <c r="H4350" s="5" t="s">
        <v>21</v>
      </c>
      <c r="I4350" s="5" t="s">
        <v>10699</v>
      </c>
      <c r="J4350" s="12" t="str">
        <f>HYPERLINK("https://www.boe.es/gazeta/dias/1802/01/08/pdfs/GMD-1802-3.pdf#page=1","Abrir facsímil")</f>
        <v>Abrir facsímil</v>
      </c>
      <c r="K4350" s="15" t="s">
        <v>23</v>
      </c>
    </row>
    <row r="4351" spans="1:11" ht="42" customHeight="1">
      <c r="A4351" s="4" t="s">
        <v>10700</v>
      </c>
      <c r="B4351" s="5" t="s">
        <v>10701</v>
      </c>
      <c r="C4351" s="5" t="s">
        <v>18</v>
      </c>
      <c r="D4351" s="5" t="s">
        <v>19</v>
      </c>
      <c r="E4351" s="5" t="s">
        <v>439</v>
      </c>
      <c r="F4351" s="9">
        <v>76</v>
      </c>
      <c r="G4351" s="9">
        <v>938</v>
      </c>
      <c r="H4351" s="5" t="s">
        <v>21</v>
      </c>
      <c r="I4351" s="5" t="s">
        <v>10702</v>
      </c>
      <c r="J4351" s="12" t="str">
        <f>HYPERLINK("https://www.boe.es/gazeta/dias/1802/09/17/pdfs/GMD-1802-76.pdf#page=10","Abrir facsímil")</f>
        <v>Abrir facsímil</v>
      </c>
      <c r="K4351" s="15" t="s">
        <v>23</v>
      </c>
    </row>
    <row r="4352" spans="1:11" ht="42" customHeight="1">
      <c r="A4352" s="4" t="s">
        <v>10700</v>
      </c>
      <c r="B4352" s="5" t="s">
        <v>10701</v>
      </c>
      <c r="C4352" s="5" t="s">
        <v>18</v>
      </c>
      <c r="D4352" s="5" t="s">
        <v>19</v>
      </c>
      <c r="E4352" s="5" t="s">
        <v>439</v>
      </c>
      <c r="F4352" s="9">
        <v>76</v>
      </c>
      <c r="G4352" s="9">
        <v>939</v>
      </c>
      <c r="H4352" s="5" t="s">
        <v>21</v>
      </c>
      <c r="I4352" s="5" t="s">
        <v>10703</v>
      </c>
      <c r="J4352" s="12" t="str">
        <f>HYPERLINK("https://www.boe.es/gazeta/dias/1802/09/17/pdfs/GMD-1802-76.pdf#page=11","Abrir facsímil")</f>
        <v>Abrir facsímil</v>
      </c>
      <c r="K4352" s="15" t="s">
        <v>23</v>
      </c>
    </row>
    <row r="4353" spans="1:11" ht="42" customHeight="1">
      <c r="A4353" s="4" t="s">
        <v>10704</v>
      </c>
      <c r="B4353" s="5" t="s">
        <v>10705</v>
      </c>
      <c r="C4353" s="5" t="s">
        <v>90</v>
      </c>
      <c r="D4353" s="5" t="s">
        <v>91</v>
      </c>
      <c r="E4353" s="5" t="s">
        <v>886</v>
      </c>
      <c r="F4353" s="9">
        <v>7</v>
      </c>
      <c r="G4353" s="9">
        <v>61</v>
      </c>
      <c r="H4353" s="5" t="s">
        <v>21</v>
      </c>
      <c r="I4353" s="5" t="s">
        <v>10706</v>
      </c>
      <c r="J4353" s="12" t="str">
        <f>HYPERLINK("https://www.boe.es/gazeta/dias/1802/01/22/pdfs/GMD-1802-7.pdf#page=1","Abrir facsímil")</f>
        <v>Abrir facsímil</v>
      </c>
      <c r="K4353" s="15" t="s">
        <v>23</v>
      </c>
    </row>
    <row r="4354" spans="1:11" ht="42" customHeight="1">
      <c r="A4354" s="4" t="s">
        <v>10707</v>
      </c>
      <c r="B4354" s="5" t="s">
        <v>10708</v>
      </c>
      <c r="C4354" s="5" t="s">
        <v>35</v>
      </c>
      <c r="D4354" s="5" t="s">
        <v>36</v>
      </c>
      <c r="E4354" s="5" t="s">
        <v>332</v>
      </c>
      <c r="F4354" s="9">
        <v>24</v>
      </c>
      <c r="G4354" s="9">
        <v>270</v>
      </c>
      <c r="H4354" s="5" t="s">
        <v>21</v>
      </c>
      <c r="I4354" s="5" t="s">
        <v>10709</v>
      </c>
      <c r="J4354" s="12" t="str">
        <f>HYPERLINK("https://www.boe.es/gazeta/dias/1802/03/23/pdfs/GMD-1802-24.pdf#page=6","Abrir facsímil")</f>
        <v>Abrir facsímil</v>
      </c>
      <c r="K4354" s="15" t="s">
        <v>23</v>
      </c>
    </row>
    <row r="4355" spans="1:11" ht="42" customHeight="1">
      <c r="A4355" s="4" t="s">
        <v>10710</v>
      </c>
      <c r="B4355" s="5" t="s">
        <v>10711</v>
      </c>
      <c r="C4355" s="5" t="s">
        <v>18</v>
      </c>
      <c r="D4355" s="5" t="s">
        <v>19</v>
      </c>
      <c r="E4355" s="5" t="s">
        <v>20</v>
      </c>
      <c r="F4355" s="9">
        <v>84</v>
      </c>
      <c r="G4355" s="9">
        <v>1042</v>
      </c>
      <c r="H4355" s="5" t="s">
        <v>21</v>
      </c>
      <c r="I4355" s="5" t="s">
        <v>10712</v>
      </c>
      <c r="J4355" s="12" t="str">
        <f>HYPERLINK("https://www.boe.es/gazeta/dias/1802/10/15/pdfs/GMD-1802-84.pdf#page=10","Abrir facsímil")</f>
        <v>Abrir facsímil</v>
      </c>
      <c r="K4355" s="15" t="s">
        <v>23</v>
      </c>
    </row>
    <row r="4356" spans="1:11" ht="42" customHeight="1">
      <c r="A4356" s="4" t="s">
        <v>10713</v>
      </c>
      <c r="B4356" s="5" t="s">
        <v>10714</v>
      </c>
      <c r="C4356" s="5" t="s">
        <v>18</v>
      </c>
      <c r="D4356" s="5" t="s">
        <v>19</v>
      </c>
      <c r="E4356" s="5" t="s">
        <v>20</v>
      </c>
      <c r="F4356" s="9">
        <v>84</v>
      </c>
      <c r="G4356" s="9">
        <v>1041</v>
      </c>
      <c r="H4356" s="5" t="s">
        <v>21</v>
      </c>
      <c r="I4356" s="5" t="s">
        <v>10715</v>
      </c>
      <c r="J4356" s="12" t="str">
        <f>HYPERLINK("https://www.boe.es/gazeta/dias/1802/10/15/pdfs/GMD-1802-84.pdf#page=9","Abrir facsímil")</f>
        <v>Abrir facsímil</v>
      </c>
      <c r="K4356" s="15" t="s">
        <v>23</v>
      </c>
    </row>
    <row r="4357" spans="1:11" ht="42" customHeight="1">
      <c r="A4357" s="4" t="s">
        <v>10716</v>
      </c>
      <c r="B4357" s="5" t="s">
        <v>10717</v>
      </c>
      <c r="C4357" s="5" t="s">
        <v>18</v>
      </c>
      <c r="D4357" s="5" t="s">
        <v>19</v>
      </c>
      <c r="E4357" s="5" t="s">
        <v>20</v>
      </c>
      <c r="F4357" s="9">
        <v>84</v>
      </c>
      <c r="G4357" s="9">
        <v>1044</v>
      </c>
      <c r="H4357" s="5" t="s">
        <v>21</v>
      </c>
      <c r="I4357" s="5" t="s">
        <v>10718</v>
      </c>
      <c r="J4357" s="12" t="str">
        <f>HYPERLINK("https://www.boe.es/gazeta/dias/1802/10/15/pdfs/GMD-1802-84.pdf#page=12","Abrir facsímil")</f>
        <v>Abrir facsímil</v>
      </c>
      <c r="K4357" s="15" t="s">
        <v>23</v>
      </c>
    </row>
    <row r="4358" spans="1:11" ht="42" customHeight="1">
      <c r="A4358" s="4" t="s">
        <v>10719</v>
      </c>
      <c r="B4358" s="5" t="s">
        <v>10719</v>
      </c>
      <c r="C4358" s="5" t="s">
        <v>29</v>
      </c>
      <c r="D4358" s="5" t="s">
        <v>30</v>
      </c>
      <c r="E4358" s="5" t="s">
        <v>655</v>
      </c>
      <c r="F4358" s="9">
        <v>46</v>
      </c>
      <c r="G4358" s="9">
        <v>564</v>
      </c>
      <c r="H4358" s="5" t="s">
        <v>21</v>
      </c>
      <c r="I4358" s="5" t="s">
        <v>10720</v>
      </c>
      <c r="J4358" s="12" t="str">
        <f>HYPERLINK("https://www.boe.es/gazeta/dias/1802/06/08/pdfs/GMD-1802-46.pdf#page=16","Abrir facsímil")</f>
        <v>Abrir facsímil</v>
      </c>
      <c r="K4358" s="15" t="s">
        <v>23</v>
      </c>
    </row>
    <row r="4359" spans="1:11" ht="42" customHeight="1">
      <c r="A4359" s="4" t="s">
        <v>10721</v>
      </c>
      <c r="B4359" s="5" t="s">
        <v>10722</v>
      </c>
      <c r="C4359" s="5" t="s">
        <v>29</v>
      </c>
      <c r="D4359" s="5" t="s">
        <v>30</v>
      </c>
      <c r="E4359" s="5" t="s">
        <v>44</v>
      </c>
      <c r="F4359" s="9">
        <v>99</v>
      </c>
      <c r="G4359" s="9">
        <v>1222</v>
      </c>
      <c r="H4359" s="5" t="s">
        <v>21</v>
      </c>
      <c r="I4359" s="5" t="s">
        <v>10723</v>
      </c>
      <c r="J4359" s="12" t="str">
        <f>HYPERLINK("https://www.boe.es/gazeta/dias/1802/12/07/pdfs/GMD-1802-99.pdf#page=6","Abrir facsímil")</f>
        <v>Abrir facsímil</v>
      </c>
      <c r="K4359" s="15" t="s">
        <v>23</v>
      </c>
    </row>
    <row r="4360" spans="1:11" ht="42" customHeight="1">
      <c r="A4360" s="4" t="s">
        <v>10724</v>
      </c>
      <c r="B4360" s="5" t="s">
        <v>10725</v>
      </c>
      <c r="C4360" s="5" t="s">
        <v>18</v>
      </c>
      <c r="D4360" s="5" t="s">
        <v>19</v>
      </c>
      <c r="E4360" s="5" t="s">
        <v>170</v>
      </c>
      <c r="F4360" s="9">
        <v>28</v>
      </c>
      <c r="G4360" s="9">
        <v>326</v>
      </c>
      <c r="H4360" s="5" t="s">
        <v>21</v>
      </c>
      <c r="I4360" s="5" t="s">
        <v>10726</v>
      </c>
      <c r="J4360" s="12" t="str">
        <f>HYPERLINK("https://www.boe.es/gazeta/dias/1802/04/06/pdfs/GMD-1802-28.pdf#page=6","Abrir facsímil")</f>
        <v>Abrir facsímil</v>
      </c>
      <c r="K4360" s="15" t="s">
        <v>23</v>
      </c>
    </row>
    <row r="4361" spans="1:11" ht="42" customHeight="1">
      <c r="A4361" s="4" t="s">
        <v>10727</v>
      </c>
      <c r="B4361" s="5" t="s">
        <v>10728</v>
      </c>
      <c r="C4361" s="5" t="s">
        <v>35</v>
      </c>
      <c r="D4361" s="5" t="s">
        <v>36</v>
      </c>
      <c r="E4361" s="5" t="s">
        <v>92</v>
      </c>
      <c r="F4361" s="9">
        <v>29</v>
      </c>
      <c r="G4361" s="9">
        <v>339</v>
      </c>
      <c r="H4361" s="5" t="s">
        <v>21</v>
      </c>
      <c r="I4361" s="5" t="s">
        <v>10729</v>
      </c>
      <c r="J4361" s="12" t="str">
        <f>HYPERLINK("https://www.boe.es/gazeta/dias/1802/04/09/pdfs/GMD-1802-29.pdf#page=7","Abrir facsímil")</f>
        <v>Abrir facsímil</v>
      </c>
      <c r="K4361" s="15" t="s">
        <v>23</v>
      </c>
    </row>
    <row r="4362" spans="1:11" ht="42" customHeight="1">
      <c r="A4362" s="4" t="s">
        <v>10724</v>
      </c>
      <c r="B4362" s="5" t="s">
        <v>10725</v>
      </c>
      <c r="C4362" s="5" t="s">
        <v>18</v>
      </c>
      <c r="D4362" s="5" t="s">
        <v>19</v>
      </c>
      <c r="E4362" s="5" t="s">
        <v>232</v>
      </c>
      <c r="F4362" s="9">
        <v>30</v>
      </c>
      <c r="G4362" s="9">
        <v>349</v>
      </c>
      <c r="H4362" s="5" t="s">
        <v>21</v>
      </c>
      <c r="I4362" s="5" t="s">
        <v>10730</v>
      </c>
      <c r="J4362" s="12" t="str">
        <f>HYPERLINK("https://www.boe.es/gazeta/dias/1802/04/13/pdfs/GMD-1802-30.pdf#page=5","Abrir facsímil")</f>
        <v>Abrir facsímil</v>
      </c>
      <c r="K4362" s="15" t="s">
        <v>23</v>
      </c>
    </row>
    <row r="4363" spans="1:11" ht="42" customHeight="1">
      <c r="A4363" s="4" t="s">
        <v>10724</v>
      </c>
      <c r="B4363" s="5" t="s">
        <v>10725</v>
      </c>
      <c r="C4363" s="5" t="s">
        <v>35</v>
      </c>
      <c r="D4363" s="5" t="s">
        <v>36</v>
      </c>
      <c r="E4363" s="5" t="s">
        <v>1618</v>
      </c>
      <c r="F4363" s="9">
        <v>31</v>
      </c>
      <c r="G4363" s="9">
        <v>362</v>
      </c>
      <c r="H4363" s="5" t="s">
        <v>21</v>
      </c>
      <c r="I4363" s="5" t="s">
        <v>10731</v>
      </c>
      <c r="J4363" s="12" t="str">
        <f>HYPERLINK("https://www.boe.es/gazeta/dias/1802/04/16/pdfs/GMD-1802-31.pdf#page=6","Abrir facsímil")</f>
        <v>Abrir facsímil</v>
      </c>
      <c r="K4363" s="15" t="s">
        <v>23</v>
      </c>
    </row>
    <row r="4364" spans="1:11" ht="42" customHeight="1">
      <c r="A4364" s="4" t="s">
        <v>10732</v>
      </c>
      <c r="B4364" s="5" t="s">
        <v>10733</v>
      </c>
      <c r="C4364" s="5" t="s">
        <v>35</v>
      </c>
      <c r="D4364" s="5" t="s">
        <v>36</v>
      </c>
      <c r="E4364" s="5" t="s">
        <v>381</v>
      </c>
      <c r="F4364" s="9">
        <v>13</v>
      </c>
      <c r="G4364" s="9">
        <v>129</v>
      </c>
      <c r="H4364" s="5" t="s">
        <v>21</v>
      </c>
      <c r="I4364" s="5" t="s">
        <v>10734</v>
      </c>
      <c r="J4364" s="12" t="str">
        <f>HYPERLINK("https://www.boe.es/gazeta/dias/1802/02/12/pdfs/GMD-1802-13.pdf#page=5","Abrir facsímil")</f>
        <v>Abrir facsímil</v>
      </c>
      <c r="K4364" s="15" t="s">
        <v>23</v>
      </c>
    </row>
    <row r="4365" spans="1:11" ht="42" customHeight="1">
      <c r="A4365" s="4" t="s">
        <v>10735</v>
      </c>
      <c r="B4365" s="5" t="s">
        <v>10736</v>
      </c>
      <c r="C4365" s="5" t="s">
        <v>55</v>
      </c>
      <c r="D4365" s="5" t="s">
        <v>56</v>
      </c>
      <c r="E4365" s="5" t="s">
        <v>165</v>
      </c>
      <c r="F4365" s="9">
        <v>3</v>
      </c>
      <c r="G4365" s="9">
        <v>24</v>
      </c>
      <c r="H4365" s="5" t="s">
        <v>21</v>
      </c>
      <c r="I4365" s="5" t="s">
        <v>10737</v>
      </c>
      <c r="J4365" s="12" t="str">
        <f>HYPERLINK("https://www.boe.es/gazeta/dias/1802/01/08/pdfs/GMD-1802-3.pdf#page=4","Abrir facsímil")</f>
        <v>Abrir facsímil</v>
      </c>
      <c r="K4365" s="15" t="s">
        <v>23</v>
      </c>
    </row>
    <row r="4366" spans="1:11" ht="42" customHeight="1">
      <c r="A4366" s="4" t="s">
        <v>10738</v>
      </c>
      <c r="B4366" s="5" t="s">
        <v>10738</v>
      </c>
      <c r="C4366" s="5" t="s">
        <v>160</v>
      </c>
      <c r="D4366" s="5" t="s">
        <v>91</v>
      </c>
      <c r="E4366" s="5" t="s">
        <v>131</v>
      </c>
      <c r="F4366" s="9">
        <v>11</v>
      </c>
      <c r="G4366" s="9">
        <v>113</v>
      </c>
      <c r="H4366" s="5" t="s">
        <v>21</v>
      </c>
      <c r="I4366" s="5" t="s">
        <v>10739</v>
      </c>
      <c r="J4366" s="12" t="str">
        <f>HYPERLINK("https://www.boe.es/gazeta/dias/1802/02/05/pdfs/GMD-1802-11.pdf#page=9","Abrir facsímil")</f>
        <v>Abrir facsímil</v>
      </c>
      <c r="K4366" s="15" t="s">
        <v>23</v>
      </c>
    </row>
    <row r="4367" spans="1:11" ht="42" customHeight="1">
      <c r="A4367" s="4" t="s">
        <v>10740</v>
      </c>
      <c r="B4367" s="5" t="s">
        <v>10740</v>
      </c>
      <c r="C4367" s="5" t="s">
        <v>29</v>
      </c>
      <c r="D4367" s="5" t="s">
        <v>30</v>
      </c>
      <c r="E4367" s="5" t="s">
        <v>25</v>
      </c>
      <c r="F4367" s="9">
        <v>44</v>
      </c>
      <c r="G4367" s="9">
        <v>533</v>
      </c>
      <c r="H4367" s="5" t="s">
        <v>21</v>
      </c>
      <c r="I4367" s="5" t="s">
        <v>10741</v>
      </c>
      <c r="J4367" s="12" t="str">
        <f>HYPERLINK("https://www.boe.es/gazeta/dias/1802/06/01/pdfs/GMD-1802-44.pdf#page=9","Abrir facsímil")</f>
        <v>Abrir facsímil</v>
      </c>
      <c r="K4367" s="15" t="s">
        <v>23</v>
      </c>
    </row>
    <row r="4368" spans="1:11" ht="42" customHeight="1">
      <c r="A4368" s="4" t="s">
        <v>10742</v>
      </c>
      <c r="B4368" s="5" t="s">
        <v>10743</v>
      </c>
      <c r="C4368" s="5" t="s">
        <v>35</v>
      </c>
      <c r="D4368" s="5" t="s">
        <v>36</v>
      </c>
      <c r="E4368" s="5" t="s">
        <v>635</v>
      </c>
      <c r="F4368" s="9">
        <v>47</v>
      </c>
      <c r="G4368" s="9">
        <v>565</v>
      </c>
      <c r="H4368" s="5" t="s">
        <v>21</v>
      </c>
      <c r="I4368" s="5" t="s">
        <v>10744</v>
      </c>
      <c r="J4368" s="12" t="str">
        <f>HYPERLINK("https://www.boe.es/gazeta/dias/1802/06/11/pdfs/GMD-1802-47.pdf#page=1","Abrir facsímil")</f>
        <v>Abrir facsímil</v>
      </c>
      <c r="K4368" s="15" t="s">
        <v>23</v>
      </c>
    </row>
    <row r="4369" spans="1:11" ht="42" customHeight="1">
      <c r="A4369" s="4" t="s">
        <v>10745</v>
      </c>
      <c r="B4369" s="5" t="s">
        <v>10746</v>
      </c>
      <c r="C4369" s="5" t="s">
        <v>160</v>
      </c>
      <c r="D4369" s="5" t="s">
        <v>91</v>
      </c>
      <c r="E4369" s="5" t="s">
        <v>31</v>
      </c>
      <c r="F4369" s="9">
        <v>27</v>
      </c>
      <c r="G4369" s="9">
        <v>319</v>
      </c>
      <c r="H4369" s="5" t="s">
        <v>21</v>
      </c>
      <c r="I4369" s="5" t="s">
        <v>10747</v>
      </c>
      <c r="J4369" s="12" t="str">
        <f>HYPERLINK("https://www.boe.es/gazeta/dias/1802/04/02/pdfs/GMD-1802-27.pdf#page=15","Abrir facsímil")</f>
        <v>Abrir facsímil</v>
      </c>
      <c r="K4369" s="15" t="s">
        <v>23</v>
      </c>
    </row>
    <row r="4370" spans="1:11" ht="42" customHeight="1">
      <c r="A4370" s="4" t="s">
        <v>10748</v>
      </c>
      <c r="B4370" s="5" t="s">
        <v>10749</v>
      </c>
      <c r="C4370" s="5" t="s">
        <v>29</v>
      </c>
      <c r="D4370" s="5" t="s">
        <v>30</v>
      </c>
      <c r="E4370" s="5" t="s">
        <v>102</v>
      </c>
      <c r="F4370" s="9">
        <v>73</v>
      </c>
      <c r="G4370" s="9">
        <v>904</v>
      </c>
      <c r="H4370" s="5" t="s">
        <v>21</v>
      </c>
      <c r="I4370" s="5" t="s">
        <v>10750</v>
      </c>
      <c r="J4370" s="12" t="str">
        <f>HYPERLINK("https://www.boe.es/gazeta/dias/1802/09/07/pdfs/GMD-1802-73.pdf#page=12","Abrir facsímil")</f>
        <v>Abrir facsímil</v>
      </c>
      <c r="K4370" s="15" t="s">
        <v>23</v>
      </c>
    </row>
    <row r="4371" spans="1:11" ht="42" customHeight="1">
      <c r="A4371" s="4" t="s">
        <v>10751</v>
      </c>
      <c r="B4371" s="5" t="s">
        <v>10751</v>
      </c>
      <c r="C4371" s="5" t="s">
        <v>35</v>
      </c>
      <c r="D4371" s="5" t="s">
        <v>36</v>
      </c>
      <c r="E4371" s="5" t="s">
        <v>175</v>
      </c>
      <c r="F4371" s="9">
        <v>37</v>
      </c>
      <c r="G4371" s="9">
        <v>440</v>
      </c>
      <c r="H4371" s="5" t="s">
        <v>21</v>
      </c>
      <c r="I4371" s="5" t="s">
        <v>10752</v>
      </c>
      <c r="J4371" s="12" t="str">
        <f>HYPERLINK("https://www.boe.es/gazeta/dias/1802/05/07/pdfs/GMD-1802-37.pdf#page=8","Abrir facsímil")</f>
        <v>Abrir facsímil</v>
      </c>
      <c r="K4371" s="15" t="s">
        <v>23</v>
      </c>
    </row>
    <row r="4372" spans="1:11" ht="42" customHeight="1">
      <c r="A4372" s="4" t="s">
        <v>10753</v>
      </c>
      <c r="B4372" s="5" t="s">
        <v>10754</v>
      </c>
      <c r="C4372" s="5" t="s">
        <v>29</v>
      </c>
      <c r="D4372" s="5" t="s">
        <v>30</v>
      </c>
      <c r="E4372" s="5" t="s">
        <v>670</v>
      </c>
      <c r="F4372" s="9">
        <v>40</v>
      </c>
      <c r="G4372" s="9">
        <v>481</v>
      </c>
      <c r="H4372" s="5" t="s">
        <v>21</v>
      </c>
      <c r="I4372" s="5" t="s">
        <v>10755</v>
      </c>
      <c r="J4372" s="12" t="str">
        <f>HYPERLINK("https://www.boe.es/gazeta/dias/1802/05/18/pdfs/GMD-1802-40.pdf#page=9","Abrir facsímil")</f>
        <v>Abrir facsímil</v>
      </c>
      <c r="K4372" s="15" t="s">
        <v>23</v>
      </c>
    </row>
    <row r="4373" spans="1:11" ht="42" customHeight="1">
      <c r="A4373" s="4" t="s">
        <v>10756</v>
      </c>
      <c r="B4373" s="5" t="s">
        <v>10756</v>
      </c>
      <c r="C4373" s="5" t="s">
        <v>35</v>
      </c>
      <c r="D4373" s="5" t="s">
        <v>36</v>
      </c>
      <c r="E4373" s="5" t="s">
        <v>1381</v>
      </c>
      <c r="F4373" s="9">
        <v>17</v>
      </c>
      <c r="G4373" s="9">
        <v>179</v>
      </c>
      <c r="H4373" s="5" t="s">
        <v>21</v>
      </c>
      <c r="I4373" s="5" t="s">
        <v>10757</v>
      </c>
      <c r="J4373" s="12" t="str">
        <f>HYPERLINK("https://www.boe.es/gazeta/dias/1802/02/26/pdfs/GMD-1802-17.pdf#page=3","Abrir facsímil")</f>
        <v>Abrir facsímil</v>
      </c>
      <c r="K4373" s="15" t="s">
        <v>23</v>
      </c>
    </row>
    <row r="4374" spans="1:11" ht="42" customHeight="1">
      <c r="A4374" s="4" t="s">
        <v>10758</v>
      </c>
      <c r="B4374" s="5" t="s">
        <v>10759</v>
      </c>
      <c r="C4374" s="5" t="s">
        <v>18</v>
      </c>
      <c r="D4374" s="5" t="s">
        <v>19</v>
      </c>
      <c r="E4374" s="5" t="s">
        <v>20</v>
      </c>
      <c r="F4374" s="9">
        <v>84</v>
      </c>
      <c r="G4374" s="9">
        <v>1043</v>
      </c>
      <c r="H4374" s="5" t="s">
        <v>21</v>
      </c>
      <c r="I4374" s="5" t="s">
        <v>10760</v>
      </c>
      <c r="J4374" s="12" t="str">
        <f>HYPERLINK("https://www.boe.es/gazeta/dias/1802/10/15/pdfs/GMD-1802-84.pdf#page=11","Abrir facsímil")</f>
        <v>Abrir facsímil</v>
      </c>
      <c r="K4374" s="15" t="s">
        <v>23</v>
      </c>
    </row>
    <row r="4375" spans="1:11" ht="42" customHeight="1">
      <c r="A4375" s="4" t="s">
        <v>10761</v>
      </c>
      <c r="B4375" s="5" t="s">
        <v>10761</v>
      </c>
      <c r="C4375" s="5" t="s">
        <v>18</v>
      </c>
      <c r="D4375" s="5" t="s">
        <v>19</v>
      </c>
      <c r="E4375" s="5" t="s">
        <v>49</v>
      </c>
      <c r="F4375" s="9">
        <v>83</v>
      </c>
      <c r="G4375" s="9">
        <v>1025</v>
      </c>
      <c r="H4375" s="5" t="s">
        <v>21</v>
      </c>
      <c r="I4375" s="5" t="s">
        <v>10762</v>
      </c>
      <c r="J4375" s="12" t="str">
        <f>HYPERLINK("https://www.boe.es/gazeta/dias/1802/10/12/pdfs/GMD-1802-83.pdf#page=13","Abrir facsímil")</f>
        <v>Abrir facsímil</v>
      </c>
      <c r="K4375" s="15" t="s">
        <v>23</v>
      </c>
    </row>
    <row r="4376" spans="1:11" ht="42" customHeight="1">
      <c r="A4376" s="4" t="s">
        <v>10763</v>
      </c>
      <c r="B4376" s="5" t="s">
        <v>10764</v>
      </c>
      <c r="C4376" s="5" t="s">
        <v>55</v>
      </c>
      <c r="D4376" s="5" t="s">
        <v>56</v>
      </c>
      <c r="E4376" s="5" t="s">
        <v>175</v>
      </c>
      <c r="F4376" s="9">
        <v>37</v>
      </c>
      <c r="G4376" s="9">
        <v>443</v>
      </c>
      <c r="H4376" s="5" t="s">
        <v>21</v>
      </c>
      <c r="I4376" s="5" t="s">
        <v>10765</v>
      </c>
      <c r="J4376" s="12" t="str">
        <f>HYPERLINK("https://www.boe.es/gazeta/dias/1802/05/07/pdfs/GMD-1802-37.pdf#page=11","Abrir facsímil")</f>
        <v>Abrir facsímil</v>
      </c>
      <c r="K4376" s="15" t="s">
        <v>23</v>
      </c>
    </row>
    <row r="4377" spans="1:11" ht="42" customHeight="1">
      <c r="A4377" s="4" t="s">
        <v>10766</v>
      </c>
      <c r="B4377" s="5" t="s">
        <v>10767</v>
      </c>
      <c r="C4377" s="5" t="s">
        <v>90</v>
      </c>
      <c r="D4377" s="5" t="s">
        <v>91</v>
      </c>
      <c r="E4377" s="5" t="s">
        <v>823</v>
      </c>
      <c r="F4377" s="9">
        <v>94</v>
      </c>
      <c r="G4377" s="9">
        <v>1164</v>
      </c>
      <c r="H4377" s="5" t="s">
        <v>21</v>
      </c>
      <c r="I4377" s="5" t="s">
        <v>10768</v>
      </c>
      <c r="J4377" s="12" t="str">
        <f>HYPERLINK("https://www.boe.es/gazeta/dias/1802/11/19/pdfs/GMD-1802-94.pdf#page=12","Abrir facsímil")</f>
        <v>Abrir facsímil</v>
      </c>
      <c r="K4377" s="15" t="s">
        <v>23</v>
      </c>
    </row>
    <row r="4378" spans="1:11" ht="42" customHeight="1">
      <c r="A4378" s="4" t="s">
        <v>10769</v>
      </c>
      <c r="B4378" s="5" t="s">
        <v>10770</v>
      </c>
      <c r="C4378" s="5" t="s">
        <v>35</v>
      </c>
      <c r="D4378" s="5" t="s">
        <v>36</v>
      </c>
      <c r="E4378" s="5" t="s">
        <v>276</v>
      </c>
      <c r="F4378" s="9">
        <v>75</v>
      </c>
      <c r="G4378" s="9">
        <v>925</v>
      </c>
      <c r="H4378" s="5" t="s">
        <v>21</v>
      </c>
      <c r="I4378" s="5" t="s">
        <v>10771</v>
      </c>
      <c r="J4378" s="12" t="str">
        <f>HYPERLINK("https://www.boe.es/gazeta/dias/1802/09/14/pdfs/GMD-1802-75.pdf#page=9","Abrir facsímil")</f>
        <v>Abrir facsímil</v>
      </c>
      <c r="K4378" s="15" t="s">
        <v>23</v>
      </c>
    </row>
    <row r="4379" spans="1:11" ht="42" customHeight="1">
      <c r="A4379" s="4" t="s">
        <v>10772</v>
      </c>
      <c r="B4379" s="5" t="s">
        <v>10773</v>
      </c>
      <c r="C4379" s="5" t="s">
        <v>29</v>
      </c>
      <c r="D4379" s="5" t="s">
        <v>30</v>
      </c>
      <c r="E4379" s="5" t="s">
        <v>148</v>
      </c>
      <c r="F4379" s="9">
        <v>66</v>
      </c>
      <c r="G4379" s="9">
        <v>801</v>
      </c>
      <c r="H4379" s="5" t="s">
        <v>21</v>
      </c>
      <c r="I4379" s="5" t="s">
        <v>10774</v>
      </c>
      <c r="J4379" s="12" t="str">
        <f>HYPERLINK("https://www.boe.es/gazeta/dias/1802/08/13/pdfs/GMD-1802-66.pdf#page=5","Abrir facsímil")</f>
        <v>Abrir facsímil</v>
      </c>
      <c r="K4379" s="15" t="s">
        <v>23</v>
      </c>
    </row>
    <row r="4380" spans="1:11" ht="42" customHeight="1">
      <c r="A4380" s="4" t="s">
        <v>10775</v>
      </c>
      <c r="B4380" s="5" t="s">
        <v>10776</v>
      </c>
      <c r="C4380" s="5" t="s">
        <v>18</v>
      </c>
      <c r="D4380" s="5" t="s">
        <v>19</v>
      </c>
      <c r="E4380" s="5" t="s">
        <v>20</v>
      </c>
      <c r="F4380" s="9">
        <v>84</v>
      </c>
      <c r="G4380" s="9">
        <v>1041</v>
      </c>
      <c r="H4380" s="5" t="s">
        <v>21</v>
      </c>
      <c r="I4380" s="5" t="s">
        <v>10777</v>
      </c>
      <c r="J4380" s="12" t="str">
        <f>HYPERLINK("https://www.boe.es/gazeta/dias/1802/10/15/pdfs/GMD-1802-84.pdf#page=9","Abrir facsímil")</f>
        <v>Abrir facsímil</v>
      </c>
      <c r="K4380" s="15" t="s">
        <v>23</v>
      </c>
    </row>
    <row r="4381" spans="1:11" ht="42" customHeight="1">
      <c r="A4381" s="4" t="s">
        <v>10778</v>
      </c>
      <c r="B4381" s="5" t="s">
        <v>10778</v>
      </c>
      <c r="C4381" s="5" t="s">
        <v>18</v>
      </c>
      <c r="D4381" s="5" t="s">
        <v>19</v>
      </c>
      <c r="E4381" s="5" t="s">
        <v>20</v>
      </c>
      <c r="F4381" s="9">
        <v>84</v>
      </c>
      <c r="G4381" s="9">
        <v>1041</v>
      </c>
      <c r="H4381" s="5" t="s">
        <v>21</v>
      </c>
      <c r="I4381" s="5" t="s">
        <v>10779</v>
      </c>
      <c r="J4381" s="12" t="str">
        <f>HYPERLINK("https://www.boe.es/gazeta/dias/1802/10/15/pdfs/GMD-1802-84.pdf#page=9","Abrir facsímil")</f>
        <v>Abrir facsímil</v>
      </c>
      <c r="K4381" s="15" t="s">
        <v>23</v>
      </c>
    </row>
    <row r="4382" spans="1:11" ht="42" customHeight="1">
      <c r="A4382" s="4" t="s">
        <v>10780</v>
      </c>
      <c r="B4382" s="5" t="s">
        <v>10780</v>
      </c>
      <c r="C4382" s="5" t="s">
        <v>29</v>
      </c>
      <c r="D4382" s="5" t="s">
        <v>30</v>
      </c>
      <c r="E4382" s="5" t="s">
        <v>82</v>
      </c>
      <c r="F4382" s="9">
        <v>74</v>
      </c>
      <c r="G4382" s="9">
        <v>915</v>
      </c>
      <c r="H4382" s="5" t="s">
        <v>21</v>
      </c>
      <c r="I4382" s="5" t="s">
        <v>10781</v>
      </c>
      <c r="J4382" s="12" t="str">
        <f>HYPERLINK("https://www.boe.es/gazeta/dias/1802/09/10/pdfs/GMD-1802-74.pdf#page=11","Abrir facsímil")</f>
        <v>Abrir facsímil</v>
      </c>
      <c r="K4382" s="15" t="s">
        <v>23</v>
      </c>
    </row>
    <row r="4383" spans="1:11" ht="42" customHeight="1">
      <c r="A4383" s="4" t="s">
        <v>10782</v>
      </c>
      <c r="B4383" s="5" t="s">
        <v>10782</v>
      </c>
      <c r="C4383" s="5" t="s">
        <v>18</v>
      </c>
      <c r="D4383" s="5" t="s">
        <v>19</v>
      </c>
      <c r="E4383" s="5" t="s">
        <v>86</v>
      </c>
      <c r="F4383" s="9">
        <v>26</v>
      </c>
      <c r="G4383" s="9">
        <v>297</v>
      </c>
      <c r="H4383" s="5" t="s">
        <v>21</v>
      </c>
      <c r="I4383" s="5" t="s">
        <v>10783</v>
      </c>
      <c r="J4383" s="12" t="str">
        <f>HYPERLINK("https://www.boe.es/gazeta/dias/1802/03/30/pdfs/GMD-1802-26.pdf#page=9","Abrir facsímil")</f>
        <v>Abrir facsímil</v>
      </c>
      <c r="K4383" s="15" t="s">
        <v>23</v>
      </c>
    </row>
    <row r="4384" spans="1:11" ht="42" customHeight="1">
      <c r="A4384" s="4" t="s">
        <v>10784</v>
      </c>
      <c r="B4384" s="5" t="s">
        <v>10784</v>
      </c>
      <c r="C4384" s="5" t="s">
        <v>35</v>
      </c>
      <c r="D4384" s="5" t="s">
        <v>36</v>
      </c>
      <c r="E4384" s="5" t="s">
        <v>655</v>
      </c>
      <c r="F4384" s="9">
        <v>46</v>
      </c>
      <c r="G4384" s="9">
        <v>549</v>
      </c>
      <c r="H4384" s="5" t="s">
        <v>21</v>
      </c>
      <c r="I4384" s="5" t="s">
        <v>10785</v>
      </c>
      <c r="J4384" s="12" t="str">
        <f>HYPERLINK("https://www.boe.es/gazeta/dias/1802/06/08/pdfs/GMD-1802-46.pdf#page=1","Abrir facsímil")</f>
        <v>Abrir facsímil</v>
      </c>
      <c r="K4384" s="15" t="s">
        <v>23</v>
      </c>
    </row>
    <row r="4385" spans="1:11" ht="42" customHeight="1">
      <c r="A4385" s="4" t="s">
        <v>10786</v>
      </c>
      <c r="B4385" s="5" t="s">
        <v>10786</v>
      </c>
      <c r="C4385" s="5" t="s">
        <v>18</v>
      </c>
      <c r="D4385" s="5" t="s">
        <v>19</v>
      </c>
      <c r="E4385" s="5" t="s">
        <v>655</v>
      </c>
      <c r="F4385" s="9">
        <v>46</v>
      </c>
      <c r="G4385" s="9">
        <v>557</v>
      </c>
      <c r="H4385" s="5" t="s">
        <v>21</v>
      </c>
      <c r="I4385" s="5" t="s">
        <v>10787</v>
      </c>
      <c r="J4385" s="12" t="str">
        <f>HYPERLINK("https://www.boe.es/gazeta/dias/1802/06/08/pdfs/GMD-1802-46.pdf#page=9","Abrir facsímil")</f>
        <v>Abrir facsímil</v>
      </c>
      <c r="K4385" s="15" t="s">
        <v>23</v>
      </c>
    </row>
    <row r="4386" spans="1:11" ht="42" customHeight="1">
      <c r="A4386" s="4" t="s">
        <v>10788</v>
      </c>
      <c r="B4386" s="5" t="s">
        <v>10789</v>
      </c>
      <c r="C4386" s="5" t="s">
        <v>35</v>
      </c>
      <c r="D4386" s="5" t="s">
        <v>36</v>
      </c>
      <c r="E4386" s="5" t="s">
        <v>276</v>
      </c>
      <c r="F4386" s="9">
        <v>75</v>
      </c>
      <c r="G4386" s="9">
        <v>925</v>
      </c>
      <c r="H4386" s="5" t="s">
        <v>21</v>
      </c>
      <c r="I4386" s="5" t="s">
        <v>10790</v>
      </c>
      <c r="J4386" s="12" t="str">
        <f>HYPERLINK("https://www.boe.es/gazeta/dias/1802/09/14/pdfs/GMD-1802-75.pdf#page=9","Abrir facsímil")</f>
        <v>Abrir facsímil</v>
      </c>
      <c r="K4386" s="15" t="s">
        <v>23</v>
      </c>
    </row>
    <row r="4387" spans="1:11" ht="42" customHeight="1">
      <c r="A4387" s="4" t="s">
        <v>10791</v>
      </c>
      <c r="B4387" s="5" t="s">
        <v>10791</v>
      </c>
      <c r="C4387" s="5" t="s">
        <v>18</v>
      </c>
      <c r="D4387" s="5" t="s">
        <v>19</v>
      </c>
      <c r="E4387" s="5" t="s">
        <v>170</v>
      </c>
      <c r="F4387" s="9">
        <v>28</v>
      </c>
      <c r="G4387" s="9">
        <v>325</v>
      </c>
      <c r="H4387" s="5" t="s">
        <v>21</v>
      </c>
      <c r="I4387" s="5" t="s">
        <v>10792</v>
      </c>
      <c r="J4387" s="12" t="str">
        <f>HYPERLINK("https://www.boe.es/gazeta/dias/1802/04/06/pdfs/GMD-1802-28.pdf#page=5","Abrir facsímil")</f>
        <v>Abrir facsímil</v>
      </c>
      <c r="K4387" s="15" t="s">
        <v>23</v>
      </c>
    </row>
    <row r="4388" spans="1:11" ht="42" customHeight="1">
      <c r="A4388" s="4" t="s">
        <v>10791</v>
      </c>
      <c r="B4388" s="5" t="s">
        <v>10791</v>
      </c>
      <c r="C4388" s="5" t="s">
        <v>18</v>
      </c>
      <c r="D4388" s="5" t="s">
        <v>19</v>
      </c>
      <c r="E4388" s="5" t="s">
        <v>170</v>
      </c>
      <c r="F4388" s="9">
        <v>28</v>
      </c>
      <c r="G4388" s="9">
        <v>326</v>
      </c>
      <c r="H4388" s="5" t="s">
        <v>21</v>
      </c>
      <c r="I4388" s="5" t="s">
        <v>10793</v>
      </c>
      <c r="J4388" s="12" t="str">
        <f>HYPERLINK("https://www.boe.es/gazeta/dias/1802/04/06/pdfs/GMD-1802-28.pdf#page=6","Abrir facsímil")</f>
        <v>Abrir facsímil</v>
      </c>
      <c r="K4388" s="15" t="s">
        <v>23</v>
      </c>
    </row>
    <row r="4389" spans="1:11" ht="42" customHeight="1">
      <c r="A4389" s="4" t="s">
        <v>10791</v>
      </c>
      <c r="B4389" s="5" t="s">
        <v>10791</v>
      </c>
      <c r="C4389" s="5" t="s">
        <v>18</v>
      </c>
      <c r="D4389" s="5" t="s">
        <v>19</v>
      </c>
      <c r="E4389" s="5" t="s">
        <v>170</v>
      </c>
      <c r="F4389" s="9">
        <v>28</v>
      </c>
      <c r="G4389" s="9">
        <v>327</v>
      </c>
      <c r="H4389" s="5" t="s">
        <v>21</v>
      </c>
      <c r="I4389" s="5" t="s">
        <v>10794</v>
      </c>
      <c r="J4389" s="12" t="str">
        <f>HYPERLINK("https://www.boe.es/gazeta/dias/1802/04/06/pdfs/GMD-1802-28.pdf#page=7","Abrir facsímil")</f>
        <v>Abrir facsímil</v>
      </c>
      <c r="K4389" s="15" t="s">
        <v>23</v>
      </c>
    </row>
    <row r="4390" spans="1:11" ht="42" customHeight="1">
      <c r="A4390" s="4" t="s">
        <v>10791</v>
      </c>
      <c r="B4390" s="5" t="s">
        <v>10791</v>
      </c>
      <c r="C4390" s="5" t="s">
        <v>35</v>
      </c>
      <c r="D4390" s="5" t="s">
        <v>36</v>
      </c>
      <c r="E4390" s="5" t="s">
        <v>1829</v>
      </c>
      <c r="F4390" s="9">
        <v>32</v>
      </c>
      <c r="G4390" s="9">
        <v>375</v>
      </c>
      <c r="H4390" s="5" t="s">
        <v>21</v>
      </c>
      <c r="I4390" s="5" t="s">
        <v>10795</v>
      </c>
      <c r="J4390" s="12" t="str">
        <f>HYPERLINK("https://www.boe.es/gazeta/dias/1802/04/20/pdfs/GMD-1802-32.pdf#page=7","Abrir facsímil")</f>
        <v>Abrir facsímil</v>
      </c>
      <c r="K4390" s="15" t="s">
        <v>23</v>
      </c>
    </row>
    <row r="4391" spans="1:11" ht="42" customHeight="1">
      <c r="A4391" s="4" t="s">
        <v>10791</v>
      </c>
      <c r="B4391" s="5" t="s">
        <v>10791</v>
      </c>
      <c r="C4391" s="5" t="s">
        <v>35</v>
      </c>
      <c r="D4391" s="5" t="s">
        <v>36</v>
      </c>
      <c r="E4391" s="5" t="s">
        <v>133</v>
      </c>
      <c r="F4391" s="9">
        <v>33</v>
      </c>
      <c r="G4391" s="9">
        <v>386</v>
      </c>
      <c r="H4391" s="5" t="s">
        <v>21</v>
      </c>
      <c r="I4391" s="5" t="s">
        <v>10796</v>
      </c>
      <c r="J4391" s="12" t="str">
        <f>HYPERLINK("https://www.boe.es/gazeta/dias/1802/04/23/pdfs/GMD-1802-33.pdf#page=6","Abrir facsímil")</f>
        <v>Abrir facsímil</v>
      </c>
      <c r="K4391" s="15" t="s">
        <v>23</v>
      </c>
    </row>
    <row r="4392" spans="1:11" ht="42" customHeight="1">
      <c r="A4392" s="4" t="s">
        <v>10797</v>
      </c>
      <c r="B4392" s="5" t="s">
        <v>10798</v>
      </c>
      <c r="C4392" s="5" t="s">
        <v>18</v>
      </c>
      <c r="D4392" s="5" t="s">
        <v>19</v>
      </c>
      <c r="E4392" s="5" t="s">
        <v>49</v>
      </c>
      <c r="F4392" s="9">
        <v>83</v>
      </c>
      <c r="G4392" s="9">
        <v>1023</v>
      </c>
      <c r="H4392" s="5" t="s">
        <v>21</v>
      </c>
      <c r="I4392" s="5" t="s">
        <v>10799</v>
      </c>
      <c r="J4392" s="12" t="str">
        <f>HYPERLINK("https://www.boe.es/gazeta/dias/1802/10/12/pdfs/GMD-1802-83.pdf#page=11","Abrir facsímil")</f>
        <v>Abrir facsímil</v>
      </c>
      <c r="K4392" s="15" t="s">
        <v>23</v>
      </c>
    </row>
    <row r="4393" spans="1:11" ht="42" customHeight="1">
      <c r="A4393" s="4" t="s">
        <v>10797</v>
      </c>
      <c r="B4393" s="5" t="s">
        <v>10798</v>
      </c>
      <c r="C4393" s="5" t="s">
        <v>29</v>
      </c>
      <c r="D4393" s="5" t="s">
        <v>30</v>
      </c>
      <c r="E4393" s="5" t="s">
        <v>757</v>
      </c>
      <c r="F4393" s="9">
        <v>104</v>
      </c>
      <c r="G4393" s="9">
        <v>1271</v>
      </c>
      <c r="H4393" s="5" t="s">
        <v>21</v>
      </c>
      <c r="I4393" s="5" t="s">
        <v>10800</v>
      </c>
      <c r="J4393" s="12" t="str">
        <f>HYPERLINK("https://www.boe.es/gazeta/dias/1802/12/24/pdfs/GMD-1802-104.pdf#page=7","Abrir facsímil")</f>
        <v>Abrir facsímil</v>
      </c>
      <c r="K4393" s="15" t="s">
        <v>23</v>
      </c>
    </row>
    <row r="4394" spans="1:11" ht="42" customHeight="1">
      <c r="A4394" s="4" t="s">
        <v>10801</v>
      </c>
      <c r="B4394" s="5" t="s">
        <v>10802</v>
      </c>
      <c r="C4394" s="5" t="s">
        <v>18</v>
      </c>
      <c r="D4394" s="5" t="s">
        <v>19</v>
      </c>
      <c r="E4394" s="5" t="s">
        <v>20</v>
      </c>
      <c r="F4394" s="9">
        <v>84</v>
      </c>
      <c r="G4394" s="9">
        <v>1044</v>
      </c>
      <c r="H4394" s="5" t="s">
        <v>21</v>
      </c>
      <c r="I4394" s="5" t="s">
        <v>10803</v>
      </c>
      <c r="J4394" s="12" t="str">
        <f>HYPERLINK("https://www.boe.es/gazeta/dias/1802/10/15/pdfs/GMD-1802-84.pdf#page=12","Abrir facsímil")</f>
        <v>Abrir facsímil</v>
      </c>
      <c r="K4394" s="15" t="s">
        <v>23</v>
      </c>
    </row>
    <row r="4395" spans="1:11" ht="42" customHeight="1">
      <c r="A4395" s="4" t="s">
        <v>10804</v>
      </c>
      <c r="B4395" s="5" t="s">
        <v>10805</v>
      </c>
      <c r="C4395" s="5" t="s">
        <v>18</v>
      </c>
      <c r="D4395" s="5" t="s">
        <v>19</v>
      </c>
      <c r="E4395" s="5" t="s">
        <v>170</v>
      </c>
      <c r="F4395" s="9">
        <v>28</v>
      </c>
      <c r="G4395" s="9">
        <v>326</v>
      </c>
      <c r="H4395" s="5" t="s">
        <v>21</v>
      </c>
      <c r="I4395" s="5" t="s">
        <v>10806</v>
      </c>
      <c r="J4395" s="12" t="str">
        <f>HYPERLINK("https://www.boe.es/gazeta/dias/1802/04/06/pdfs/GMD-1802-28.pdf#page=6","Abrir facsímil")</f>
        <v>Abrir facsímil</v>
      </c>
      <c r="K4395" s="15" t="s">
        <v>23</v>
      </c>
    </row>
    <row r="4396" spans="1:11" ht="42" customHeight="1">
      <c r="A4396" s="4" t="s">
        <v>10807</v>
      </c>
      <c r="B4396" s="5" t="s">
        <v>10808</v>
      </c>
      <c r="C4396" s="5" t="s">
        <v>18</v>
      </c>
      <c r="D4396" s="5" t="s">
        <v>19</v>
      </c>
      <c r="E4396" s="5" t="s">
        <v>196</v>
      </c>
      <c r="F4396" s="9">
        <v>2</v>
      </c>
      <c r="G4396" s="9">
        <v>14</v>
      </c>
      <c r="H4396" s="5" t="s">
        <v>21</v>
      </c>
      <c r="I4396" s="5" t="s">
        <v>10809</v>
      </c>
      <c r="J4396" s="12" t="str">
        <f>HYPERLINK("https://www.boe.es/gazeta/dias/1802/01/05/pdfs/GMD-1802-2.pdf#page=6","Abrir facsímil")</f>
        <v>Abrir facsímil</v>
      </c>
      <c r="K4396" s="15" t="s">
        <v>23</v>
      </c>
    </row>
    <row r="4397" spans="1:11" ht="42" customHeight="1">
      <c r="A4397" s="4" t="s">
        <v>10807</v>
      </c>
      <c r="B4397" s="5" t="s">
        <v>10808</v>
      </c>
      <c r="C4397" s="5" t="s">
        <v>35</v>
      </c>
      <c r="D4397" s="5" t="s">
        <v>36</v>
      </c>
      <c r="E4397" s="5" t="s">
        <v>31</v>
      </c>
      <c r="F4397" s="9">
        <v>27</v>
      </c>
      <c r="G4397" s="9">
        <v>314</v>
      </c>
      <c r="H4397" s="5" t="s">
        <v>21</v>
      </c>
      <c r="I4397" s="5" t="s">
        <v>10810</v>
      </c>
      <c r="J4397" s="12" t="str">
        <f>HYPERLINK("https://www.boe.es/gazeta/dias/1802/04/02/pdfs/GMD-1802-27.pdf#page=10","Abrir facsímil")</f>
        <v>Abrir facsímil</v>
      </c>
      <c r="K4397" s="15" t="s">
        <v>23</v>
      </c>
    </row>
    <row r="4398" spans="1:11" ht="42" customHeight="1">
      <c r="A4398" s="4" t="s">
        <v>10807</v>
      </c>
      <c r="B4398" s="5" t="s">
        <v>10808</v>
      </c>
      <c r="C4398" s="5" t="s">
        <v>35</v>
      </c>
      <c r="D4398" s="5" t="s">
        <v>36</v>
      </c>
      <c r="E4398" s="5" t="s">
        <v>31</v>
      </c>
      <c r="F4398" s="9">
        <v>27</v>
      </c>
      <c r="G4398" s="9">
        <v>315</v>
      </c>
      <c r="H4398" s="5" t="s">
        <v>21</v>
      </c>
      <c r="I4398" s="5" t="s">
        <v>10811</v>
      </c>
      <c r="J4398" s="12" t="str">
        <f>HYPERLINK("https://www.boe.es/gazeta/dias/1802/04/02/pdfs/GMD-1802-27.pdf#page=11","Abrir facsímil")</f>
        <v>Abrir facsímil</v>
      </c>
      <c r="K4398" s="15" t="s">
        <v>23</v>
      </c>
    </row>
    <row r="4399" spans="1:11" ht="42" customHeight="1">
      <c r="A4399" s="4" t="s">
        <v>10807</v>
      </c>
      <c r="B4399" s="5" t="s">
        <v>10808</v>
      </c>
      <c r="C4399" s="5" t="s">
        <v>18</v>
      </c>
      <c r="D4399" s="5" t="s">
        <v>19</v>
      </c>
      <c r="E4399" s="5" t="s">
        <v>170</v>
      </c>
      <c r="F4399" s="9">
        <v>28</v>
      </c>
      <c r="G4399" s="9">
        <v>326</v>
      </c>
      <c r="H4399" s="5" t="s">
        <v>21</v>
      </c>
      <c r="I4399" s="5" t="s">
        <v>10812</v>
      </c>
      <c r="J4399" s="12" t="str">
        <f>HYPERLINK("https://www.boe.es/gazeta/dias/1802/04/06/pdfs/GMD-1802-28.pdf#page=6","Abrir facsímil")</f>
        <v>Abrir facsímil</v>
      </c>
      <c r="K4399" s="15" t="s">
        <v>23</v>
      </c>
    </row>
    <row r="4400" spans="1:11" ht="42" customHeight="1">
      <c r="A4400" s="4" t="s">
        <v>10807</v>
      </c>
      <c r="B4400" s="5" t="s">
        <v>10808</v>
      </c>
      <c r="C4400" s="5" t="s">
        <v>160</v>
      </c>
      <c r="D4400" s="5" t="s">
        <v>91</v>
      </c>
      <c r="E4400" s="5" t="s">
        <v>170</v>
      </c>
      <c r="F4400" s="9">
        <v>28</v>
      </c>
      <c r="G4400" s="9">
        <v>329</v>
      </c>
      <c r="H4400" s="5" t="s">
        <v>21</v>
      </c>
      <c r="I4400" s="5" t="s">
        <v>10813</v>
      </c>
      <c r="J4400" s="12" t="str">
        <f>HYPERLINK("https://www.boe.es/gazeta/dias/1802/04/06/pdfs/GMD-1802-28.pdf#page=9","Abrir facsímil")</f>
        <v>Abrir facsímil</v>
      </c>
      <c r="K4400" s="15" t="s">
        <v>23</v>
      </c>
    </row>
    <row r="4401" spans="1:11" ht="42" customHeight="1">
      <c r="A4401" s="4" t="s">
        <v>10807</v>
      </c>
      <c r="B4401" s="5" t="s">
        <v>10808</v>
      </c>
      <c r="C4401" s="5" t="s">
        <v>35</v>
      </c>
      <c r="D4401" s="5" t="s">
        <v>36</v>
      </c>
      <c r="E4401" s="5" t="s">
        <v>92</v>
      </c>
      <c r="F4401" s="9">
        <v>29</v>
      </c>
      <c r="G4401" s="9">
        <v>339</v>
      </c>
      <c r="H4401" s="5" t="s">
        <v>21</v>
      </c>
      <c r="I4401" s="5" t="s">
        <v>10814</v>
      </c>
      <c r="J4401" s="12" t="str">
        <f>HYPERLINK("https://www.boe.es/gazeta/dias/1802/04/09/pdfs/GMD-1802-29.pdf#page=7","Abrir facsímil")</f>
        <v>Abrir facsímil</v>
      </c>
      <c r="K4401" s="15" t="s">
        <v>23</v>
      </c>
    </row>
    <row r="4402" spans="1:11" ht="42" customHeight="1">
      <c r="A4402" s="4" t="s">
        <v>10807</v>
      </c>
      <c r="B4402" s="5" t="s">
        <v>10808</v>
      </c>
      <c r="C4402" s="5" t="s">
        <v>29</v>
      </c>
      <c r="D4402" s="5" t="s">
        <v>30</v>
      </c>
      <c r="E4402" s="5" t="s">
        <v>1829</v>
      </c>
      <c r="F4402" s="9">
        <v>32</v>
      </c>
      <c r="G4402" s="9">
        <v>376</v>
      </c>
      <c r="H4402" s="5" t="s">
        <v>21</v>
      </c>
      <c r="I4402" s="5" t="s">
        <v>10815</v>
      </c>
      <c r="J4402" s="12" t="str">
        <f>HYPERLINK("https://www.boe.es/gazeta/dias/1802/04/20/pdfs/GMD-1802-32.pdf#page=8","Abrir facsímil")</f>
        <v>Abrir facsímil</v>
      </c>
      <c r="K4402" s="15" t="s">
        <v>23</v>
      </c>
    </row>
    <row r="4403" spans="1:11" ht="42" customHeight="1">
      <c r="A4403" s="4" t="s">
        <v>10807</v>
      </c>
      <c r="B4403" s="5" t="s">
        <v>10808</v>
      </c>
      <c r="C4403" s="5" t="s">
        <v>35</v>
      </c>
      <c r="D4403" s="5" t="s">
        <v>36</v>
      </c>
      <c r="E4403" s="5" t="s">
        <v>1829</v>
      </c>
      <c r="F4403" s="9">
        <v>32</v>
      </c>
      <c r="G4403" s="9">
        <v>377</v>
      </c>
      <c r="H4403" s="5" t="s">
        <v>21</v>
      </c>
      <c r="I4403" s="5" t="s">
        <v>10816</v>
      </c>
      <c r="J4403" s="12" t="str">
        <f>HYPERLINK("https://www.boe.es/gazeta/dias/1802/04/20/pdfs/GMD-1802-32.pdf#page=9","Abrir facsímil")</f>
        <v>Abrir facsímil</v>
      </c>
      <c r="K4403" s="15" t="s">
        <v>23</v>
      </c>
    </row>
    <row r="4404" spans="1:11" ht="42" customHeight="1">
      <c r="A4404" s="4" t="s">
        <v>10807</v>
      </c>
      <c r="B4404" s="5" t="s">
        <v>10808</v>
      </c>
      <c r="C4404" s="5" t="s">
        <v>29</v>
      </c>
      <c r="D4404" s="5" t="s">
        <v>30</v>
      </c>
      <c r="E4404" s="5" t="s">
        <v>172</v>
      </c>
      <c r="F4404" s="9">
        <v>35</v>
      </c>
      <c r="G4404" s="9">
        <v>411</v>
      </c>
      <c r="H4404" s="5" t="s">
        <v>21</v>
      </c>
      <c r="I4404" s="5" t="s">
        <v>10817</v>
      </c>
      <c r="J4404" s="12" t="str">
        <f>HYPERLINK("https://www.boe.es/gazeta/dias/1802/04/30/pdfs/GMD-1802-35.pdf#page=11","Abrir facsímil")</f>
        <v>Abrir facsímil</v>
      </c>
      <c r="K4404" s="15" t="s">
        <v>23</v>
      </c>
    </row>
    <row r="4405" spans="1:11" ht="42" customHeight="1">
      <c r="A4405" s="4" t="s">
        <v>10807</v>
      </c>
      <c r="B4405" s="5" t="s">
        <v>10808</v>
      </c>
      <c r="C4405" s="5" t="s">
        <v>160</v>
      </c>
      <c r="D4405" s="5" t="s">
        <v>91</v>
      </c>
      <c r="E4405" s="5" t="s">
        <v>590</v>
      </c>
      <c r="F4405" s="9">
        <v>38</v>
      </c>
      <c r="G4405" s="9">
        <v>448</v>
      </c>
      <c r="H4405" s="5" t="s">
        <v>21</v>
      </c>
      <c r="I4405" s="5" t="s">
        <v>10818</v>
      </c>
      <c r="J4405" s="12" t="str">
        <f>HYPERLINK("https://www.boe.es/gazeta/dias/1802/05/11/pdfs/GMD-1802-38.pdf#page=4","Abrir facsímil")</f>
        <v>Abrir facsímil</v>
      </c>
      <c r="K4405" s="15" t="s">
        <v>23</v>
      </c>
    </row>
    <row r="4406" spans="1:11" ht="42" customHeight="1">
      <c r="A4406" s="4" t="s">
        <v>10807</v>
      </c>
      <c r="B4406" s="5" t="s">
        <v>10808</v>
      </c>
      <c r="C4406" s="5" t="s">
        <v>35</v>
      </c>
      <c r="D4406" s="5" t="s">
        <v>36</v>
      </c>
      <c r="E4406" s="5" t="s">
        <v>339</v>
      </c>
      <c r="F4406" s="9">
        <v>39</v>
      </c>
      <c r="G4406" s="9">
        <v>465</v>
      </c>
      <c r="H4406" s="5" t="s">
        <v>21</v>
      </c>
      <c r="I4406" s="5" t="s">
        <v>10819</v>
      </c>
      <c r="J4406" s="12" t="str">
        <f>HYPERLINK("https://www.boe.es/gazeta/dias/1802/05/14/pdfs/GMD-1802-39.pdf#page=9","Abrir facsímil")</f>
        <v>Abrir facsímil</v>
      </c>
      <c r="K4406" s="15" t="s">
        <v>23</v>
      </c>
    </row>
    <row r="4407" spans="1:11" ht="42" customHeight="1">
      <c r="A4407" s="4" t="s">
        <v>10807</v>
      </c>
      <c r="B4407" s="5" t="s">
        <v>10808</v>
      </c>
      <c r="C4407" s="5" t="s">
        <v>29</v>
      </c>
      <c r="D4407" s="5" t="s">
        <v>30</v>
      </c>
      <c r="E4407" s="5" t="s">
        <v>670</v>
      </c>
      <c r="F4407" s="9">
        <v>40</v>
      </c>
      <c r="G4407" s="9">
        <v>477</v>
      </c>
      <c r="H4407" s="5" t="s">
        <v>21</v>
      </c>
      <c r="I4407" s="5" t="s">
        <v>10820</v>
      </c>
      <c r="J4407" s="12" t="str">
        <f>HYPERLINK("https://www.boe.es/gazeta/dias/1802/05/18/pdfs/GMD-1802-40.pdf#page=5","Abrir facsímil")</f>
        <v>Abrir facsímil</v>
      </c>
      <c r="K4407" s="15" t="s">
        <v>23</v>
      </c>
    </row>
    <row r="4408" spans="1:11" ht="42" customHeight="1">
      <c r="A4408" s="4" t="s">
        <v>10807</v>
      </c>
      <c r="B4408" s="5" t="s">
        <v>10808</v>
      </c>
      <c r="C4408" s="5" t="s">
        <v>35</v>
      </c>
      <c r="D4408" s="5" t="s">
        <v>36</v>
      </c>
      <c r="E4408" s="5" t="s">
        <v>655</v>
      </c>
      <c r="F4408" s="9">
        <v>46</v>
      </c>
      <c r="G4408" s="9">
        <v>549</v>
      </c>
      <c r="H4408" s="5" t="s">
        <v>21</v>
      </c>
      <c r="I4408" s="5" t="s">
        <v>10821</v>
      </c>
      <c r="J4408" s="12" t="str">
        <f>HYPERLINK("https://www.boe.es/gazeta/dias/1802/06/08/pdfs/GMD-1802-46.pdf#page=1","Abrir facsímil")</f>
        <v>Abrir facsímil</v>
      </c>
      <c r="K4408" s="15" t="s">
        <v>23</v>
      </c>
    </row>
    <row r="4409" spans="1:11" ht="42" customHeight="1">
      <c r="A4409" s="4" t="s">
        <v>10807</v>
      </c>
      <c r="B4409" s="5" t="s">
        <v>10808</v>
      </c>
      <c r="C4409" s="5" t="s">
        <v>18</v>
      </c>
      <c r="D4409" s="5" t="s">
        <v>19</v>
      </c>
      <c r="E4409" s="5" t="s">
        <v>530</v>
      </c>
      <c r="F4409" s="9">
        <v>48</v>
      </c>
      <c r="G4409" s="9">
        <v>583</v>
      </c>
      <c r="H4409" s="5" t="s">
        <v>21</v>
      </c>
      <c r="I4409" s="5" t="s">
        <v>10822</v>
      </c>
      <c r="J4409" s="12" t="str">
        <f>HYPERLINK("https://www.boe.es/gazeta/dias/1802/06/15/pdfs/GMD-1802-48.pdf#page=7","Abrir facsímil")</f>
        <v>Abrir facsímil</v>
      </c>
      <c r="K4409" s="15" t="s">
        <v>23</v>
      </c>
    </row>
    <row r="4410" spans="1:11" ht="42" customHeight="1">
      <c r="A4410" s="4" t="s">
        <v>10807</v>
      </c>
      <c r="B4410" s="5" t="s">
        <v>10808</v>
      </c>
      <c r="C4410" s="5" t="s">
        <v>35</v>
      </c>
      <c r="D4410" s="5" t="s">
        <v>36</v>
      </c>
      <c r="E4410" s="5" t="s">
        <v>921</v>
      </c>
      <c r="F4410" s="9">
        <v>50</v>
      </c>
      <c r="G4410" s="9">
        <v>606</v>
      </c>
      <c r="H4410" s="5" t="s">
        <v>21</v>
      </c>
      <c r="I4410" s="5" t="s">
        <v>10823</v>
      </c>
      <c r="J4410" s="12" t="str">
        <f>HYPERLINK("https://www.boe.es/gazeta/dias/1802/06/22/pdfs/GMD-1802-50.pdf#page=6","Abrir facsímil")</f>
        <v>Abrir facsímil</v>
      </c>
      <c r="K4410" s="15" t="s">
        <v>23</v>
      </c>
    </row>
    <row r="4411" spans="1:11" ht="42" customHeight="1">
      <c r="A4411" s="4" t="s">
        <v>10807</v>
      </c>
      <c r="B4411" s="5" t="s">
        <v>10808</v>
      </c>
      <c r="C4411" s="5" t="s">
        <v>35</v>
      </c>
      <c r="D4411" s="5" t="s">
        <v>36</v>
      </c>
      <c r="E4411" s="5" t="s">
        <v>642</v>
      </c>
      <c r="F4411" s="9">
        <v>51</v>
      </c>
      <c r="G4411" s="9">
        <v>621</v>
      </c>
      <c r="H4411" s="5" t="s">
        <v>21</v>
      </c>
      <c r="I4411" s="5" t="s">
        <v>10824</v>
      </c>
      <c r="J4411" s="12" t="str">
        <f>HYPERLINK("https://www.boe.es/gazeta/dias/1802/06/25/pdfs/GMD-1802-51.pdf#page=9","Abrir facsímil")</f>
        <v>Abrir facsímil</v>
      </c>
      <c r="K4411" s="15" t="s">
        <v>23</v>
      </c>
    </row>
    <row r="4412" spans="1:11" ht="42" customHeight="1">
      <c r="A4412" s="4" t="s">
        <v>10807</v>
      </c>
      <c r="B4412" s="5" t="s">
        <v>10808</v>
      </c>
      <c r="C4412" s="5" t="s">
        <v>35</v>
      </c>
      <c r="D4412" s="5" t="s">
        <v>36</v>
      </c>
      <c r="E4412" s="5" t="s">
        <v>192</v>
      </c>
      <c r="F4412" s="9">
        <v>53</v>
      </c>
      <c r="G4412" s="9">
        <v>640</v>
      </c>
      <c r="H4412" s="5" t="s">
        <v>21</v>
      </c>
      <c r="I4412" s="5" t="s">
        <v>10825</v>
      </c>
      <c r="J4412" s="12" t="str">
        <f>HYPERLINK("https://www.boe.es/gazeta/dias/1802/07/02/pdfs/GMD-1802-53.pdf#page=8","Abrir facsímil")</f>
        <v>Abrir facsímil</v>
      </c>
      <c r="K4412" s="15" t="s">
        <v>23</v>
      </c>
    </row>
    <row r="4413" spans="1:11" ht="42" customHeight="1">
      <c r="A4413" s="4" t="s">
        <v>10807</v>
      </c>
      <c r="B4413" s="5" t="s">
        <v>10808</v>
      </c>
      <c r="C4413" s="5" t="s">
        <v>35</v>
      </c>
      <c r="D4413" s="5" t="s">
        <v>36</v>
      </c>
      <c r="E4413" s="5" t="s">
        <v>57</v>
      </c>
      <c r="F4413" s="9">
        <v>54</v>
      </c>
      <c r="G4413" s="9">
        <v>650</v>
      </c>
      <c r="H4413" s="5" t="s">
        <v>21</v>
      </c>
      <c r="I4413" s="5" t="s">
        <v>10826</v>
      </c>
      <c r="J4413" s="12" t="str">
        <f>HYPERLINK("https://www.boe.es/gazeta/dias/1802/07/06/pdfs/GMD-1802-54.pdf#page=6","Abrir facsímil")</f>
        <v>Abrir facsímil</v>
      </c>
      <c r="K4413" s="15" t="s">
        <v>23</v>
      </c>
    </row>
    <row r="4414" spans="1:11" ht="42" customHeight="1">
      <c r="A4414" s="4" t="s">
        <v>10807</v>
      </c>
      <c r="B4414" s="5" t="s">
        <v>10808</v>
      </c>
      <c r="C4414" s="5" t="s">
        <v>35</v>
      </c>
      <c r="D4414" s="5" t="s">
        <v>36</v>
      </c>
      <c r="E4414" s="5" t="s">
        <v>57</v>
      </c>
      <c r="F4414" s="9">
        <v>54</v>
      </c>
      <c r="G4414" s="9">
        <v>652</v>
      </c>
      <c r="H4414" s="5" t="s">
        <v>21</v>
      </c>
      <c r="I4414" s="5" t="s">
        <v>10827</v>
      </c>
      <c r="J4414" s="12" t="str">
        <f>HYPERLINK("https://www.boe.es/gazeta/dias/1802/07/06/pdfs/GMD-1802-54.pdf#page=8","Abrir facsímil")</f>
        <v>Abrir facsímil</v>
      </c>
      <c r="K4414" s="15" t="s">
        <v>23</v>
      </c>
    </row>
    <row r="4415" spans="1:11" ht="42" customHeight="1">
      <c r="A4415" s="4" t="s">
        <v>10807</v>
      </c>
      <c r="B4415" s="5" t="s">
        <v>10808</v>
      </c>
      <c r="C4415" s="5" t="s">
        <v>29</v>
      </c>
      <c r="D4415" s="5" t="s">
        <v>30</v>
      </c>
      <c r="E4415" s="5" t="s">
        <v>258</v>
      </c>
      <c r="F4415" s="9">
        <v>63</v>
      </c>
      <c r="G4415" s="9">
        <v>767</v>
      </c>
      <c r="H4415" s="5" t="s">
        <v>21</v>
      </c>
      <c r="I4415" s="5" t="s">
        <v>10828</v>
      </c>
      <c r="J4415" s="12" t="str">
        <f>HYPERLINK("https://www.boe.es/gazeta/dias/1802/08/03/pdfs/GMD-1802-63.pdf#page=7","Abrir facsímil")</f>
        <v>Abrir facsímil</v>
      </c>
      <c r="K4415" s="15" t="s">
        <v>23</v>
      </c>
    </row>
    <row r="4416" spans="1:11" ht="42" customHeight="1">
      <c r="A4416" s="4" t="s">
        <v>10807</v>
      </c>
      <c r="B4416" s="5" t="s">
        <v>10808</v>
      </c>
      <c r="C4416" s="5" t="s">
        <v>35</v>
      </c>
      <c r="D4416" s="5" t="s">
        <v>36</v>
      </c>
      <c r="E4416" s="5" t="s">
        <v>1374</v>
      </c>
      <c r="F4416" s="9">
        <v>71</v>
      </c>
      <c r="G4416" s="9">
        <v>872</v>
      </c>
      <c r="H4416" s="5" t="s">
        <v>21</v>
      </c>
      <c r="I4416" s="5" t="s">
        <v>10829</v>
      </c>
      <c r="J4416" s="12" t="str">
        <f>HYPERLINK("https://www.boe.es/gazeta/dias/1802/08/31/pdfs/GMD-1802-71.pdf#page=8","Abrir facsímil")</f>
        <v>Abrir facsímil</v>
      </c>
      <c r="K4416" s="15" t="s">
        <v>23</v>
      </c>
    </row>
    <row r="4417" spans="1:11" ht="42" customHeight="1">
      <c r="A4417" s="4" t="s">
        <v>10807</v>
      </c>
      <c r="B4417" s="5" t="s">
        <v>10808</v>
      </c>
      <c r="C4417" s="5" t="s">
        <v>90</v>
      </c>
      <c r="D4417" s="5" t="s">
        <v>91</v>
      </c>
      <c r="E4417" s="5" t="s">
        <v>276</v>
      </c>
      <c r="F4417" s="9">
        <v>75</v>
      </c>
      <c r="G4417" s="9">
        <v>925</v>
      </c>
      <c r="H4417" s="5" t="s">
        <v>21</v>
      </c>
      <c r="I4417" s="5" t="s">
        <v>10830</v>
      </c>
      <c r="J4417" s="12" t="str">
        <f>HYPERLINK("https://www.boe.es/gazeta/dias/1802/09/14/pdfs/GMD-1802-75.pdf#page=9","Abrir facsímil")</f>
        <v>Abrir facsímil</v>
      </c>
      <c r="K4417" s="15" t="s">
        <v>23</v>
      </c>
    </row>
    <row r="4418" spans="1:11" ht="42" customHeight="1">
      <c r="A4418" s="4" t="s">
        <v>10807</v>
      </c>
      <c r="B4418" s="5" t="s">
        <v>10808</v>
      </c>
      <c r="C4418" s="5" t="s">
        <v>18</v>
      </c>
      <c r="D4418" s="5" t="s">
        <v>19</v>
      </c>
      <c r="E4418" s="5" t="s">
        <v>439</v>
      </c>
      <c r="F4418" s="9">
        <v>76</v>
      </c>
      <c r="G4418" s="9">
        <v>937</v>
      </c>
      <c r="H4418" s="5" t="s">
        <v>21</v>
      </c>
      <c r="I4418" s="5" t="s">
        <v>10831</v>
      </c>
      <c r="J4418" s="12" t="str">
        <f>HYPERLINK("https://www.boe.es/gazeta/dias/1802/09/17/pdfs/GMD-1802-76.pdf#page=9","Abrir facsímil")</f>
        <v>Abrir facsímil</v>
      </c>
      <c r="K4418" s="15" t="s">
        <v>23</v>
      </c>
    </row>
    <row r="4419" spans="1:11" ht="42" customHeight="1">
      <c r="A4419" s="4" t="s">
        <v>10807</v>
      </c>
      <c r="B4419" s="5" t="s">
        <v>10808</v>
      </c>
      <c r="C4419" s="5" t="s">
        <v>29</v>
      </c>
      <c r="D4419" s="5" t="s">
        <v>30</v>
      </c>
      <c r="E4419" s="5" t="s">
        <v>325</v>
      </c>
      <c r="F4419" s="9">
        <v>90</v>
      </c>
      <c r="G4419" s="9">
        <v>1116</v>
      </c>
      <c r="H4419" s="5" t="s">
        <v>21</v>
      </c>
      <c r="I4419" s="5" t="s">
        <v>10832</v>
      </c>
      <c r="J4419" s="12" t="str">
        <f>HYPERLINK("https://www.boe.es/gazeta/dias/1802/11/05/pdfs/GMD-1802-90.pdf#page=8","Abrir facsímil")</f>
        <v>Abrir facsímil</v>
      </c>
      <c r="K4419" s="15" t="s">
        <v>23</v>
      </c>
    </row>
    <row r="4420" spans="1:11" ht="42" customHeight="1">
      <c r="A4420" s="4" t="s">
        <v>10807</v>
      </c>
      <c r="B4420" s="5" t="s">
        <v>10808</v>
      </c>
      <c r="C4420" s="5" t="s">
        <v>29</v>
      </c>
      <c r="D4420" s="5" t="s">
        <v>30</v>
      </c>
      <c r="E4420" s="5" t="s">
        <v>751</v>
      </c>
      <c r="F4420" s="9">
        <v>98</v>
      </c>
      <c r="G4420" s="9">
        <v>1212</v>
      </c>
      <c r="H4420" s="5" t="s">
        <v>21</v>
      </c>
      <c r="I4420" s="5" t="s">
        <v>10833</v>
      </c>
      <c r="J4420" s="12" t="str">
        <f>HYPERLINK("https://www.boe.es/gazeta/dias/1802/12/03/pdfs/GMD-1802-98.pdf#page=8","Abrir facsímil")</f>
        <v>Abrir facsímil</v>
      </c>
      <c r="K4420" s="15" t="s">
        <v>23</v>
      </c>
    </row>
    <row r="4421" spans="1:11" ht="42" customHeight="1">
      <c r="A4421" s="4" t="s">
        <v>10834</v>
      </c>
      <c r="B4421" s="5" t="s">
        <v>10835</v>
      </c>
      <c r="C4421" s="5" t="s">
        <v>35</v>
      </c>
      <c r="D4421" s="5" t="s">
        <v>36</v>
      </c>
      <c r="E4421" s="5" t="s">
        <v>142</v>
      </c>
      <c r="F4421" s="9">
        <v>64</v>
      </c>
      <c r="G4421" s="9">
        <v>780</v>
      </c>
      <c r="H4421" s="5" t="s">
        <v>21</v>
      </c>
      <c r="I4421" s="5" t="s">
        <v>10836</v>
      </c>
      <c r="J4421" s="12" t="str">
        <f>HYPERLINK("https://www.boe.es/gazeta/dias/1802/08/06/pdfs/GMD-1802-64.pdf#page=8","Abrir facsímil")</f>
        <v>Abrir facsímil</v>
      </c>
      <c r="K4421" s="15" t="s">
        <v>23</v>
      </c>
    </row>
    <row r="4422" spans="1:11" ht="42" customHeight="1">
      <c r="A4422" s="4" t="s">
        <v>10837</v>
      </c>
      <c r="B4422" s="5" t="s">
        <v>10838</v>
      </c>
      <c r="C4422" s="5" t="s">
        <v>160</v>
      </c>
      <c r="D4422" s="5" t="s">
        <v>91</v>
      </c>
      <c r="E4422" s="5" t="s">
        <v>133</v>
      </c>
      <c r="F4422" s="9">
        <v>33</v>
      </c>
      <c r="G4422" s="9">
        <v>385</v>
      </c>
      <c r="H4422" s="5" t="s">
        <v>21</v>
      </c>
      <c r="I4422" s="5" t="s">
        <v>10839</v>
      </c>
      <c r="J4422" s="12" t="str">
        <f>HYPERLINK("https://www.boe.es/gazeta/dias/1802/04/23/pdfs/GMD-1802-33.pdf#page=5","Abrir facsímil")</f>
        <v>Abrir facsímil</v>
      </c>
      <c r="K4422" s="15" t="s">
        <v>23</v>
      </c>
    </row>
    <row r="4423" spans="1:11" ht="42" customHeight="1">
      <c r="A4423" s="4" t="s">
        <v>10840</v>
      </c>
      <c r="B4423" s="5" t="s">
        <v>10841</v>
      </c>
      <c r="C4423" s="5" t="s">
        <v>35</v>
      </c>
      <c r="D4423" s="5" t="s">
        <v>36</v>
      </c>
      <c r="E4423" s="5" t="s">
        <v>757</v>
      </c>
      <c r="F4423" s="9">
        <v>104</v>
      </c>
      <c r="G4423" s="9">
        <v>1269</v>
      </c>
      <c r="H4423" s="5" t="s">
        <v>21</v>
      </c>
      <c r="I4423" s="5" t="s">
        <v>10842</v>
      </c>
      <c r="J4423" s="12" t="str">
        <f>HYPERLINK("https://www.boe.es/gazeta/dias/1802/12/24/pdfs/GMD-1802-104.pdf#page=5","Abrir facsímil")</f>
        <v>Abrir facsímil</v>
      </c>
      <c r="K4423" s="15" t="s">
        <v>23</v>
      </c>
    </row>
    <row r="4424" spans="1:11" ht="42" customHeight="1">
      <c r="A4424" s="4" t="s">
        <v>10843</v>
      </c>
      <c r="B4424" s="5" t="s">
        <v>10844</v>
      </c>
      <c r="C4424" s="5" t="s">
        <v>29</v>
      </c>
      <c r="D4424" s="5" t="s">
        <v>30</v>
      </c>
      <c r="E4424" s="5" t="s">
        <v>86</v>
      </c>
      <c r="F4424" s="9">
        <v>26</v>
      </c>
      <c r="G4424" s="9">
        <v>294</v>
      </c>
      <c r="H4424" s="5" t="s">
        <v>21</v>
      </c>
      <c r="I4424" s="5" t="s">
        <v>10845</v>
      </c>
      <c r="J4424" s="12" t="str">
        <f>HYPERLINK("https://www.boe.es/gazeta/dias/1802/03/30/pdfs/GMD-1802-26.pdf#page=6","Abrir facsímil")</f>
        <v>Abrir facsímil</v>
      </c>
      <c r="K4424" s="15" t="s">
        <v>23</v>
      </c>
    </row>
    <row r="4425" spans="1:11" ht="42" customHeight="1">
      <c r="A4425" s="4" t="s">
        <v>10846</v>
      </c>
      <c r="B4425" s="5" t="s">
        <v>10847</v>
      </c>
      <c r="C4425" s="5" t="s">
        <v>18</v>
      </c>
      <c r="D4425" s="5" t="s">
        <v>19</v>
      </c>
      <c r="E4425" s="5" t="s">
        <v>152</v>
      </c>
      <c r="F4425" s="9">
        <v>25</v>
      </c>
      <c r="G4425" s="9">
        <v>282</v>
      </c>
      <c r="H4425" s="5" t="s">
        <v>21</v>
      </c>
      <c r="I4425" s="5" t="s">
        <v>10848</v>
      </c>
      <c r="J4425" s="12" t="str">
        <f>HYPERLINK("https://www.boe.es/gazeta/dias/1802/03/26/pdfs/GMD-1802-25.pdf#page=6","Abrir facsímil")</f>
        <v>Abrir facsímil</v>
      </c>
      <c r="K4425" s="15" t="s">
        <v>23</v>
      </c>
    </row>
    <row r="4426" spans="1:11" ht="42" customHeight="1">
      <c r="A4426" s="4" t="s">
        <v>10849</v>
      </c>
      <c r="B4426" s="5" t="s">
        <v>10850</v>
      </c>
      <c r="C4426" s="5" t="s">
        <v>42</v>
      </c>
      <c r="D4426" s="5" t="s">
        <v>43</v>
      </c>
      <c r="E4426" s="5" t="s">
        <v>44</v>
      </c>
      <c r="F4426" s="9">
        <v>99</v>
      </c>
      <c r="G4426" s="9" t="s">
        <v>222</v>
      </c>
      <c r="H4426" s="5" t="s">
        <v>21</v>
      </c>
      <c r="I4426" s="5" t="s">
        <v>10851</v>
      </c>
      <c r="J4426" s="12" t="str">
        <f>HYPERLINK("https://www.boe.es/gazeta/dias/1802/12/07/pdfs/GMD-D-1802-99.pdf#page=5","Abrir facsímil")</f>
        <v>Abrir facsímil</v>
      </c>
      <c r="K4426" s="15" t="s">
        <v>23</v>
      </c>
    </row>
    <row r="4427" spans="1:11" ht="42" customHeight="1">
      <c r="A4427" s="4" t="s">
        <v>10852</v>
      </c>
      <c r="B4427" s="5" t="s">
        <v>10853</v>
      </c>
      <c r="C4427" s="5" t="s">
        <v>35</v>
      </c>
      <c r="D4427" s="5" t="s">
        <v>36</v>
      </c>
      <c r="E4427" s="5" t="s">
        <v>881</v>
      </c>
      <c r="F4427" s="9">
        <v>65</v>
      </c>
      <c r="G4427" s="9">
        <v>789</v>
      </c>
      <c r="H4427" s="5" t="s">
        <v>21</v>
      </c>
      <c r="I4427" s="5" t="s">
        <v>10854</v>
      </c>
      <c r="J4427" s="12" t="str">
        <f>HYPERLINK("https://www.boe.es/gazeta/dias/1802/08/10/pdfs/GMD-1802-65.pdf#page=5","Abrir facsímil")</f>
        <v>Abrir facsímil</v>
      </c>
      <c r="K4427" s="15" t="s">
        <v>23</v>
      </c>
    </row>
    <row r="4428" spans="1:11" ht="42" customHeight="1">
      <c r="A4428" s="4" t="s">
        <v>10852</v>
      </c>
      <c r="B4428" s="5" t="s">
        <v>10853</v>
      </c>
      <c r="C4428" s="5" t="s">
        <v>35</v>
      </c>
      <c r="D4428" s="5" t="s">
        <v>36</v>
      </c>
      <c r="E4428" s="5" t="s">
        <v>754</v>
      </c>
      <c r="F4428" s="9">
        <v>101</v>
      </c>
      <c r="G4428" s="9">
        <v>1241</v>
      </c>
      <c r="H4428" s="5" t="s">
        <v>21</v>
      </c>
      <c r="I4428" s="5" t="s">
        <v>10855</v>
      </c>
      <c r="J4428" s="12" t="str">
        <f>HYPERLINK("https://www.boe.es/gazeta/dias/1802/12/14/pdfs/GMD-1802-101.pdf#page=5","Abrir facsímil")</f>
        <v>Abrir facsímil</v>
      </c>
      <c r="K4428" s="15" t="s">
        <v>23</v>
      </c>
    </row>
    <row r="4429" spans="1:11" ht="42" customHeight="1">
      <c r="A4429" s="4" t="s">
        <v>10856</v>
      </c>
      <c r="B4429" s="5" t="s">
        <v>10857</v>
      </c>
      <c r="C4429" s="5" t="s">
        <v>35</v>
      </c>
      <c r="D4429" s="5" t="s">
        <v>36</v>
      </c>
      <c r="E4429" s="5" t="s">
        <v>188</v>
      </c>
      <c r="F4429" s="9">
        <v>49</v>
      </c>
      <c r="G4429" s="9">
        <v>594</v>
      </c>
      <c r="H4429" s="5" t="s">
        <v>21</v>
      </c>
      <c r="I4429" s="5" t="s">
        <v>10858</v>
      </c>
      <c r="J4429" s="12" t="str">
        <f>HYPERLINK("https://www.boe.es/gazeta/dias/1802/06/18/pdfs/GMD-1802-49.pdf#page=6","Abrir facsímil")</f>
        <v>Abrir facsímil</v>
      </c>
      <c r="K4429" s="15" t="s">
        <v>23</v>
      </c>
    </row>
    <row r="4430" spans="1:11" ht="42" customHeight="1">
      <c r="A4430" s="4" t="s">
        <v>10859</v>
      </c>
      <c r="B4430" s="5" t="s">
        <v>10859</v>
      </c>
      <c r="C4430" s="5" t="s">
        <v>35</v>
      </c>
      <c r="D4430" s="5" t="s">
        <v>36</v>
      </c>
      <c r="E4430" s="5" t="s">
        <v>311</v>
      </c>
      <c r="F4430" s="9">
        <v>88</v>
      </c>
      <c r="G4430" s="9">
        <v>1091</v>
      </c>
      <c r="H4430" s="5" t="s">
        <v>21</v>
      </c>
      <c r="I4430" s="5" t="s">
        <v>10860</v>
      </c>
      <c r="J4430" s="12" t="str">
        <f>HYPERLINK("https://www.boe.es/gazeta/dias/1802/10/29/pdfs/GMD-1802-88.pdf#page=7","Abrir facsímil")</f>
        <v>Abrir facsímil</v>
      </c>
      <c r="K4430" s="15" t="s">
        <v>23</v>
      </c>
    </row>
    <row r="4431" spans="1:11" ht="42" customHeight="1">
      <c r="A4431" s="4" t="s">
        <v>10861</v>
      </c>
      <c r="B4431" s="5" t="s">
        <v>10861</v>
      </c>
      <c r="C4431" s="5" t="s">
        <v>55</v>
      </c>
      <c r="D4431" s="5" t="s">
        <v>56</v>
      </c>
      <c r="E4431" s="5" t="s">
        <v>167</v>
      </c>
      <c r="F4431" s="9">
        <v>23</v>
      </c>
      <c r="G4431" s="9">
        <v>256</v>
      </c>
      <c r="H4431" s="5" t="s">
        <v>21</v>
      </c>
      <c r="I4431" s="5" t="s">
        <v>10862</v>
      </c>
      <c r="J4431" s="12" t="str">
        <f>HYPERLINK("https://www.boe.es/gazeta/dias/1802/03/19/pdfs/GMD-1802-23.pdf#page=4","Abrir facsímil")</f>
        <v>Abrir facsímil</v>
      </c>
      <c r="K4431" s="15" t="s">
        <v>23</v>
      </c>
    </row>
    <row r="4432" spans="1:11" ht="42" customHeight="1">
      <c r="A4432" s="4" t="s">
        <v>10863</v>
      </c>
      <c r="B4432" s="5" t="s">
        <v>10863</v>
      </c>
      <c r="C4432" s="5" t="s">
        <v>90</v>
      </c>
      <c r="D4432" s="5" t="s">
        <v>91</v>
      </c>
      <c r="E4432" s="5" t="s">
        <v>128</v>
      </c>
      <c r="F4432" s="9">
        <v>9</v>
      </c>
      <c r="G4432" s="9">
        <v>87</v>
      </c>
      <c r="H4432" s="5" t="s">
        <v>21</v>
      </c>
      <c r="I4432" s="5" t="s">
        <v>10864</v>
      </c>
      <c r="J4432" s="12" t="str">
        <f>HYPERLINK("https://www.boe.es/gazeta/dias/1802/01/29/pdfs/GMD-1802-9.pdf#page=7","Abrir facsímil")</f>
        <v>Abrir facsímil</v>
      </c>
      <c r="K4432" s="15" t="s">
        <v>23</v>
      </c>
    </row>
    <row r="4433" spans="1:11" ht="42" customHeight="1">
      <c r="A4433" s="4" t="s">
        <v>10865</v>
      </c>
      <c r="B4433" s="5" t="s">
        <v>10865</v>
      </c>
      <c r="C4433" s="5" t="s">
        <v>35</v>
      </c>
      <c r="D4433" s="5" t="s">
        <v>36</v>
      </c>
      <c r="E4433" s="5" t="s">
        <v>1588</v>
      </c>
      <c r="F4433" s="9">
        <v>18</v>
      </c>
      <c r="G4433" s="9">
        <v>191</v>
      </c>
      <c r="H4433" s="5" t="s">
        <v>21</v>
      </c>
      <c r="I4433" s="5" t="s">
        <v>9302</v>
      </c>
      <c r="J4433" s="12" t="str">
        <f>HYPERLINK("https://www.boe.es/gazeta/dias/1802/03/02/pdfs/GMD-1802-18.pdf#page=3","Abrir facsímil")</f>
        <v>Abrir facsímil</v>
      </c>
      <c r="K4433" s="15" t="s">
        <v>23</v>
      </c>
    </row>
    <row r="4434" spans="1:11" ht="42" customHeight="1">
      <c r="A4434" s="4" t="s">
        <v>10866</v>
      </c>
      <c r="B4434" s="5" t="s">
        <v>10867</v>
      </c>
      <c r="C4434" s="5" t="s">
        <v>29</v>
      </c>
      <c r="D4434" s="5" t="s">
        <v>30</v>
      </c>
      <c r="E4434" s="5" t="s">
        <v>311</v>
      </c>
      <c r="F4434" s="9">
        <v>88</v>
      </c>
      <c r="G4434" s="9">
        <v>1089</v>
      </c>
      <c r="H4434" s="5" t="s">
        <v>21</v>
      </c>
      <c r="I4434" s="5" t="s">
        <v>10868</v>
      </c>
      <c r="J4434" s="12" t="str">
        <f>HYPERLINK("https://www.boe.es/gazeta/dias/1802/10/29/pdfs/GMD-1802-88.pdf#page=5","Abrir facsímil")</f>
        <v>Abrir facsímil</v>
      </c>
      <c r="K4434" s="15" t="s">
        <v>23</v>
      </c>
    </row>
    <row r="4435" spans="1:11" ht="42" customHeight="1">
      <c r="A4435" s="4" t="s">
        <v>10869</v>
      </c>
      <c r="B4435" s="5" t="s">
        <v>10870</v>
      </c>
      <c r="C4435" s="5" t="s">
        <v>29</v>
      </c>
      <c r="D4435" s="5" t="s">
        <v>30</v>
      </c>
      <c r="E4435" s="5" t="s">
        <v>185</v>
      </c>
      <c r="F4435" s="9">
        <v>95</v>
      </c>
      <c r="G4435" s="9">
        <v>1173</v>
      </c>
      <c r="H4435" s="5" t="s">
        <v>21</v>
      </c>
      <c r="I4435" s="5" t="s">
        <v>10871</v>
      </c>
      <c r="J4435" s="12" t="str">
        <f>HYPERLINK("https://www.boe.es/gazeta/dias/1802/11/23/pdfs/GMD-1802-95.pdf#page=9","Abrir facsímil")</f>
        <v>Abrir facsímil</v>
      </c>
      <c r="K4435" s="15" t="s">
        <v>23</v>
      </c>
    </row>
    <row r="4436" spans="1:11" ht="42" customHeight="1">
      <c r="A4436" s="4" t="s">
        <v>10872</v>
      </c>
      <c r="B4436" s="5" t="s">
        <v>10873</v>
      </c>
      <c r="C4436" s="5" t="s">
        <v>35</v>
      </c>
      <c r="D4436" s="5" t="s">
        <v>36</v>
      </c>
      <c r="E4436" s="5" t="s">
        <v>706</v>
      </c>
      <c r="F4436" s="9">
        <v>80</v>
      </c>
      <c r="G4436" s="9">
        <v>984</v>
      </c>
      <c r="H4436" s="5" t="s">
        <v>21</v>
      </c>
      <c r="I4436" s="5" t="s">
        <v>10874</v>
      </c>
      <c r="J4436" s="12" t="str">
        <f>HYPERLINK("https://www.boe.es/gazeta/dias/1802/10/01/pdfs/GMD-1802-80.pdf#page=8","Abrir facsímil")</f>
        <v>Abrir facsímil</v>
      </c>
      <c r="K4436" s="15" t="s">
        <v>23</v>
      </c>
    </row>
    <row r="4437" spans="1:11" ht="42" customHeight="1">
      <c r="A4437" s="4" t="s">
        <v>10875</v>
      </c>
      <c r="B4437" s="5" t="s">
        <v>10876</v>
      </c>
      <c r="C4437" s="5" t="s">
        <v>29</v>
      </c>
      <c r="D4437" s="5" t="s">
        <v>30</v>
      </c>
      <c r="E4437" s="5" t="s">
        <v>517</v>
      </c>
      <c r="F4437" s="9">
        <v>61</v>
      </c>
      <c r="G4437" s="9">
        <v>740</v>
      </c>
      <c r="H4437" s="5" t="s">
        <v>21</v>
      </c>
      <c r="I4437" s="5" t="s">
        <v>10877</v>
      </c>
      <c r="J4437" s="12" t="str">
        <f>HYPERLINK("https://www.boe.es/gazeta/dias/1802/07/27/pdfs/GMD-1802-61.pdf#page=8","Abrir facsímil")</f>
        <v>Abrir facsímil</v>
      </c>
      <c r="K4437" s="15" t="s">
        <v>23</v>
      </c>
    </row>
    <row r="4438" spans="1:11" ht="42" customHeight="1">
      <c r="A4438" s="4" t="s">
        <v>10878</v>
      </c>
      <c r="B4438" s="5" t="s">
        <v>10879</v>
      </c>
      <c r="C4438" s="5" t="s">
        <v>18</v>
      </c>
      <c r="D4438" s="5" t="s">
        <v>19</v>
      </c>
      <c r="E4438" s="5" t="s">
        <v>99</v>
      </c>
      <c r="F4438" s="9">
        <v>86</v>
      </c>
      <c r="G4438" s="9">
        <v>1069</v>
      </c>
      <c r="H4438" s="5" t="s">
        <v>21</v>
      </c>
      <c r="I4438" s="5" t="s">
        <v>10880</v>
      </c>
      <c r="J4438" s="12" t="str">
        <f>HYPERLINK("https://www.boe.es/gazeta/dias/1802/10/22/pdfs/GMD-1802-86.pdf#page=9","Abrir facsímil")</f>
        <v>Abrir facsímil</v>
      </c>
      <c r="K4438" s="15" t="s">
        <v>23</v>
      </c>
    </row>
    <row r="4439" spans="1:11" ht="42" customHeight="1">
      <c r="A4439" s="4" t="s">
        <v>10881</v>
      </c>
      <c r="B4439" s="5" t="s">
        <v>10882</v>
      </c>
      <c r="C4439" s="5" t="s">
        <v>29</v>
      </c>
      <c r="D4439" s="5" t="s">
        <v>30</v>
      </c>
      <c r="E4439" s="5" t="s">
        <v>706</v>
      </c>
      <c r="F4439" s="9">
        <v>80</v>
      </c>
      <c r="G4439" s="9">
        <v>985</v>
      </c>
      <c r="H4439" s="5" t="s">
        <v>21</v>
      </c>
      <c r="I4439" s="5" t="s">
        <v>10883</v>
      </c>
      <c r="J4439" s="12" t="str">
        <f>HYPERLINK("https://www.boe.es/gazeta/dias/1802/10/01/pdfs/GMD-1802-80.pdf#page=9","Abrir facsímil")</f>
        <v>Abrir facsímil</v>
      </c>
      <c r="K4439" s="15" t="s">
        <v>23</v>
      </c>
    </row>
    <row r="4440" spans="1:11" ht="42" customHeight="1">
      <c r="A4440" s="4" t="s">
        <v>10884</v>
      </c>
      <c r="B4440" s="5" t="s">
        <v>10884</v>
      </c>
      <c r="C4440" s="5" t="s">
        <v>29</v>
      </c>
      <c r="D4440" s="5" t="s">
        <v>30</v>
      </c>
      <c r="E4440" s="5" t="s">
        <v>1374</v>
      </c>
      <c r="F4440" s="9">
        <v>71</v>
      </c>
      <c r="G4440" s="9">
        <v>866</v>
      </c>
      <c r="H4440" s="5" t="s">
        <v>21</v>
      </c>
      <c r="I4440" s="5" t="s">
        <v>10885</v>
      </c>
      <c r="J4440" s="12" t="str">
        <f>HYPERLINK("https://www.boe.es/gazeta/dias/1802/08/31/pdfs/GMD-1802-71.pdf#page=2","Abrir facsímil")</f>
        <v>Abrir facsímil</v>
      </c>
      <c r="K4440" s="15" t="s">
        <v>23</v>
      </c>
    </row>
    <row r="4441" spans="1:11" ht="42" customHeight="1">
      <c r="A4441" s="4" t="s">
        <v>10886</v>
      </c>
      <c r="B4441" s="5" t="s">
        <v>10887</v>
      </c>
      <c r="C4441" s="5" t="s">
        <v>29</v>
      </c>
      <c r="D4441" s="5" t="s">
        <v>30</v>
      </c>
      <c r="E4441" s="5" t="s">
        <v>192</v>
      </c>
      <c r="F4441" s="9">
        <v>53</v>
      </c>
      <c r="G4441" s="9">
        <v>642</v>
      </c>
      <c r="H4441" s="5" t="s">
        <v>21</v>
      </c>
      <c r="I4441" s="5" t="s">
        <v>10888</v>
      </c>
      <c r="J4441" s="12" t="str">
        <f>HYPERLINK("https://www.boe.es/gazeta/dias/1802/07/02/pdfs/GMD-1802-53.pdf#page=10","Abrir facsímil")</f>
        <v>Abrir facsímil</v>
      </c>
      <c r="K4441" s="15" t="s">
        <v>23</v>
      </c>
    </row>
    <row r="4442" spans="1:11" ht="42" customHeight="1">
      <c r="A4442" s="4" t="s">
        <v>10889</v>
      </c>
      <c r="B4442" s="5" t="s">
        <v>10889</v>
      </c>
      <c r="C4442" s="5" t="s">
        <v>29</v>
      </c>
      <c r="D4442" s="5" t="s">
        <v>30</v>
      </c>
      <c r="E4442" s="5" t="s">
        <v>206</v>
      </c>
      <c r="F4442" s="9">
        <v>22</v>
      </c>
      <c r="G4442" s="9">
        <v>252</v>
      </c>
      <c r="H4442" s="5" t="s">
        <v>21</v>
      </c>
      <c r="I4442" s="5" t="s">
        <v>10890</v>
      </c>
      <c r="J4442" s="12" t="str">
        <f>HYPERLINK("https://www.boe.es/gazeta/dias/1802/03/16/pdfs/GMD-C-1802-22.pdf#page=8","Abrir facsímil")</f>
        <v>Abrir facsímil</v>
      </c>
      <c r="K4442" s="15" t="s">
        <v>23</v>
      </c>
    </row>
    <row r="4443" spans="1:11" ht="42" customHeight="1">
      <c r="A4443" s="4" t="s">
        <v>10891</v>
      </c>
      <c r="B4443" s="5" t="s">
        <v>10891</v>
      </c>
      <c r="C4443" s="5" t="s">
        <v>160</v>
      </c>
      <c r="D4443" s="5" t="s">
        <v>91</v>
      </c>
      <c r="E4443" s="5" t="s">
        <v>167</v>
      </c>
      <c r="F4443" s="9">
        <v>23</v>
      </c>
      <c r="G4443" s="9">
        <v>263</v>
      </c>
      <c r="H4443" s="5" t="s">
        <v>21</v>
      </c>
      <c r="I4443" s="5" t="s">
        <v>10892</v>
      </c>
      <c r="J4443" s="12" t="str">
        <f>HYPERLINK("https://www.boe.es/gazeta/dias/1802/03/19/pdfs/GMD-1802-23.pdf#page=11","Abrir facsímil")</f>
        <v>Abrir facsímil</v>
      </c>
      <c r="K4443" s="15" t="s">
        <v>23</v>
      </c>
    </row>
    <row r="4444" spans="1:11" ht="42" customHeight="1">
      <c r="A4444" s="4" t="s">
        <v>10893</v>
      </c>
      <c r="B4444" s="5" t="s">
        <v>10894</v>
      </c>
      <c r="C4444" s="5" t="s">
        <v>18</v>
      </c>
      <c r="D4444" s="5" t="s">
        <v>19</v>
      </c>
      <c r="E4444" s="5" t="s">
        <v>881</v>
      </c>
      <c r="F4444" s="9">
        <v>65</v>
      </c>
      <c r="G4444" s="9">
        <v>794</v>
      </c>
      <c r="H4444" s="5" t="s">
        <v>21</v>
      </c>
      <c r="I4444" s="5" t="s">
        <v>10895</v>
      </c>
      <c r="J4444" s="12" t="str">
        <f>HYPERLINK("https://www.boe.es/gazeta/dias/1802/08/10/pdfs/GMD-1802-65.pdf#page=10","Abrir facsímil")</f>
        <v>Abrir facsímil</v>
      </c>
      <c r="K4444" s="15" t="s">
        <v>23</v>
      </c>
    </row>
    <row r="4445" spans="1:11" ht="42" customHeight="1">
      <c r="A4445" s="4" t="s">
        <v>10896</v>
      </c>
      <c r="B4445" s="5" t="s">
        <v>10897</v>
      </c>
      <c r="C4445" s="5" t="s">
        <v>29</v>
      </c>
      <c r="D4445" s="5" t="s">
        <v>30</v>
      </c>
      <c r="E4445" s="5" t="s">
        <v>57</v>
      </c>
      <c r="F4445" s="9">
        <v>54</v>
      </c>
      <c r="G4445" s="9">
        <v>653</v>
      </c>
      <c r="H4445" s="5" t="s">
        <v>21</v>
      </c>
      <c r="I4445" s="5" t="s">
        <v>10898</v>
      </c>
      <c r="J4445" s="12" t="str">
        <f>HYPERLINK("https://www.boe.es/gazeta/dias/1802/07/06/pdfs/GMD-1802-54.pdf#page=9","Abrir facsímil")</f>
        <v>Abrir facsímil</v>
      </c>
      <c r="K4445" s="15" t="s">
        <v>23</v>
      </c>
    </row>
    <row r="4446" spans="1:11" ht="42" customHeight="1">
      <c r="A4446" s="4" t="s">
        <v>10899</v>
      </c>
      <c r="B4446" s="5" t="s">
        <v>10899</v>
      </c>
      <c r="C4446" s="5" t="s">
        <v>55</v>
      </c>
      <c r="D4446" s="5" t="s">
        <v>56</v>
      </c>
      <c r="E4446" s="5" t="s">
        <v>590</v>
      </c>
      <c r="F4446" s="9">
        <v>38</v>
      </c>
      <c r="G4446" s="9">
        <v>456</v>
      </c>
      <c r="H4446" s="5" t="s">
        <v>21</v>
      </c>
      <c r="I4446" s="5" t="s">
        <v>10900</v>
      </c>
      <c r="J4446" s="12" t="str">
        <f>HYPERLINK("https://www.boe.es/gazeta/dias/1802/05/11/pdfs/GMD-1802-38.pdf#page=12","Abrir facsímil")</f>
        <v>Abrir facsímil</v>
      </c>
      <c r="K4446" s="15" t="s">
        <v>23</v>
      </c>
    </row>
    <row r="4447" spans="1:11" ht="42" customHeight="1">
      <c r="A4447" s="4" t="s">
        <v>10901</v>
      </c>
      <c r="B4447" s="5" t="s">
        <v>10902</v>
      </c>
      <c r="C4447" s="5" t="s">
        <v>90</v>
      </c>
      <c r="D4447" s="5" t="s">
        <v>91</v>
      </c>
      <c r="E4447" s="5" t="s">
        <v>1264</v>
      </c>
      <c r="F4447" s="9">
        <v>105</v>
      </c>
      <c r="G4447" s="9">
        <v>1286</v>
      </c>
      <c r="H4447" s="5" t="s">
        <v>21</v>
      </c>
      <c r="I4447" s="5" t="s">
        <v>10903</v>
      </c>
      <c r="J4447" s="12" t="str">
        <f>HYPERLINK("https://www.boe.es/gazeta/dias/1802/12/28/pdfs/GMD-1802-105.pdf#page=10","Abrir facsímil")</f>
        <v>Abrir facsímil</v>
      </c>
      <c r="K4447" s="15" t="s">
        <v>23</v>
      </c>
    </row>
    <row r="4448" spans="1:11" ht="42" customHeight="1">
      <c r="A4448" s="4" t="s">
        <v>10904</v>
      </c>
      <c r="B4448" s="5" t="s">
        <v>10904</v>
      </c>
      <c r="C4448" s="5" t="s">
        <v>572</v>
      </c>
      <c r="D4448" s="5" t="s">
        <v>573</v>
      </c>
      <c r="E4448" s="5" t="s">
        <v>574</v>
      </c>
      <c r="F4448" s="9" t="s">
        <v>575</v>
      </c>
      <c r="G4448" s="9">
        <v>707</v>
      </c>
      <c r="H4448" s="5" t="s">
        <v>21</v>
      </c>
      <c r="I4448" s="5" t="s">
        <v>10905</v>
      </c>
      <c r="J4448" s="12" t="str">
        <f>HYPERLINK("https://www.boe.es/gazeta/dias/1802/07/21/pdfs/GMD-1802-59E.pdf#page=3","Abrir facsímil")</f>
        <v>Abrir facsímil</v>
      </c>
      <c r="K4448" s="15" t="s">
        <v>23</v>
      </c>
    </row>
    <row r="4449" spans="1:11" ht="42" customHeight="1">
      <c r="A4449" s="4" t="s">
        <v>10906</v>
      </c>
      <c r="B4449" s="5" t="s">
        <v>10906</v>
      </c>
      <c r="C4449" s="5" t="s">
        <v>29</v>
      </c>
      <c r="D4449" s="5" t="s">
        <v>30</v>
      </c>
      <c r="E4449" s="5" t="s">
        <v>188</v>
      </c>
      <c r="F4449" s="9">
        <v>49</v>
      </c>
      <c r="G4449" s="9">
        <v>599</v>
      </c>
      <c r="H4449" s="5" t="s">
        <v>21</v>
      </c>
      <c r="I4449" s="5" t="s">
        <v>10907</v>
      </c>
      <c r="J4449" s="12" t="str">
        <f>HYPERLINK("https://www.boe.es/gazeta/dias/1802/06/18/pdfs/GMD-1802-49.pdf#page=11","Abrir facsímil")</f>
        <v>Abrir facsímil</v>
      </c>
      <c r="K4449" s="15" t="s">
        <v>23</v>
      </c>
    </row>
    <row r="4450" spans="1:11" ht="42" customHeight="1">
      <c r="A4450" s="4" t="s">
        <v>10908</v>
      </c>
      <c r="B4450" s="5" t="s">
        <v>10909</v>
      </c>
      <c r="C4450" s="5" t="s">
        <v>90</v>
      </c>
      <c r="D4450" s="5" t="s">
        <v>91</v>
      </c>
      <c r="E4450" s="5" t="s">
        <v>258</v>
      </c>
      <c r="F4450" s="9">
        <v>63</v>
      </c>
      <c r="G4450" s="9">
        <v>764</v>
      </c>
      <c r="H4450" s="5" t="s">
        <v>21</v>
      </c>
      <c r="I4450" s="5" t="s">
        <v>10910</v>
      </c>
      <c r="J4450" s="12" t="str">
        <f>HYPERLINK("https://www.boe.es/gazeta/dias/1802/08/03/pdfs/GMD-1802-63.pdf#page=4","Abrir facsímil")</f>
        <v>Abrir facsímil</v>
      </c>
      <c r="K4450" s="15" t="s">
        <v>23</v>
      </c>
    </row>
    <row r="4451" spans="1:11" ht="42" customHeight="1">
      <c r="A4451" s="4" t="s">
        <v>10911</v>
      </c>
      <c r="B4451" s="5" t="s">
        <v>10911</v>
      </c>
      <c r="C4451" s="5" t="s">
        <v>18</v>
      </c>
      <c r="D4451" s="5" t="s">
        <v>19</v>
      </c>
      <c r="E4451" s="5" t="s">
        <v>826</v>
      </c>
      <c r="F4451" s="9">
        <v>67</v>
      </c>
      <c r="G4451" s="9">
        <v>819</v>
      </c>
      <c r="H4451" s="5" t="s">
        <v>21</v>
      </c>
      <c r="I4451" s="5" t="s">
        <v>10912</v>
      </c>
      <c r="J4451" s="12" t="str">
        <f>HYPERLINK("https://www.boe.es/gazeta/dias/1802/08/17/pdfs/GMD-1802-67.pdf#page=7","Abrir facsímil")</f>
        <v>Abrir facsímil</v>
      </c>
      <c r="K4451" s="15" t="s">
        <v>23</v>
      </c>
    </row>
    <row r="4452" spans="1:11" ht="42" customHeight="1">
      <c r="A4452" s="4" t="s">
        <v>10913</v>
      </c>
      <c r="B4452" s="5" t="s">
        <v>10913</v>
      </c>
      <c r="C4452" s="5" t="s">
        <v>160</v>
      </c>
      <c r="D4452" s="5" t="s">
        <v>91</v>
      </c>
      <c r="E4452" s="5" t="s">
        <v>148</v>
      </c>
      <c r="F4452" s="9">
        <v>66</v>
      </c>
      <c r="G4452" s="9">
        <v>808</v>
      </c>
      <c r="H4452" s="5" t="s">
        <v>21</v>
      </c>
      <c r="I4452" s="5" t="s">
        <v>10914</v>
      </c>
      <c r="J4452" s="12" t="str">
        <f>HYPERLINK("https://www.boe.es/gazeta/dias/1802/08/13/pdfs/GMD-1802-66.pdf#page=12","Abrir facsímil")</f>
        <v>Abrir facsímil</v>
      </c>
      <c r="K4452" s="15" t="s">
        <v>23</v>
      </c>
    </row>
    <row r="4453" spans="1:11" ht="42" customHeight="1">
      <c r="A4453" s="4" t="s">
        <v>10915</v>
      </c>
      <c r="B4453" s="5" t="s">
        <v>10915</v>
      </c>
      <c r="C4453" s="5" t="s">
        <v>18</v>
      </c>
      <c r="D4453" s="5" t="s">
        <v>19</v>
      </c>
      <c r="E4453" s="5" t="s">
        <v>152</v>
      </c>
      <c r="F4453" s="9">
        <v>25</v>
      </c>
      <c r="G4453" s="9">
        <v>284</v>
      </c>
      <c r="H4453" s="5" t="s">
        <v>21</v>
      </c>
      <c r="I4453" s="5" t="s">
        <v>10916</v>
      </c>
      <c r="J4453" s="12" t="str">
        <f>HYPERLINK("https://www.boe.es/gazeta/dias/1802/03/26/pdfs/GMD-1802-25.pdf#page=8","Abrir facsímil")</f>
        <v>Abrir facsímil</v>
      </c>
      <c r="K4453" s="15" t="s">
        <v>23</v>
      </c>
    </row>
    <row r="4454" spans="1:11" ht="42" customHeight="1">
      <c r="A4454" s="4" t="s">
        <v>10915</v>
      </c>
      <c r="B4454" s="5" t="s">
        <v>10915</v>
      </c>
      <c r="C4454" s="5" t="s">
        <v>18</v>
      </c>
      <c r="D4454" s="5" t="s">
        <v>19</v>
      </c>
      <c r="E4454" s="5" t="s">
        <v>152</v>
      </c>
      <c r="F4454" s="9">
        <v>25</v>
      </c>
      <c r="G4454" s="9">
        <v>285</v>
      </c>
      <c r="H4454" s="5" t="s">
        <v>21</v>
      </c>
      <c r="I4454" s="5" t="s">
        <v>10917</v>
      </c>
      <c r="J4454" s="12" t="str">
        <f>HYPERLINK("https://www.boe.es/gazeta/dias/1802/03/26/pdfs/GMD-1802-25.pdf#page=9","Abrir facsímil")</f>
        <v>Abrir facsímil</v>
      </c>
      <c r="K4454" s="15" t="s">
        <v>23</v>
      </c>
    </row>
    <row r="4455" spans="1:11" ht="42" customHeight="1">
      <c r="A4455" s="4" t="s">
        <v>10915</v>
      </c>
      <c r="B4455" s="5" t="s">
        <v>10915</v>
      </c>
      <c r="C4455" s="5" t="s">
        <v>18</v>
      </c>
      <c r="D4455" s="5" t="s">
        <v>19</v>
      </c>
      <c r="E4455" s="5" t="s">
        <v>826</v>
      </c>
      <c r="F4455" s="9">
        <v>67</v>
      </c>
      <c r="G4455" s="9">
        <v>819</v>
      </c>
      <c r="H4455" s="5" t="s">
        <v>21</v>
      </c>
      <c r="I4455" s="5" t="s">
        <v>10918</v>
      </c>
      <c r="J4455" s="12" t="str">
        <f>HYPERLINK("https://www.boe.es/gazeta/dias/1802/08/17/pdfs/GMD-1802-67.pdf#page=7","Abrir facsímil")</f>
        <v>Abrir facsímil</v>
      </c>
      <c r="K4455" s="15" t="s">
        <v>23</v>
      </c>
    </row>
    <row r="4456" spans="1:11" ht="42" customHeight="1">
      <c r="A4456" s="4" t="s">
        <v>10919</v>
      </c>
      <c r="B4456" s="5" t="s">
        <v>10919</v>
      </c>
      <c r="C4456" s="5" t="s">
        <v>29</v>
      </c>
      <c r="D4456" s="5" t="s">
        <v>30</v>
      </c>
      <c r="E4456" s="5" t="s">
        <v>163</v>
      </c>
      <c r="F4456" s="9">
        <v>1</v>
      </c>
      <c r="G4456" s="9">
        <v>7</v>
      </c>
      <c r="H4456" s="5" t="s">
        <v>21</v>
      </c>
      <c r="I4456" s="5" t="s">
        <v>10920</v>
      </c>
      <c r="J4456" s="12" t="str">
        <f>HYPERLINK("https://www.boe.es/gazeta/dias/1802/01/01/pdfs/GMD-1802-1.pdf#page=7","Abrir facsímil")</f>
        <v>Abrir facsímil</v>
      </c>
      <c r="K4456" s="15" t="s">
        <v>23</v>
      </c>
    </row>
    <row r="4457" spans="1:11" ht="42" customHeight="1">
      <c r="A4457" s="4" t="s">
        <v>10921</v>
      </c>
      <c r="B4457" s="5" t="s">
        <v>10921</v>
      </c>
      <c r="C4457" s="5" t="s">
        <v>35</v>
      </c>
      <c r="D4457" s="5" t="s">
        <v>36</v>
      </c>
      <c r="E4457" s="5" t="s">
        <v>188</v>
      </c>
      <c r="F4457" s="9">
        <v>49</v>
      </c>
      <c r="G4457" s="9">
        <v>597</v>
      </c>
      <c r="H4457" s="5" t="s">
        <v>21</v>
      </c>
      <c r="I4457" s="5" t="s">
        <v>10922</v>
      </c>
      <c r="J4457" s="12" t="str">
        <f>HYPERLINK("https://www.boe.es/gazeta/dias/1802/06/18/pdfs/GMD-1802-49.pdf#page=9","Abrir facsímil")</f>
        <v>Abrir facsímil</v>
      </c>
      <c r="K4457" s="15" t="s">
        <v>23</v>
      </c>
    </row>
    <row r="4458" spans="1:11" ht="42" customHeight="1">
      <c r="A4458" s="4" t="s">
        <v>10923</v>
      </c>
      <c r="B4458" s="5" t="s">
        <v>10924</v>
      </c>
      <c r="C4458" s="5" t="s">
        <v>29</v>
      </c>
      <c r="D4458" s="5" t="s">
        <v>30</v>
      </c>
      <c r="E4458" s="5" t="s">
        <v>678</v>
      </c>
      <c r="F4458" s="9">
        <v>15</v>
      </c>
      <c r="G4458" s="9">
        <v>158</v>
      </c>
      <c r="H4458" s="5" t="s">
        <v>21</v>
      </c>
      <c r="I4458" s="5" t="s">
        <v>10925</v>
      </c>
      <c r="J4458" s="12" t="str">
        <f>HYPERLINK("https://www.boe.es/gazeta/dias/1802/02/19/pdfs/GMD-1802-15.pdf#page=10","Abrir facsímil")</f>
        <v>Abrir facsímil</v>
      </c>
      <c r="K4458" s="15" t="s">
        <v>23</v>
      </c>
    </row>
    <row r="4459" spans="1:11" ht="42" customHeight="1">
      <c r="A4459" s="4" t="s">
        <v>10926</v>
      </c>
      <c r="B4459" s="5" t="s">
        <v>10926</v>
      </c>
      <c r="C4459" s="5" t="s">
        <v>55</v>
      </c>
      <c r="D4459" s="5" t="s">
        <v>56</v>
      </c>
      <c r="E4459" s="5" t="s">
        <v>148</v>
      </c>
      <c r="F4459" s="9">
        <v>66</v>
      </c>
      <c r="G4459" s="9">
        <v>805</v>
      </c>
      <c r="H4459" s="5" t="s">
        <v>21</v>
      </c>
      <c r="I4459" s="5" t="s">
        <v>10927</v>
      </c>
      <c r="J4459" s="12" t="str">
        <f>HYPERLINK("https://www.boe.es/gazeta/dias/1802/08/13/pdfs/GMD-1802-66.pdf#page=9","Abrir facsímil")</f>
        <v>Abrir facsímil</v>
      </c>
      <c r="K4459" s="15" t="s">
        <v>23</v>
      </c>
    </row>
    <row r="4460" spans="1:11" ht="42" customHeight="1">
      <c r="A4460" s="4" t="s">
        <v>10928</v>
      </c>
      <c r="B4460" s="5" t="s">
        <v>10928</v>
      </c>
      <c r="C4460" s="5" t="s">
        <v>35</v>
      </c>
      <c r="D4460" s="5" t="s">
        <v>36</v>
      </c>
      <c r="E4460" s="5" t="s">
        <v>311</v>
      </c>
      <c r="F4460" s="9">
        <v>88</v>
      </c>
      <c r="G4460" s="9">
        <v>1092</v>
      </c>
      <c r="H4460" s="5" t="s">
        <v>21</v>
      </c>
      <c r="I4460" s="5" t="s">
        <v>10929</v>
      </c>
      <c r="J4460" s="12" t="str">
        <f>HYPERLINK("https://www.boe.es/gazeta/dias/1802/10/29/pdfs/GMD-1802-88.pdf#page=8","Abrir facsímil")</f>
        <v>Abrir facsímil</v>
      </c>
      <c r="K4460" s="15" t="s">
        <v>23</v>
      </c>
    </row>
    <row r="4461" spans="1:11" ht="42" customHeight="1">
      <c r="A4461" s="4" t="s">
        <v>10930</v>
      </c>
      <c r="B4461" s="5" t="s">
        <v>10930</v>
      </c>
      <c r="C4461" s="5" t="s">
        <v>18</v>
      </c>
      <c r="D4461" s="5" t="s">
        <v>19</v>
      </c>
      <c r="E4461" s="5" t="s">
        <v>385</v>
      </c>
      <c r="F4461" s="9">
        <v>70</v>
      </c>
      <c r="G4461" s="9">
        <v>864</v>
      </c>
      <c r="H4461" s="5" t="s">
        <v>21</v>
      </c>
      <c r="I4461" s="5" t="s">
        <v>10931</v>
      </c>
      <c r="J4461" s="12" t="str">
        <f>HYPERLINK("https://www.boe.es/gazeta/dias/1802/08/27/pdfs/GMD-1802-70.pdf#page=12","Abrir facsímil")</f>
        <v>Abrir facsímil</v>
      </c>
      <c r="K4461" s="15" t="s">
        <v>23</v>
      </c>
    </row>
    <row r="4462" spans="1:11" ht="42" customHeight="1">
      <c r="A4462" s="4" t="s">
        <v>10932</v>
      </c>
      <c r="B4462" s="5" t="s">
        <v>10932</v>
      </c>
      <c r="C4462" s="5" t="s">
        <v>55</v>
      </c>
      <c r="D4462" s="5" t="s">
        <v>56</v>
      </c>
      <c r="E4462" s="5" t="s">
        <v>292</v>
      </c>
      <c r="F4462" s="9">
        <v>62</v>
      </c>
      <c r="G4462" s="9">
        <v>750</v>
      </c>
      <c r="H4462" s="5" t="s">
        <v>21</v>
      </c>
      <c r="I4462" s="5" t="s">
        <v>10933</v>
      </c>
      <c r="J4462" s="12" t="str">
        <f>HYPERLINK("https://www.boe.es/gazeta/dias/1802/07/30/pdfs/GMD-1802-62.pdf#page=6","Abrir facsímil")</f>
        <v>Abrir facsímil</v>
      </c>
      <c r="K4462" s="15" t="s">
        <v>23</v>
      </c>
    </row>
    <row r="4463" spans="1:11" ht="42" customHeight="1">
      <c r="A4463" s="4" t="s">
        <v>10934</v>
      </c>
      <c r="B4463" s="5" t="s">
        <v>10935</v>
      </c>
      <c r="C4463" s="5" t="s">
        <v>29</v>
      </c>
      <c r="D4463" s="5" t="s">
        <v>30</v>
      </c>
      <c r="E4463" s="5" t="s">
        <v>175</v>
      </c>
      <c r="F4463" s="9">
        <v>37</v>
      </c>
      <c r="G4463" s="9">
        <v>437</v>
      </c>
      <c r="H4463" s="5" t="s">
        <v>21</v>
      </c>
      <c r="I4463" s="5" t="s">
        <v>10936</v>
      </c>
      <c r="J4463" s="12" t="str">
        <f>HYPERLINK("https://www.boe.es/gazeta/dias/1802/05/07/pdfs/GMD-1802-37.pdf#page=5","Abrir facsímil")</f>
        <v>Abrir facsímil</v>
      </c>
      <c r="K4463" s="15" t="s">
        <v>23</v>
      </c>
    </row>
    <row r="4464" spans="1:11" ht="42" customHeight="1">
      <c r="A4464" s="4" t="s">
        <v>10937</v>
      </c>
      <c r="B4464" s="5" t="s">
        <v>10937</v>
      </c>
      <c r="C4464" s="5" t="s">
        <v>35</v>
      </c>
      <c r="D4464" s="5" t="s">
        <v>36</v>
      </c>
      <c r="E4464" s="5" t="s">
        <v>517</v>
      </c>
      <c r="F4464" s="9">
        <v>61</v>
      </c>
      <c r="G4464" s="9">
        <v>734</v>
      </c>
      <c r="H4464" s="5" t="s">
        <v>21</v>
      </c>
      <c r="I4464" s="5" t="s">
        <v>10938</v>
      </c>
      <c r="J4464" s="12" t="str">
        <f>HYPERLINK("https://www.boe.es/gazeta/dias/1802/07/27/pdfs/GMD-1802-61.pdf#page=2","Abrir facsímil")</f>
        <v>Abrir facsímil</v>
      </c>
      <c r="K4464" s="15" t="s">
        <v>23</v>
      </c>
    </row>
    <row r="4465" spans="1:11" ht="42" customHeight="1">
      <c r="A4465" s="4" t="s">
        <v>10939</v>
      </c>
      <c r="B4465" s="5" t="s">
        <v>10940</v>
      </c>
      <c r="C4465" s="5" t="s">
        <v>18</v>
      </c>
      <c r="D4465" s="5" t="s">
        <v>19</v>
      </c>
      <c r="E4465" s="5" t="s">
        <v>1097</v>
      </c>
      <c r="F4465" s="9">
        <v>20</v>
      </c>
      <c r="G4465" s="9">
        <v>224</v>
      </c>
      <c r="H4465" s="5" t="s">
        <v>21</v>
      </c>
      <c r="I4465" s="5" t="s">
        <v>10941</v>
      </c>
      <c r="J4465" s="12" t="str">
        <f>HYPERLINK("https://www.boe.es/gazeta/dias/1802/03/09/pdfs/GMD-1802-20.pdf#page=12","Abrir facsímil")</f>
        <v>Abrir facsímil</v>
      </c>
      <c r="K4465" s="15" t="s">
        <v>23</v>
      </c>
    </row>
    <row r="4466" spans="1:11" ht="42" customHeight="1">
      <c r="A4466" s="4" t="s">
        <v>10942</v>
      </c>
      <c r="B4466" s="5" t="s">
        <v>10943</v>
      </c>
      <c r="C4466" s="5" t="s">
        <v>35</v>
      </c>
      <c r="D4466" s="5" t="s">
        <v>36</v>
      </c>
      <c r="E4466" s="5" t="s">
        <v>142</v>
      </c>
      <c r="F4466" s="9">
        <v>64</v>
      </c>
      <c r="G4466" s="9">
        <v>781</v>
      </c>
      <c r="H4466" s="5" t="s">
        <v>21</v>
      </c>
      <c r="I4466" s="5" t="s">
        <v>10944</v>
      </c>
      <c r="J4466" s="12" t="str">
        <f>HYPERLINK("https://www.boe.es/gazeta/dias/1802/08/06/pdfs/GMD-1802-64.pdf#page=9","Abrir facsímil")</f>
        <v>Abrir facsímil</v>
      </c>
      <c r="K4466" s="15" t="s">
        <v>23</v>
      </c>
    </row>
    <row r="4467" spans="1:11" ht="42" customHeight="1">
      <c r="A4467" s="4" t="s">
        <v>10945</v>
      </c>
      <c r="B4467" s="5" t="s">
        <v>10945</v>
      </c>
      <c r="C4467" s="5" t="s">
        <v>29</v>
      </c>
      <c r="D4467" s="5" t="s">
        <v>30</v>
      </c>
      <c r="E4467" s="5" t="s">
        <v>865</v>
      </c>
      <c r="F4467" s="9">
        <v>12</v>
      </c>
      <c r="G4467" s="9">
        <v>120</v>
      </c>
      <c r="H4467" s="5" t="s">
        <v>21</v>
      </c>
      <c r="I4467" s="5" t="s">
        <v>10946</v>
      </c>
      <c r="J4467" s="12" t="str">
        <f>HYPERLINK("https://www.boe.es/gazeta/dias/1802/02/09/pdfs/GMD-1802-12.pdf#page=4","Abrir facsímil")</f>
        <v>Abrir facsímil</v>
      </c>
      <c r="K4467" s="15" t="s">
        <v>23</v>
      </c>
    </row>
    <row r="4468" spans="1:11" ht="42" customHeight="1">
      <c r="A4468" s="4" t="s">
        <v>10947</v>
      </c>
      <c r="B4468" s="5" t="s">
        <v>10947</v>
      </c>
      <c r="C4468" s="5" t="s">
        <v>18</v>
      </c>
      <c r="D4468" s="5" t="s">
        <v>19</v>
      </c>
      <c r="E4468" s="5" t="s">
        <v>655</v>
      </c>
      <c r="F4468" s="9">
        <v>46</v>
      </c>
      <c r="G4468" s="9">
        <v>554</v>
      </c>
      <c r="H4468" s="5" t="s">
        <v>21</v>
      </c>
      <c r="I4468" s="5" t="s">
        <v>10948</v>
      </c>
      <c r="J4468" s="12" t="str">
        <f>HYPERLINK("https://www.boe.es/gazeta/dias/1802/06/08/pdfs/GMD-1802-46.pdf#page=6","Abrir facsímil")</f>
        <v>Abrir facsímil</v>
      </c>
      <c r="K4468" s="15" t="s">
        <v>23</v>
      </c>
    </row>
    <row r="4469" spans="1:11" ht="42" customHeight="1">
      <c r="A4469" s="4" t="s">
        <v>10949</v>
      </c>
      <c r="B4469" s="5" t="s">
        <v>10950</v>
      </c>
      <c r="C4469" s="5" t="s">
        <v>90</v>
      </c>
      <c r="D4469" s="5" t="s">
        <v>91</v>
      </c>
      <c r="E4469" s="5" t="s">
        <v>75</v>
      </c>
      <c r="F4469" s="9">
        <v>103</v>
      </c>
      <c r="G4469" s="9">
        <v>1263</v>
      </c>
      <c r="H4469" s="5" t="s">
        <v>21</v>
      </c>
      <c r="I4469" s="5" t="s">
        <v>10951</v>
      </c>
      <c r="J4469" s="12" t="str">
        <f>HYPERLINK("https://www.boe.es/gazeta/dias/1802/12/21/pdfs/GMD-1802-103.pdf#page=7","Abrir facsímil")</f>
        <v>Abrir facsímil</v>
      </c>
      <c r="K4469" s="15" t="s">
        <v>23</v>
      </c>
    </row>
    <row r="4470" spans="1:11" ht="42" customHeight="1">
      <c r="A4470" s="4" t="s">
        <v>10952</v>
      </c>
      <c r="B4470" s="5" t="s">
        <v>10953</v>
      </c>
      <c r="C4470" s="5" t="s">
        <v>18</v>
      </c>
      <c r="D4470" s="5" t="s">
        <v>19</v>
      </c>
      <c r="E4470" s="5" t="s">
        <v>49</v>
      </c>
      <c r="F4470" s="9">
        <v>83</v>
      </c>
      <c r="G4470" s="9">
        <v>1025</v>
      </c>
      <c r="H4470" s="5" t="s">
        <v>21</v>
      </c>
      <c r="I4470" s="5" t="s">
        <v>10954</v>
      </c>
      <c r="J4470" s="12" t="str">
        <f>HYPERLINK("https://www.boe.es/gazeta/dias/1802/10/12/pdfs/GMD-1802-83.pdf#page=13","Abrir facsímil")</f>
        <v>Abrir facsímil</v>
      </c>
      <c r="K4470" s="15" t="s">
        <v>23</v>
      </c>
    </row>
    <row r="4471" spans="1:11" ht="42" customHeight="1">
      <c r="A4471" s="4" t="s">
        <v>10955</v>
      </c>
      <c r="B4471" s="5" t="s">
        <v>10956</v>
      </c>
      <c r="C4471" s="5" t="s">
        <v>29</v>
      </c>
      <c r="D4471" s="5" t="s">
        <v>30</v>
      </c>
      <c r="E4471" s="5" t="s">
        <v>148</v>
      </c>
      <c r="F4471" s="9">
        <v>66</v>
      </c>
      <c r="G4471" s="9">
        <v>808</v>
      </c>
      <c r="H4471" s="5" t="s">
        <v>21</v>
      </c>
      <c r="I4471" s="5" t="s">
        <v>10957</v>
      </c>
      <c r="J4471" s="12" t="str">
        <f>HYPERLINK("https://www.boe.es/gazeta/dias/1802/08/13/pdfs/GMD-1802-66.pdf#page=12","Abrir facsímil")</f>
        <v>Abrir facsímil</v>
      </c>
      <c r="K4471" s="15" t="s">
        <v>23</v>
      </c>
    </row>
    <row r="4472" spans="1:11" ht="42" customHeight="1">
      <c r="A4472" s="4" t="s">
        <v>10958</v>
      </c>
      <c r="B4472" s="5" t="s">
        <v>10959</v>
      </c>
      <c r="C4472" s="5" t="s">
        <v>55</v>
      </c>
      <c r="D4472" s="5" t="s">
        <v>56</v>
      </c>
      <c r="E4472" s="5" t="s">
        <v>670</v>
      </c>
      <c r="F4472" s="9">
        <v>40</v>
      </c>
      <c r="G4472" s="9">
        <v>480</v>
      </c>
      <c r="H4472" s="5" t="s">
        <v>21</v>
      </c>
      <c r="I4472" s="5" t="s">
        <v>10960</v>
      </c>
      <c r="J4472" s="12" t="str">
        <f>HYPERLINK("https://www.boe.es/gazeta/dias/1802/05/18/pdfs/GMD-1802-40.pdf#page=8","Abrir facsímil")</f>
        <v>Abrir facsímil</v>
      </c>
      <c r="K4472" s="15" t="s">
        <v>23</v>
      </c>
    </row>
    <row r="4473" spans="1:11" ht="42" customHeight="1">
      <c r="A4473" s="4" t="s">
        <v>10961</v>
      </c>
      <c r="B4473" s="5" t="s">
        <v>10962</v>
      </c>
      <c r="C4473" s="5" t="s">
        <v>29</v>
      </c>
      <c r="D4473" s="5" t="s">
        <v>30</v>
      </c>
      <c r="E4473" s="5" t="s">
        <v>146</v>
      </c>
      <c r="F4473" s="9">
        <v>42</v>
      </c>
      <c r="G4473" s="9">
        <v>504</v>
      </c>
      <c r="H4473" s="5" t="s">
        <v>21</v>
      </c>
      <c r="I4473" s="5" t="s">
        <v>10963</v>
      </c>
      <c r="J4473" s="12" t="str">
        <f>HYPERLINK("https://www.boe.es/gazeta/dias/1802/05/25/pdfs/GMD-1802-42.pdf#page=8","Abrir facsímil")</f>
        <v>Abrir facsímil</v>
      </c>
      <c r="K4473" s="15" t="s">
        <v>23</v>
      </c>
    </row>
    <row r="4474" spans="1:11" ht="42" customHeight="1">
      <c r="A4474" s="4" t="s">
        <v>10964</v>
      </c>
      <c r="B4474" s="5" t="s">
        <v>10965</v>
      </c>
      <c r="C4474" s="5" t="s">
        <v>29</v>
      </c>
      <c r="D4474" s="5" t="s">
        <v>30</v>
      </c>
      <c r="E4474" s="5" t="s">
        <v>1332</v>
      </c>
      <c r="F4474" s="9">
        <v>4</v>
      </c>
      <c r="G4474" s="9">
        <v>32</v>
      </c>
      <c r="H4474" s="5" t="s">
        <v>21</v>
      </c>
      <c r="I4474" s="5" t="s">
        <v>10966</v>
      </c>
      <c r="J4474" s="12" t="str">
        <f>HYPERLINK("https://www.boe.es/gazeta/dias/1802/01/12/pdfs/GMD-1802-4.pdf#page=4","Abrir facsímil")</f>
        <v>Abrir facsímil</v>
      </c>
      <c r="K4474" s="15" t="s">
        <v>23</v>
      </c>
    </row>
    <row r="4475" spans="1:11" ht="42" customHeight="1">
      <c r="A4475" s="4" t="s">
        <v>10967</v>
      </c>
      <c r="B4475" s="5" t="s">
        <v>10968</v>
      </c>
      <c r="C4475" s="5" t="s">
        <v>18</v>
      </c>
      <c r="D4475" s="5" t="s">
        <v>19</v>
      </c>
      <c r="E4475" s="5" t="s">
        <v>453</v>
      </c>
      <c r="F4475" s="9">
        <v>52</v>
      </c>
      <c r="G4475" s="9">
        <v>631</v>
      </c>
      <c r="H4475" s="5" t="s">
        <v>21</v>
      </c>
      <c r="I4475" s="5" t="s">
        <v>10969</v>
      </c>
      <c r="J4475" s="12" t="str">
        <f>HYPERLINK("https://www.boe.es/gazeta/dias/1802/06/29/pdfs/GMD-1802-52.pdf#page=7","Abrir facsímil")</f>
        <v>Abrir facsímil</v>
      </c>
      <c r="K4475" s="15" t="s">
        <v>23</v>
      </c>
    </row>
    <row r="4476" spans="1:11" ht="42" customHeight="1">
      <c r="A4476" s="4" t="s">
        <v>10970</v>
      </c>
      <c r="B4476" s="5" t="s">
        <v>10970</v>
      </c>
      <c r="C4476" s="5" t="s">
        <v>35</v>
      </c>
      <c r="D4476" s="5" t="s">
        <v>36</v>
      </c>
      <c r="E4476" s="5" t="s">
        <v>385</v>
      </c>
      <c r="F4476" s="9">
        <v>70</v>
      </c>
      <c r="G4476" s="9">
        <v>862</v>
      </c>
      <c r="H4476" s="5" t="s">
        <v>21</v>
      </c>
      <c r="I4476" s="5" t="s">
        <v>10971</v>
      </c>
      <c r="J4476" s="12" t="str">
        <f>HYPERLINK("https://www.boe.es/gazeta/dias/1802/08/27/pdfs/GMD-1802-70.pdf#page=10","Abrir facsímil")</f>
        <v>Abrir facsímil</v>
      </c>
      <c r="K4476" s="15" t="s">
        <v>23</v>
      </c>
    </row>
    <row r="4477" spans="1:11" ht="42" customHeight="1">
      <c r="A4477" s="4" t="s">
        <v>10972</v>
      </c>
      <c r="B4477" s="5" t="s">
        <v>10972</v>
      </c>
      <c r="C4477" s="5" t="s">
        <v>29</v>
      </c>
      <c r="D4477" s="5" t="s">
        <v>30</v>
      </c>
      <c r="E4477" s="5" t="s">
        <v>749</v>
      </c>
      <c r="F4477" s="9">
        <v>97</v>
      </c>
      <c r="G4477" s="9">
        <v>1203</v>
      </c>
      <c r="H4477" s="5" t="s">
        <v>21</v>
      </c>
      <c r="I4477" s="5" t="s">
        <v>10973</v>
      </c>
      <c r="J4477" s="12" t="str">
        <f>HYPERLINK("https://www.boe.es/gazeta/dias/1802/11/30/pdfs/GMD-1802-97.pdf#page=11","Abrir facsímil")</f>
        <v>Abrir facsímil</v>
      </c>
      <c r="K4477" s="15" t="s">
        <v>23</v>
      </c>
    </row>
    <row r="4478" spans="1:11" ht="42" customHeight="1">
      <c r="A4478" s="4" t="s">
        <v>10974</v>
      </c>
      <c r="B4478" s="5" t="s">
        <v>10975</v>
      </c>
      <c r="C4478" s="5" t="s">
        <v>29</v>
      </c>
      <c r="D4478" s="5" t="s">
        <v>30</v>
      </c>
      <c r="E4478" s="5" t="s">
        <v>574</v>
      </c>
      <c r="F4478" s="9" t="s">
        <v>575</v>
      </c>
      <c r="G4478" s="9">
        <v>711</v>
      </c>
      <c r="H4478" s="5" t="s">
        <v>21</v>
      </c>
      <c r="I4478" s="5" t="s">
        <v>10976</v>
      </c>
      <c r="J4478" s="12" t="str">
        <f>HYPERLINK("https://www.boe.es/gazeta/dias/1802/07/21/pdfs/GMD-1802-59E.pdf#page=7","Abrir facsímil")</f>
        <v>Abrir facsímil</v>
      </c>
      <c r="K4478" s="15" t="s">
        <v>23</v>
      </c>
    </row>
    <row r="4479" spans="1:11" ht="42" customHeight="1">
      <c r="A4479" s="4" t="s">
        <v>10977</v>
      </c>
      <c r="B4479" s="5" t="s">
        <v>10978</v>
      </c>
      <c r="C4479" s="5" t="s">
        <v>18</v>
      </c>
      <c r="D4479" s="5" t="s">
        <v>19</v>
      </c>
      <c r="E4479" s="5" t="s">
        <v>49</v>
      </c>
      <c r="F4479" s="9">
        <v>83</v>
      </c>
      <c r="G4479" s="9">
        <v>1024</v>
      </c>
      <c r="H4479" s="5" t="s">
        <v>21</v>
      </c>
      <c r="I4479" s="5" t="s">
        <v>10979</v>
      </c>
      <c r="J4479" s="12" t="str">
        <f>HYPERLINK("https://www.boe.es/gazeta/dias/1802/10/12/pdfs/GMD-1802-83.pdf#page=12","Abrir facsímil")</f>
        <v>Abrir facsímil</v>
      </c>
      <c r="K4479" s="15" t="s">
        <v>23</v>
      </c>
    </row>
    <row r="4480" spans="1:11" ht="42" customHeight="1">
      <c r="A4480" s="4" t="s">
        <v>10980</v>
      </c>
      <c r="B4480" s="5" t="s">
        <v>10981</v>
      </c>
      <c r="C4480" s="5" t="s">
        <v>29</v>
      </c>
      <c r="D4480" s="5" t="s">
        <v>30</v>
      </c>
      <c r="E4480" s="5" t="s">
        <v>148</v>
      </c>
      <c r="F4480" s="9">
        <v>66</v>
      </c>
      <c r="G4480" s="9">
        <v>808</v>
      </c>
      <c r="H4480" s="5" t="s">
        <v>21</v>
      </c>
      <c r="I4480" s="5" t="s">
        <v>10982</v>
      </c>
      <c r="J4480" s="12" t="str">
        <f>HYPERLINK("https://www.boe.es/gazeta/dias/1802/08/13/pdfs/GMD-1802-66.pdf#page=12","Abrir facsímil")</f>
        <v>Abrir facsímil</v>
      </c>
      <c r="K4480" s="15" t="s">
        <v>23</v>
      </c>
    </row>
    <row r="4481" spans="1:11" ht="42" customHeight="1">
      <c r="A4481" s="4" t="s">
        <v>10983</v>
      </c>
      <c r="B4481" s="5" t="s">
        <v>10984</v>
      </c>
      <c r="C4481" s="5" t="s">
        <v>160</v>
      </c>
      <c r="D4481" s="5" t="s">
        <v>91</v>
      </c>
      <c r="E4481" s="5" t="s">
        <v>206</v>
      </c>
      <c r="F4481" s="9">
        <v>22</v>
      </c>
      <c r="G4481" s="9">
        <v>247</v>
      </c>
      <c r="H4481" s="5" t="s">
        <v>21</v>
      </c>
      <c r="I4481" s="5" t="s">
        <v>10985</v>
      </c>
      <c r="J4481" s="12" t="str">
        <f>HYPERLINK("https://www.boe.es/gazeta/dias/1802/03/16/pdfs/GMD-C-1802-22.pdf#page=3","Abrir facsímil")</f>
        <v>Abrir facsímil</v>
      </c>
      <c r="K4481" s="15" t="s">
        <v>23</v>
      </c>
    </row>
    <row r="4482" spans="1:11" ht="42" customHeight="1">
      <c r="A4482" s="4" t="s">
        <v>10983</v>
      </c>
      <c r="B4482" s="5" t="s">
        <v>10984</v>
      </c>
      <c r="C4482" s="5" t="s">
        <v>160</v>
      </c>
      <c r="D4482" s="5" t="s">
        <v>91</v>
      </c>
      <c r="E4482" s="5" t="s">
        <v>167</v>
      </c>
      <c r="F4482" s="9">
        <v>23</v>
      </c>
      <c r="G4482" s="9">
        <v>261</v>
      </c>
      <c r="H4482" s="5" t="s">
        <v>21</v>
      </c>
      <c r="I4482" s="5" t="s">
        <v>10986</v>
      </c>
      <c r="J4482" s="12" t="str">
        <f>HYPERLINK("https://www.boe.es/gazeta/dias/1802/03/19/pdfs/GMD-1802-23.pdf#page=9","Abrir facsímil")</f>
        <v>Abrir facsímil</v>
      </c>
      <c r="K4482" s="15" t="s">
        <v>23</v>
      </c>
    </row>
    <row r="4483" spans="1:11" ht="42" customHeight="1">
      <c r="A4483" s="4" t="s">
        <v>10983</v>
      </c>
      <c r="B4483" s="5" t="s">
        <v>10984</v>
      </c>
      <c r="C4483" s="5" t="s">
        <v>160</v>
      </c>
      <c r="D4483" s="5" t="s">
        <v>91</v>
      </c>
      <c r="E4483" s="5" t="s">
        <v>332</v>
      </c>
      <c r="F4483" s="9">
        <v>24</v>
      </c>
      <c r="G4483" s="9">
        <v>273</v>
      </c>
      <c r="H4483" s="5" t="s">
        <v>21</v>
      </c>
      <c r="I4483" s="5" t="s">
        <v>10987</v>
      </c>
      <c r="J4483" s="12" t="str">
        <f>HYPERLINK("https://www.boe.es/gazeta/dias/1802/03/23/pdfs/GMD-1802-24.pdf#page=9","Abrir facsímil")</f>
        <v>Abrir facsímil</v>
      </c>
      <c r="K4483" s="15" t="s">
        <v>23</v>
      </c>
    </row>
    <row r="4484" spans="1:11" ht="42" customHeight="1">
      <c r="A4484" s="4" t="s">
        <v>10983</v>
      </c>
      <c r="B4484" s="5" t="s">
        <v>10984</v>
      </c>
      <c r="C4484" s="5" t="s">
        <v>160</v>
      </c>
      <c r="D4484" s="5" t="s">
        <v>91</v>
      </c>
      <c r="E4484" s="5" t="s">
        <v>517</v>
      </c>
      <c r="F4484" s="9">
        <v>61</v>
      </c>
      <c r="G4484" s="9">
        <v>742</v>
      </c>
      <c r="H4484" s="5" t="s">
        <v>21</v>
      </c>
      <c r="I4484" s="5" t="s">
        <v>10988</v>
      </c>
      <c r="J4484" s="12" t="str">
        <f>HYPERLINK("https://www.boe.es/gazeta/dias/1802/07/27/pdfs/GMD-1802-61.pdf#page=10","Abrir facsímil")</f>
        <v>Abrir facsímil</v>
      </c>
      <c r="K4484" s="15" t="s">
        <v>23</v>
      </c>
    </row>
    <row r="4485" spans="1:11" ht="42" customHeight="1">
      <c r="A4485" s="4" t="s">
        <v>10983</v>
      </c>
      <c r="B4485" s="5" t="s">
        <v>10984</v>
      </c>
      <c r="C4485" s="5" t="s">
        <v>160</v>
      </c>
      <c r="D4485" s="5" t="s">
        <v>91</v>
      </c>
      <c r="E4485" s="5" t="s">
        <v>292</v>
      </c>
      <c r="F4485" s="9">
        <v>62</v>
      </c>
      <c r="G4485" s="9">
        <v>755</v>
      </c>
      <c r="H4485" s="5" t="s">
        <v>21</v>
      </c>
      <c r="I4485" s="5" t="s">
        <v>10989</v>
      </c>
      <c r="J4485" s="12" t="str">
        <f>HYPERLINK("https://www.boe.es/gazeta/dias/1802/07/30/pdfs/GMD-1802-62.pdf#page=11","Abrir facsímil")</f>
        <v>Abrir facsímil</v>
      </c>
      <c r="K4485" s="15" t="s">
        <v>23</v>
      </c>
    </row>
    <row r="4486" spans="1:11" ht="42" customHeight="1">
      <c r="A4486" s="4" t="s">
        <v>10983</v>
      </c>
      <c r="B4486" s="5" t="s">
        <v>10984</v>
      </c>
      <c r="C4486" s="5" t="s">
        <v>160</v>
      </c>
      <c r="D4486" s="5" t="s">
        <v>91</v>
      </c>
      <c r="E4486" s="5" t="s">
        <v>1185</v>
      </c>
      <c r="F4486" s="9">
        <v>93</v>
      </c>
      <c r="G4486" s="9">
        <v>1151</v>
      </c>
      <c r="H4486" s="5" t="s">
        <v>21</v>
      </c>
      <c r="I4486" s="5" t="s">
        <v>10990</v>
      </c>
      <c r="J4486" s="12" t="str">
        <f>HYPERLINK("https://www.boe.es/gazeta/dias/1802/11/16/pdfs/GMD-1802-93.pdf#page=11","Abrir facsímil")</f>
        <v>Abrir facsímil</v>
      </c>
      <c r="K4486" s="15" t="s">
        <v>23</v>
      </c>
    </row>
    <row r="4487" spans="1:11" ht="42" customHeight="1">
      <c r="A4487" s="4" t="s">
        <v>10983</v>
      </c>
      <c r="B4487" s="5" t="s">
        <v>10984</v>
      </c>
      <c r="C4487" s="5" t="s">
        <v>160</v>
      </c>
      <c r="D4487" s="5" t="s">
        <v>91</v>
      </c>
      <c r="E4487" s="5" t="s">
        <v>185</v>
      </c>
      <c r="F4487" s="9">
        <v>95</v>
      </c>
      <c r="G4487" s="9">
        <v>1175</v>
      </c>
      <c r="H4487" s="5" t="s">
        <v>21</v>
      </c>
      <c r="I4487" s="5" t="s">
        <v>10991</v>
      </c>
      <c r="J4487" s="12" t="str">
        <f>HYPERLINK("https://www.boe.es/gazeta/dias/1802/11/23/pdfs/GMD-1802-95.pdf#page=11","Abrir facsímil")</f>
        <v>Abrir facsímil</v>
      </c>
      <c r="K4487" s="15" t="s">
        <v>23</v>
      </c>
    </row>
    <row r="4488" spans="1:11" ht="42" customHeight="1">
      <c r="A4488" s="4" t="s">
        <v>10992</v>
      </c>
      <c r="B4488" s="5" t="s">
        <v>10993</v>
      </c>
      <c r="C4488" s="5" t="s">
        <v>42</v>
      </c>
      <c r="D4488" s="5" t="s">
        <v>43</v>
      </c>
      <c r="E4488" s="5" t="s">
        <v>44</v>
      </c>
      <c r="F4488" s="9">
        <v>99</v>
      </c>
      <c r="G4488" s="9" t="s">
        <v>314</v>
      </c>
      <c r="H4488" s="5" t="s">
        <v>21</v>
      </c>
      <c r="I4488" s="5" t="s">
        <v>10994</v>
      </c>
      <c r="J4488" s="12" t="str">
        <f>HYPERLINK("https://www.boe.es/gazeta/dias/1802/12/07/pdfs/GMD-D-1802-99.pdf#page=2","Abrir facsímil")</f>
        <v>Abrir facsímil</v>
      </c>
      <c r="K4488" s="15" t="s">
        <v>23</v>
      </c>
    </row>
    <row r="4489" spans="1:11" ht="42" customHeight="1">
      <c r="A4489" s="4" t="s">
        <v>10995</v>
      </c>
      <c r="B4489" s="5" t="s">
        <v>10996</v>
      </c>
      <c r="C4489" s="5" t="s">
        <v>18</v>
      </c>
      <c r="D4489" s="5" t="s">
        <v>19</v>
      </c>
      <c r="E4489" s="5" t="s">
        <v>20</v>
      </c>
      <c r="F4489" s="9">
        <v>84</v>
      </c>
      <c r="G4489" s="9">
        <v>1042</v>
      </c>
      <c r="H4489" s="5" t="s">
        <v>21</v>
      </c>
      <c r="I4489" s="5" t="s">
        <v>10997</v>
      </c>
      <c r="J4489" s="12" t="str">
        <f>HYPERLINK("https://www.boe.es/gazeta/dias/1802/10/15/pdfs/GMD-1802-84.pdf#page=10","Abrir facsímil")</f>
        <v>Abrir facsímil</v>
      </c>
      <c r="K4489" s="15" t="s">
        <v>23</v>
      </c>
    </row>
    <row r="4490" spans="1:11" ht="42" customHeight="1">
      <c r="A4490" s="4" t="s">
        <v>10998</v>
      </c>
      <c r="B4490" s="5" t="s">
        <v>10999</v>
      </c>
      <c r="C4490" s="5" t="s">
        <v>90</v>
      </c>
      <c r="D4490" s="5" t="s">
        <v>91</v>
      </c>
      <c r="E4490" s="5" t="s">
        <v>152</v>
      </c>
      <c r="F4490" s="9">
        <v>25</v>
      </c>
      <c r="G4490" s="9">
        <v>286</v>
      </c>
      <c r="H4490" s="5" t="s">
        <v>21</v>
      </c>
      <c r="I4490" s="5" t="s">
        <v>11000</v>
      </c>
      <c r="J4490" s="12" t="str">
        <f>HYPERLINK("https://www.boe.es/gazeta/dias/1802/03/26/pdfs/GMD-1802-25.pdf#page=10","Abrir facsímil")</f>
        <v>Abrir facsímil</v>
      </c>
      <c r="K4490" s="15" t="s">
        <v>23</v>
      </c>
    </row>
    <row r="4491" spans="1:11" ht="42" customHeight="1">
      <c r="A4491" s="4" t="s">
        <v>11001</v>
      </c>
      <c r="B4491" s="5" t="s">
        <v>11002</v>
      </c>
      <c r="C4491" s="5" t="s">
        <v>42</v>
      </c>
      <c r="D4491" s="5" t="s">
        <v>43</v>
      </c>
      <c r="E4491" s="5" t="s">
        <v>44</v>
      </c>
      <c r="F4491" s="9">
        <v>99</v>
      </c>
      <c r="G4491" s="9" t="s">
        <v>251</v>
      </c>
      <c r="H4491" s="5" t="s">
        <v>21</v>
      </c>
      <c r="I4491" s="5" t="s">
        <v>11003</v>
      </c>
      <c r="J4491" s="12" t="str">
        <f>HYPERLINK("https://www.boe.es/gazeta/dias/1802/12/07/pdfs/GMD-D-1802-99.pdf#page=6","Abrir facsímil")</f>
        <v>Abrir facsímil</v>
      </c>
      <c r="K4491" s="15" t="s">
        <v>23</v>
      </c>
    </row>
    <row r="4492" spans="1:11" ht="42" customHeight="1">
      <c r="A4492" s="4" t="s">
        <v>11004</v>
      </c>
      <c r="B4492" s="5" t="s">
        <v>11004</v>
      </c>
      <c r="C4492" s="5" t="s">
        <v>18</v>
      </c>
      <c r="D4492" s="5" t="s">
        <v>19</v>
      </c>
      <c r="E4492" s="5" t="s">
        <v>20</v>
      </c>
      <c r="F4492" s="9">
        <v>84</v>
      </c>
      <c r="G4492" s="9">
        <v>1040</v>
      </c>
      <c r="H4492" s="5" t="s">
        <v>21</v>
      </c>
      <c r="I4492" s="5" t="s">
        <v>11005</v>
      </c>
      <c r="J4492" s="12" t="str">
        <f>HYPERLINK("https://www.boe.es/gazeta/dias/1802/10/15/pdfs/GMD-1802-84.pdf#page=8","Abrir facsímil")</f>
        <v>Abrir facsímil</v>
      </c>
      <c r="K4492" s="15" t="s">
        <v>23</v>
      </c>
    </row>
    <row r="4493" spans="1:11" ht="42" customHeight="1">
      <c r="A4493" s="4" t="s">
        <v>11006</v>
      </c>
      <c r="B4493" s="5" t="s">
        <v>11007</v>
      </c>
      <c r="C4493" s="5" t="s">
        <v>35</v>
      </c>
      <c r="D4493" s="5" t="s">
        <v>36</v>
      </c>
      <c r="E4493" s="5" t="s">
        <v>339</v>
      </c>
      <c r="F4493" s="9">
        <v>39</v>
      </c>
      <c r="G4493" s="9">
        <v>466</v>
      </c>
      <c r="H4493" s="5" t="s">
        <v>21</v>
      </c>
      <c r="I4493" s="5" t="s">
        <v>11008</v>
      </c>
      <c r="J4493" s="12" t="str">
        <f>HYPERLINK("https://www.boe.es/gazeta/dias/1802/05/14/pdfs/GMD-1802-39.pdf#page=10","Abrir facsímil")</f>
        <v>Abrir facsímil</v>
      </c>
      <c r="K4493" s="15" t="s">
        <v>23</v>
      </c>
    </row>
    <row r="4494" spans="1:11" ht="42" customHeight="1">
      <c r="A4494" s="4" t="s">
        <v>11009</v>
      </c>
      <c r="B4494" s="5" t="s">
        <v>11010</v>
      </c>
      <c r="C4494" s="5" t="s">
        <v>18</v>
      </c>
      <c r="D4494" s="5" t="s">
        <v>19</v>
      </c>
      <c r="E4494" s="5" t="s">
        <v>75</v>
      </c>
      <c r="F4494" s="9">
        <v>103</v>
      </c>
      <c r="G4494" s="9">
        <v>1263</v>
      </c>
      <c r="H4494" s="5" t="s">
        <v>21</v>
      </c>
      <c r="I4494" s="5" t="s">
        <v>11011</v>
      </c>
      <c r="J4494" s="12" t="str">
        <f>HYPERLINK("https://www.boe.es/gazeta/dias/1802/12/21/pdfs/GMD-1802-103.pdf#page=7","Abrir facsímil")</f>
        <v>Abrir facsímil</v>
      </c>
      <c r="K4494" s="15" t="s">
        <v>23</v>
      </c>
    </row>
    <row r="4495" spans="1:11" ht="42" customHeight="1">
      <c r="A4495" s="4" t="s">
        <v>11012</v>
      </c>
      <c r="B4495" s="5" t="s">
        <v>11012</v>
      </c>
      <c r="C4495" s="5" t="s">
        <v>18</v>
      </c>
      <c r="D4495" s="5" t="s">
        <v>19</v>
      </c>
      <c r="E4495" s="5" t="s">
        <v>196</v>
      </c>
      <c r="F4495" s="9">
        <v>2</v>
      </c>
      <c r="G4495" s="9">
        <v>12</v>
      </c>
      <c r="H4495" s="5" t="s">
        <v>21</v>
      </c>
      <c r="I4495" s="5" t="s">
        <v>11013</v>
      </c>
      <c r="J4495" s="12" t="str">
        <f>HYPERLINK("https://www.boe.es/gazeta/dias/1802/01/05/pdfs/GMD-1802-2.pdf#page=4","Abrir facsímil")</f>
        <v>Abrir facsímil</v>
      </c>
      <c r="K4495" s="15" t="s">
        <v>23</v>
      </c>
    </row>
    <row r="4496" spans="1:11" ht="42" customHeight="1">
      <c r="A4496" s="4" t="s">
        <v>11012</v>
      </c>
      <c r="B4496" s="5" t="s">
        <v>11012</v>
      </c>
      <c r="C4496" s="5" t="s">
        <v>29</v>
      </c>
      <c r="D4496" s="5" t="s">
        <v>30</v>
      </c>
      <c r="E4496" s="5" t="s">
        <v>1374</v>
      </c>
      <c r="F4496" s="9">
        <v>71</v>
      </c>
      <c r="G4496" s="9">
        <v>867</v>
      </c>
      <c r="H4496" s="5" t="s">
        <v>21</v>
      </c>
      <c r="I4496" s="5" t="s">
        <v>11014</v>
      </c>
      <c r="J4496" s="12" t="str">
        <f>HYPERLINK("https://www.boe.es/gazeta/dias/1802/08/31/pdfs/GMD-1802-71.pdf#page=3","Abrir facsímil")</f>
        <v>Abrir facsímil</v>
      </c>
      <c r="K4496" s="15" t="s">
        <v>23</v>
      </c>
    </row>
    <row r="4497" spans="1:11" ht="42" customHeight="1">
      <c r="A4497" s="4" t="s">
        <v>11012</v>
      </c>
      <c r="B4497" s="5" t="s">
        <v>11012</v>
      </c>
      <c r="C4497" s="5" t="s">
        <v>29</v>
      </c>
      <c r="D4497" s="5" t="s">
        <v>30</v>
      </c>
      <c r="E4497" s="5" t="s">
        <v>219</v>
      </c>
      <c r="F4497" s="9">
        <v>81</v>
      </c>
      <c r="G4497" s="9">
        <v>993</v>
      </c>
      <c r="H4497" s="5" t="s">
        <v>21</v>
      </c>
      <c r="I4497" s="5" t="s">
        <v>11015</v>
      </c>
      <c r="J4497" s="12" t="str">
        <f>HYPERLINK("https://www.boe.es/gazeta/dias/1802/10/05/pdfs/GMD-1802-81.pdf#page=5","Abrir facsímil")</f>
        <v>Abrir facsímil</v>
      </c>
      <c r="K4497" s="15" t="s">
        <v>23</v>
      </c>
    </row>
    <row r="4498" spans="1:11" ht="42" customHeight="1">
      <c r="A4498" s="4" t="s">
        <v>11012</v>
      </c>
      <c r="B4498" s="5" t="s">
        <v>11012</v>
      </c>
      <c r="C4498" s="5" t="s">
        <v>29</v>
      </c>
      <c r="D4498" s="5" t="s">
        <v>30</v>
      </c>
      <c r="E4498" s="5" t="s">
        <v>710</v>
      </c>
      <c r="F4498" s="9">
        <v>85</v>
      </c>
      <c r="G4498" s="9">
        <v>1053</v>
      </c>
      <c r="H4498" s="5" t="s">
        <v>21</v>
      </c>
      <c r="I4498" s="5" t="s">
        <v>11016</v>
      </c>
      <c r="J4498" s="12" t="str">
        <f>HYPERLINK("https://www.boe.es/gazeta/dias/1802/10/19/pdfs/GMD-1802-85.pdf#page=5","Abrir facsímil")</f>
        <v>Abrir facsímil</v>
      </c>
      <c r="K4498" s="15" t="s">
        <v>23</v>
      </c>
    </row>
    <row r="4499" spans="1:11" ht="42" customHeight="1">
      <c r="A4499" s="4" t="s">
        <v>11017</v>
      </c>
      <c r="B4499" s="5" t="s">
        <v>11018</v>
      </c>
      <c r="C4499" s="5" t="s">
        <v>29</v>
      </c>
      <c r="D4499" s="5" t="s">
        <v>30</v>
      </c>
      <c r="E4499" s="5" t="s">
        <v>60</v>
      </c>
      <c r="F4499" s="9">
        <v>5</v>
      </c>
      <c r="G4499" s="9">
        <v>47</v>
      </c>
      <c r="H4499" s="5" t="s">
        <v>21</v>
      </c>
      <c r="I4499" s="5" t="s">
        <v>11019</v>
      </c>
      <c r="J4499" s="12" t="str">
        <f>HYPERLINK("https://www.boe.es/gazeta/dias/1802/01/15/pdfs/GMD-1802-5.pdf#page=3","Abrir facsímil")</f>
        <v>Abrir facsímil</v>
      </c>
      <c r="K4499" s="15" t="s">
        <v>23</v>
      </c>
    </row>
    <row r="4500" spans="1:11" ht="42" customHeight="1">
      <c r="A4500" s="4" t="s">
        <v>11020</v>
      </c>
      <c r="B4500" s="5" t="s">
        <v>11020</v>
      </c>
      <c r="C4500" s="5" t="s">
        <v>35</v>
      </c>
      <c r="D4500" s="5" t="s">
        <v>36</v>
      </c>
      <c r="E4500" s="5" t="s">
        <v>148</v>
      </c>
      <c r="F4500" s="9">
        <v>66</v>
      </c>
      <c r="G4500" s="9">
        <v>806</v>
      </c>
      <c r="H4500" s="5" t="s">
        <v>21</v>
      </c>
      <c r="I4500" s="5" t="s">
        <v>11021</v>
      </c>
      <c r="J4500" s="12" t="str">
        <f>HYPERLINK("https://www.boe.es/gazeta/dias/1802/08/13/pdfs/GMD-1802-66.pdf#page=10","Abrir facsímil")</f>
        <v>Abrir facsímil</v>
      </c>
      <c r="K4500" s="15" t="s">
        <v>23</v>
      </c>
    </row>
    <row r="4501" spans="1:11" ht="42" customHeight="1">
      <c r="A4501" s="4" t="s">
        <v>11022</v>
      </c>
      <c r="B4501" s="5" t="s">
        <v>11023</v>
      </c>
      <c r="C4501" s="5" t="s">
        <v>18</v>
      </c>
      <c r="D4501" s="5" t="s">
        <v>19</v>
      </c>
      <c r="E4501" s="5" t="s">
        <v>20</v>
      </c>
      <c r="F4501" s="9">
        <v>84</v>
      </c>
      <c r="G4501" s="9">
        <v>1045</v>
      </c>
      <c r="H4501" s="5" t="s">
        <v>21</v>
      </c>
      <c r="I4501" s="5" t="s">
        <v>11024</v>
      </c>
      <c r="J4501" s="12" t="str">
        <f>HYPERLINK("https://www.boe.es/gazeta/dias/1802/10/15/pdfs/GMD-1802-84.pdf#page=13","Abrir facsímil")</f>
        <v>Abrir facsímil</v>
      </c>
      <c r="K4501" s="15" t="s">
        <v>23</v>
      </c>
    </row>
    <row r="4502" spans="1:11" ht="42" customHeight="1">
      <c r="A4502" s="4" t="s">
        <v>11025</v>
      </c>
      <c r="B4502" s="5" t="s">
        <v>11026</v>
      </c>
      <c r="C4502" s="5" t="s">
        <v>160</v>
      </c>
      <c r="D4502" s="5" t="s">
        <v>91</v>
      </c>
      <c r="E4502" s="5" t="s">
        <v>823</v>
      </c>
      <c r="F4502" s="9">
        <v>94</v>
      </c>
      <c r="G4502" s="9">
        <v>1164</v>
      </c>
      <c r="H4502" s="5" t="s">
        <v>21</v>
      </c>
      <c r="I4502" s="5" t="s">
        <v>11027</v>
      </c>
      <c r="J4502" s="12" t="str">
        <f>HYPERLINK("https://www.boe.es/gazeta/dias/1802/11/19/pdfs/GMD-1802-94.pdf#page=12","Abrir facsímil")</f>
        <v>Abrir facsímil</v>
      </c>
      <c r="K4502" s="15" t="s">
        <v>23</v>
      </c>
    </row>
    <row r="4503" spans="1:11" ht="42" customHeight="1">
      <c r="A4503" s="4" t="s">
        <v>11028</v>
      </c>
      <c r="B4503" s="5" t="s">
        <v>11029</v>
      </c>
      <c r="C4503" s="5" t="s">
        <v>42</v>
      </c>
      <c r="D4503" s="5" t="s">
        <v>43</v>
      </c>
      <c r="E4503" s="5" t="s">
        <v>44</v>
      </c>
      <c r="F4503" s="9">
        <v>99</v>
      </c>
      <c r="G4503" s="9" t="s">
        <v>548</v>
      </c>
      <c r="H4503" s="5" t="s">
        <v>21</v>
      </c>
      <c r="I4503" s="5" t="s">
        <v>11030</v>
      </c>
      <c r="J4503" s="12" t="str">
        <f>HYPERLINK("https://www.boe.es/gazeta/dias/1802/12/07/pdfs/GMD-D-1802-99.pdf#page=12","Abrir facsímil")</f>
        <v>Abrir facsímil</v>
      </c>
      <c r="K4503" s="15" t="s">
        <v>23</v>
      </c>
    </row>
    <row r="4504" spans="1:11" ht="42" customHeight="1">
      <c r="A4504" s="4" t="s">
        <v>11031</v>
      </c>
      <c r="B4504" s="5" t="s">
        <v>11032</v>
      </c>
      <c r="C4504" s="5" t="s">
        <v>90</v>
      </c>
      <c r="D4504" s="5" t="s">
        <v>91</v>
      </c>
      <c r="E4504" s="5" t="s">
        <v>60</v>
      </c>
      <c r="F4504" s="9">
        <v>5</v>
      </c>
      <c r="G4504" s="9">
        <v>50</v>
      </c>
      <c r="H4504" s="5" t="s">
        <v>21</v>
      </c>
      <c r="I4504" s="5" t="s">
        <v>11033</v>
      </c>
      <c r="J4504" s="12" t="str">
        <f>HYPERLINK("https://www.boe.es/gazeta/dias/1802/01/15/pdfs/GMD-1802-5.pdf#page=6","Abrir facsímil")</f>
        <v>Abrir facsímil</v>
      </c>
      <c r="K4504" s="15" t="s">
        <v>23</v>
      </c>
    </row>
    <row r="4505" spans="1:11" ht="42" customHeight="1">
      <c r="A4505" s="4" t="s">
        <v>11034</v>
      </c>
      <c r="B4505" s="5" t="s">
        <v>11035</v>
      </c>
      <c r="C4505" s="5" t="s">
        <v>29</v>
      </c>
      <c r="D4505" s="5" t="s">
        <v>30</v>
      </c>
      <c r="E4505" s="5" t="s">
        <v>299</v>
      </c>
      <c r="F4505" s="9">
        <v>19</v>
      </c>
      <c r="G4505" s="9">
        <v>210</v>
      </c>
      <c r="H4505" s="5" t="s">
        <v>21</v>
      </c>
      <c r="I4505" s="5" t="s">
        <v>11036</v>
      </c>
      <c r="J4505" s="12" t="str">
        <f>HYPERLINK("https://www.boe.es/gazeta/dias/1802/03/05/pdfs/GMD-1802-19.pdf#page=10","Abrir facsímil")</f>
        <v>Abrir facsímil</v>
      </c>
      <c r="K4505" s="15" t="s">
        <v>23</v>
      </c>
    </row>
    <row r="4506" spans="1:11" ht="42" customHeight="1">
      <c r="A4506" s="4" t="s">
        <v>11037</v>
      </c>
      <c r="B4506" s="5" t="s">
        <v>11038</v>
      </c>
      <c r="C4506" s="5" t="s">
        <v>18</v>
      </c>
      <c r="D4506" s="5" t="s">
        <v>19</v>
      </c>
      <c r="E4506" s="5" t="s">
        <v>49</v>
      </c>
      <c r="F4506" s="9">
        <v>83</v>
      </c>
      <c r="G4506" s="9">
        <v>1023</v>
      </c>
      <c r="H4506" s="5" t="s">
        <v>21</v>
      </c>
      <c r="I4506" s="5" t="s">
        <v>11039</v>
      </c>
      <c r="J4506" s="12" t="str">
        <f>HYPERLINK("https://www.boe.es/gazeta/dias/1802/10/12/pdfs/GMD-1802-83.pdf#page=11","Abrir facsímil")</f>
        <v>Abrir facsímil</v>
      </c>
      <c r="K4506" s="15" t="s">
        <v>23</v>
      </c>
    </row>
    <row r="4507" spans="1:11" ht="42" customHeight="1">
      <c r="A4507" s="4" t="s">
        <v>11040</v>
      </c>
      <c r="B4507" s="5" t="s">
        <v>11041</v>
      </c>
      <c r="C4507" s="5" t="s">
        <v>42</v>
      </c>
      <c r="D4507" s="5" t="s">
        <v>43</v>
      </c>
      <c r="E4507" s="5" t="s">
        <v>44</v>
      </c>
      <c r="F4507" s="9">
        <v>99</v>
      </c>
      <c r="G4507" s="9" t="s">
        <v>78</v>
      </c>
      <c r="H4507" s="5" t="s">
        <v>21</v>
      </c>
      <c r="I4507" s="5" t="s">
        <v>11042</v>
      </c>
      <c r="J4507" s="12" t="str">
        <f>HYPERLINK("https://www.boe.es/gazeta/dias/1802/12/07/pdfs/GMD-D-1802-99.pdf#page=15","Abrir facsímil")</f>
        <v>Abrir facsímil</v>
      </c>
      <c r="K4507" s="15" t="s">
        <v>23</v>
      </c>
    </row>
    <row r="4508" spans="1:11" ht="42" customHeight="1">
      <c r="A4508" s="4" t="s">
        <v>11043</v>
      </c>
      <c r="B4508" s="5" t="s">
        <v>11044</v>
      </c>
      <c r="C4508" s="5" t="s">
        <v>18</v>
      </c>
      <c r="D4508" s="5" t="s">
        <v>19</v>
      </c>
      <c r="E4508" s="5" t="s">
        <v>196</v>
      </c>
      <c r="F4508" s="9">
        <v>2</v>
      </c>
      <c r="G4508" s="9">
        <v>18</v>
      </c>
      <c r="H4508" s="5" t="s">
        <v>21</v>
      </c>
      <c r="I4508" s="5" t="s">
        <v>11045</v>
      </c>
      <c r="J4508" s="12" t="str">
        <f>HYPERLINK("https://www.boe.es/gazeta/dias/1802/01/05/pdfs/GMD-1802-2.pdf#page=10","Abrir facsímil")</f>
        <v>Abrir facsímil</v>
      </c>
      <c r="K4508" s="15" t="s">
        <v>23</v>
      </c>
    </row>
    <row r="4509" spans="1:11" ht="42" customHeight="1">
      <c r="A4509" s="4" t="s">
        <v>11046</v>
      </c>
      <c r="B4509" s="5" t="s">
        <v>11046</v>
      </c>
      <c r="C4509" s="5" t="s">
        <v>18</v>
      </c>
      <c r="D4509" s="5" t="s">
        <v>19</v>
      </c>
      <c r="E4509" s="5" t="s">
        <v>25</v>
      </c>
      <c r="F4509" s="9">
        <v>44</v>
      </c>
      <c r="G4509" s="9">
        <v>527</v>
      </c>
      <c r="H4509" s="5" t="s">
        <v>21</v>
      </c>
      <c r="I4509" s="5" t="s">
        <v>11047</v>
      </c>
      <c r="J4509" s="12" t="str">
        <f>HYPERLINK("https://www.boe.es/gazeta/dias/1802/06/01/pdfs/GMD-1802-44.pdf#page=3","Abrir facsímil")</f>
        <v>Abrir facsímil</v>
      </c>
      <c r="K4509" s="15" t="s">
        <v>23</v>
      </c>
    </row>
    <row r="4510" spans="1:11" ht="42" customHeight="1">
      <c r="A4510" s="4" t="s">
        <v>11048</v>
      </c>
      <c r="B4510" s="5" t="s">
        <v>11049</v>
      </c>
      <c r="C4510" s="5" t="s">
        <v>18</v>
      </c>
      <c r="D4510" s="5" t="s">
        <v>19</v>
      </c>
      <c r="E4510" s="5" t="s">
        <v>20</v>
      </c>
      <c r="F4510" s="9">
        <v>84</v>
      </c>
      <c r="G4510" s="9">
        <v>1046</v>
      </c>
      <c r="H4510" s="5" t="s">
        <v>21</v>
      </c>
      <c r="I4510" s="5" t="s">
        <v>11050</v>
      </c>
      <c r="J4510" s="12" t="str">
        <f>HYPERLINK("https://www.boe.es/gazeta/dias/1802/10/15/pdfs/GMD-1802-84.pdf#page=14","Abrir facsímil")</f>
        <v>Abrir facsímil</v>
      </c>
      <c r="K4510" s="15" t="s">
        <v>23</v>
      </c>
    </row>
    <row r="4511" spans="1:11" ht="42" customHeight="1">
      <c r="A4511" s="4" t="s">
        <v>11051</v>
      </c>
      <c r="B4511" s="5" t="s">
        <v>11052</v>
      </c>
      <c r="C4511" s="5" t="s">
        <v>55</v>
      </c>
      <c r="D4511" s="5" t="s">
        <v>56</v>
      </c>
      <c r="E4511" s="5" t="s">
        <v>185</v>
      </c>
      <c r="F4511" s="9">
        <v>95</v>
      </c>
      <c r="G4511" s="9">
        <v>1176</v>
      </c>
      <c r="H4511" s="5" t="s">
        <v>21</v>
      </c>
      <c r="I4511" s="5" t="s">
        <v>11053</v>
      </c>
      <c r="J4511" s="12" t="str">
        <f>HYPERLINK("https://www.boe.es/gazeta/dias/1802/11/23/pdfs/GMD-1802-95.pdf#page=12","Abrir facsímil")</f>
        <v>Abrir facsímil</v>
      </c>
      <c r="K4511" s="15" t="s">
        <v>23</v>
      </c>
    </row>
    <row r="4512" spans="1:11" ht="42" customHeight="1">
      <c r="A4512" s="4" t="s">
        <v>11054</v>
      </c>
      <c r="B4512" s="5" t="s">
        <v>11055</v>
      </c>
      <c r="C4512" s="5" t="s">
        <v>160</v>
      </c>
      <c r="D4512" s="5" t="s">
        <v>91</v>
      </c>
      <c r="E4512" s="5" t="s">
        <v>71</v>
      </c>
      <c r="F4512" s="9">
        <v>21</v>
      </c>
      <c r="G4512" s="9">
        <v>234</v>
      </c>
      <c r="H4512" s="5" t="s">
        <v>21</v>
      </c>
      <c r="I4512" s="5" t="s">
        <v>11056</v>
      </c>
      <c r="J4512" s="12" t="str">
        <f>HYPERLINK("https://www.boe.es/gazeta/dias/1802/03/12/pdfs/GMD-1802-21.pdf#page=10","Abrir facsímil")</f>
        <v>Abrir facsímil</v>
      </c>
      <c r="K4512" s="15" t="s">
        <v>23</v>
      </c>
    </row>
    <row r="4513" spans="1:11" ht="42" customHeight="1">
      <c r="A4513" s="4" t="s">
        <v>11057</v>
      </c>
      <c r="B4513" s="5" t="s">
        <v>11058</v>
      </c>
      <c r="C4513" s="5" t="s">
        <v>55</v>
      </c>
      <c r="D4513" s="5" t="s">
        <v>56</v>
      </c>
      <c r="E4513" s="5" t="s">
        <v>49</v>
      </c>
      <c r="F4513" s="9">
        <v>83</v>
      </c>
      <c r="G4513" s="9">
        <v>1024</v>
      </c>
      <c r="H4513" s="5" t="s">
        <v>21</v>
      </c>
      <c r="I4513" s="5" t="s">
        <v>11059</v>
      </c>
      <c r="J4513" s="12" t="str">
        <f>HYPERLINK("https://www.boe.es/gazeta/dias/1802/10/12/pdfs/GMD-1802-83.pdf#page=12","Abrir facsímil")</f>
        <v>Abrir facsímil</v>
      </c>
      <c r="K4513" s="15" t="s">
        <v>23</v>
      </c>
    </row>
    <row r="4514" spans="1:11" ht="42" customHeight="1">
      <c r="A4514" s="4" t="s">
        <v>11060</v>
      </c>
      <c r="B4514" s="5" t="s">
        <v>11061</v>
      </c>
      <c r="C4514" s="5" t="s">
        <v>18</v>
      </c>
      <c r="D4514" s="5" t="s">
        <v>19</v>
      </c>
      <c r="E4514" s="5" t="s">
        <v>332</v>
      </c>
      <c r="F4514" s="9">
        <v>24</v>
      </c>
      <c r="G4514" s="9">
        <v>274</v>
      </c>
      <c r="H4514" s="5" t="s">
        <v>21</v>
      </c>
      <c r="I4514" s="5" t="s">
        <v>11062</v>
      </c>
      <c r="J4514" s="12" t="str">
        <f>HYPERLINK("https://www.boe.es/gazeta/dias/1802/03/23/pdfs/GMD-1802-24.pdf#page=10","Abrir facsímil")</f>
        <v>Abrir facsímil</v>
      </c>
      <c r="K4514" s="15" t="s">
        <v>23</v>
      </c>
    </row>
    <row r="4515" spans="1:11" ht="42" customHeight="1">
      <c r="A4515" s="4" t="s">
        <v>11063</v>
      </c>
      <c r="B4515" s="5" t="s">
        <v>11064</v>
      </c>
      <c r="C4515" s="5" t="s">
        <v>29</v>
      </c>
      <c r="D4515" s="5" t="s">
        <v>30</v>
      </c>
      <c r="E4515" s="5" t="s">
        <v>1374</v>
      </c>
      <c r="F4515" s="9">
        <v>71</v>
      </c>
      <c r="G4515" s="9">
        <v>874</v>
      </c>
      <c r="H4515" s="5" t="s">
        <v>21</v>
      </c>
      <c r="I4515" s="5" t="s">
        <v>11065</v>
      </c>
      <c r="J4515" s="12" t="str">
        <f>HYPERLINK("https://www.boe.es/gazeta/dias/1802/08/31/pdfs/GMD-1802-71.pdf#page=10","Abrir facsímil")</f>
        <v>Abrir facsímil</v>
      </c>
      <c r="K4515" s="15" t="s">
        <v>23</v>
      </c>
    </row>
    <row r="4516" spans="1:11" ht="42" customHeight="1">
      <c r="A4516" s="4" t="s">
        <v>11066</v>
      </c>
      <c r="B4516" s="5" t="s">
        <v>11067</v>
      </c>
      <c r="C4516" s="5" t="s">
        <v>90</v>
      </c>
      <c r="D4516" s="5" t="s">
        <v>91</v>
      </c>
      <c r="E4516" s="5" t="s">
        <v>655</v>
      </c>
      <c r="F4516" s="9">
        <v>46</v>
      </c>
      <c r="G4516" s="9">
        <v>558</v>
      </c>
      <c r="H4516" s="5" t="s">
        <v>21</v>
      </c>
      <c r="I4516" s="5" t="s">
        <v>11068</v>
      </c>
      <c r="J4516" s="12" t="str">
        <f>HYPERLINK("https://www.boe.es/gazeta/dias/1802/06/08/pdfs/GMD-1802-46.pdf#page=10","Abrir facsímil")</f>
        <v>Abrir facsímil</v>
      </c>
      <c r="K4516" s="15" t="s">
        <v>23</v>
      </c>
    </row>
    <row r="4517" spans="1:11" ht="42" customHeight="1">
      <c r="A4517" s="4" t="s">
        <v>11069</v>
      </c>
      <c r="B4517" s="5" t="s">
        <v>11070</v>
      </c>
      <c r="C4517" s="5" t="s">
        <v>18</v>
      </c>
      <c r="D4517" s="5" t="s">
        <v>19</v>
      </c>
      <c r="E4517" s="5" t="s">
        <v>389</v>
      </c>
      <c r="F4517" s="9">
        <v>96</v>
      </c>
      <c r="G4517" s="9">
        <v>1191</v>
      </c>
      <c r="H4517" s="5" t="s">
        <v>21</v>
      </c>
      <c r="I4517" s="5" t="s">
        <v>11071</v>
      </c>
      <c r="J4517" s="12" t="str">
        <f>HYPERLINK("https://www.boe.es/gazeta/dias/1802/11/26/pdfs/GMD-1802-96.pdf#page=11","Abrir facsímil")</f>
        <v>Abrir facsímil</v>
      </c>
      <c r="K4517" s="15" t="s">
        <v>23</v>
      </c>
    </row>
    <row r="4518" spans="1:11" ht="42" customHeight="1">
      <c r="A4518" s="4" t="s">
        <v>11072</v>
      </c>
      <c r="B4518" s="5" t="s">
        <v>11073</v>
      </c>
      <c r="C4518" s="5" t="s">
        <v>29</v>
      </c>
      <c r="D4518" s="5" t="s">
        <v>30</v>
      </c>
      <c r="E4518" s="5" t="s">
        <v>635</v>
      </c>
      <c r="F4518" s="9">
        <v>47</v>
      </c>
      <c r="G4518" s="9">
        <v>573</v>
      </c>
      <c r="H4518" s="5" t="s">
        <v>21</v>
      </c>
      <c r="I4518" s="5" t="s">
        <v>11074</v>
      </c>
      <c r="J4518" s="12" t="str">
        <f>HYPERLINK("https://www.boe.es/gazeta/dias/1802/06/11/pdfs/GMD-1802-47.pdf#page=9","Abrir facsímil")</f>
        <v>Abrir facsímil</v>
      </c>
      <c r="K4518" s="15" t="s">
        <v>23</v>
      </c>
    </row>
    <row r="4519" spans="1:11" ht="42" customHeight="1">
      <c r="A4519" s="4" t="s">
        <v>11075</v>
      </c>
      <c r="B4519" s="5" t="s">
        <v>11076</v>
      </c>
      <c r="C4519" s="5" t="s">
        <v>160</v>
      </c>
      <c r="D4519" s="5" t="s">
        <v>91</v>
      </c>
      <c r="E4519" s="5" t="s">
        <v>146</v>
      </c>
      <c r="F4519" s="9">
        <v>42</v>
      </c>
      <c r="G4519" s="9">
        <v>504</v>
      </c>
      <c r="H4519" s="5" t="s">
        <v>21</v>
      </c>
      <c r="I4519" s="5" t="s">
        <v>11077</v>
      </c>
      <c r="J4519" s="12" t="str">
        <f>HYPERLINK("https://www.boe.es/gazeta/dias/1802/05/25/pdfs/GMD-1802-42.pdf#page=8","Abrir facsímil")</f>
        <v>Abrir facsímil</v>
      </c>
      <c r="K4519" s="15" t="s">
        <v>23</v>
      </c>
    </row>
    <row r="4520" spans="1:11" ht="42" customHeight="1">
      <c r="A4520" s="4" t="s">
        <v>11078</v>
      </c>
      <c r="B4520" s="5" t="s">
        <v>11079</v>
      </c>
      <c r="C4520" s="5" t="s">
        <v>90</v>
      </c>
      <c r="D4520" s="5" t="s">
        <v>91</v>
      </c>
      <c r="E4520" s="5" t="s">
        <v>642</v>
      </c>
      <c r="F4520" s="9">
        <v>51</v>
      </c>
      <c r="G4520" s="9">
        <v>623</v>
      </c>
      <c r="H4520" s="5" t="s">
        <v>21</v>
      </c>
      <c r="I4520" s="5" t="s">
        <v>11080</v>
      </c>
      <c r="J4520" s="12" t="str">
        <f>HYPERLINK("https://www.boe.es/gazeta/dias/1802/06/25/pdfs/GMD-1802-51.pdf#page=11","Abrir facsímil")</f>
        <v>Abrir facsímil</v>
      </c>
      <c r="K4520" s="15" t="s">
        <v>23</v>
      </c>
    </row>
    <row r="4521" spans="1:11" ht="42" customHeight="1">
      <c r="A4521" s="4" t="s">
        <v>11081</v>
      </c>
      <c r="B4521" s="5" t="s">
        <v>11082</v>
      </c>
      <c r="C4521" s="5" t="s">
        <v>90</v>
      </c>
      <c r="D4521" s="5" t="s">
        <v>91</v>
      </c>
      <c r="E4521" s="5" t="s">
        <v>1618</v>
      </c>
      <c r="F4521" s="9">
        <v>31</v>
      </c>
      <c r="G4521" s="9">
        <v>366</v>
      </c>
      <c r="H4521" s="5" t="s">
        <v>21</v>
      </c>
      <c r="I4521" s="5" t="s">
        <v>11083</v>
      </c>
      <c r="J4521" s="12" t="str">
        <f>HYPERLINK("https://www.boe.es/gazeta/dias/1802/04/16/pdfs/GMD-1802-31.pdf#page=10","Abrir facsímil")</f>
        <v>Abrir facsímil</v>
      </c>
      <c r="K4521" s="15" t="s">
        <v>23</v>
      </c>
    </row>
    <row r="4522" spans="1:11" ht="42" customHeight="1">
      <c r="A4522" s="4" t="s">
        <v>11084</v>
      </c>
      <c r="B4522" s="5" t="s">
        <v>11085</v>
      </c>
      <c r="C4522" s="5" t="s">
        <v>18</v>
      </c>
      <c r="D4522" s="5" t="s">
        <v>19</v>
      </c>
      <c r="E4522" s="5" t="s">
        <v>49</v>
      </c>
      <c r="F4522" s="9">
        <v>83</v>
      </c>
      <c r="G4522" s="9">
        <v>1025</v>
      </c>
      <c r="H4522" s="5" t="s">
        <v>21</v>
      </c>
      <c r="I4522" s="5" t="s">
        <v>11086</v>
      </c>
      <c r="J4522" s="12" t="str">
        <f>HYPERLINK("https://www.boe.es/gazeta/dias/1802/10/12/pdfs/GMD-1802-83.pdf#page=13","Abrir facsímil")</f>
        <v>Abrir facsímil</v>
      </c>
      <c r="K4522" s="15" t="s">
        <v>23</v>
      </c>
    </row>
    <row r="4523" spans="1:11" ht="42" customHeight="1">
      <c r="A4523" s="4" t="s">
        <v>11087</v>
      </c>
      <c r="B4523" s="5" t="s">
        <v>11088</v>
      </c>
      <c r="C4523" s="5" t="s">
        <v>18</v>
      </c>
      <c r="D4523" s="5" t="s">
        <v>19</v>
      </c>
      <c r="E4523" s="5" t="s">
        <v>631</v>
      </c>
      <c r="F4523" s="9">
        <v>36</v>
      </c>
      <c r="G4523" s="9">
        <v>432</v>
      </c>
      <c r="H4523" s="5" t="s">
        <v>21</v>
      </c>
      <c r="I4523" s="5" t="s">
        <v>11089</v>
      </c>
      <c r="J4523" s="12" t="str">
        <f>HYPERLINK("https://www.boe.es/gazeta/dias/1802/05/04/pdfs/GMD-1802-36.pdf#page=12","Abrir facsímil")</f>
        <v>Abrir facsímil</v>
      </c>
      <c r="K4523" s="15" t="s">
        <v>23</v>
      </c>
    </row>
    <row r="4524" spans="1:11" ht="42" customHeight="1">
      <c r="A4524" s="4" t="s">
        <v>11090</v>
      </c>
      <c r="B4524" s="5" t="s">
        <v>11091</v>
      </c>
      <c r="C4524" s="5" t="s">
        <v>18</v>
      </c>
      <c r="D4524" s="5" t="s">
        <v>19</v>
      </c>
      <c r="E4524" s="5" t="s">
        <v>71</v>
      </c>
      <c r="F4524" s="9">
        <v>21</v>
      </c>
      <c r="G4524" s="9">
        <v>235</v>
      </c>
      <c r="H4524" s="5" t="s">
        <v>21</v>
      </c>
      <c r="I4524" s="5" t="s">
        <v>11092</v>
      </c>
      <c r="J4524" s="12" t="str">
        <f>HYPERLINK("https://www.boe.es/gazeta/dias/1802/03/12/pdfs/GMD-1802-21.pdf#page=11","Abrir facsímil")</f>
        <v>Abrir facsímil</v>
      </c>
      <c r="K4524" s="15" t="s">
        <v>23</v>
      </c>
    </row>
    <row r="4525" spans="1:11" ht="42" customHeight="1">
      <c r="A4525" s="4" t="s">
        <v>11090</v>
      </c>
      <c r="B4525" s="5" t="s">
        <v>11091</v>
      </c>
      <c r="C4525" s="5" t="s">
        <v>55</v>
      </c>
      <c r="D4525" s="5" t="s">
        <v>56</v>
      </c>
      <c r="E4525" s="5" t="s">
        <v>152</v>
      </c>
      <c r="F4525" s="9">
        <v>25</v>
      </c>
      <c r="G4525" s="9">
        <v>287</v>
      </c>
      <c r="H4525" s="5" t="s">
        <v>21</v>
      </c>
      <c r="I4525" s="5" t="s">
        <v>11093</v>
      </c>
      <c r="J4525" s="12" t="str">
        <f>HYPERLINK("https://www.boe.es/gazeta/dias/1802/03/26/pdfs/GMD-1802-25.pdf#page=11","Abrir facsímil")</f>
        <v>Abrir facsímil</v>
      </c>
      <c r="K4525" s="15" t="s">
        <v>23</v>
      </c>
    </row>
    <row r="4526" spans="1:11" ht="42" customHeight="1">
      <c r="A4526" s="4" t="s">
        <v>11090</v>
      </c>
      <c r="B4526" s="5" t="s">
        <v>11091</v>
      </c>
      <c r="C4526" s="5" t="s">
        <v>160</v>
      </c>
      <c r="D4526" s="5" t="s">
        <v>91</v>
      </c>
      <c r="E4526" s="5" t="s">
        <v>1749</v>
      </c>
      <c r="F4526" s="9">
        <v>60</v>
      </c>
      <c r="G4526" s="9">
        <v>731</v>
      </c>
      <c r="H4526" s="5" t="s">
        <v>21</v>
      </c>
      <c r="I4526" s="5" t="s">
        <v>11094</v>
      </c>
      <c r="J4526" s="12" t="str">
        <f>HYPERLINK("https://www.boe.es/gazeta/dias/1802/07/23/pdfs/GMD-1802-60.pdf#page=15","Abrir facsímil")</f>
        <v>Abrir facsímil</v>
      </c>
      <c r="K4526" s="15" t="s">
        <v>23</v>
      </c>
    </row>
    <row r="4527" spans="1:11" ht="42" customHeight="1">
      <c r="A4527" s="4" t="s">
        <v>11095</v>
      </c>
      <c r="B4527" s="5" t="s">
        <v>11096</v>
      </c>
      <c r="C4527" s="5" t="s">
        <v>160</v>
      </c>
      <c r="D4527" s="5" t="s">
        <v>91</v>
      </c>
      <c r="E4527" s="5" t="s">
        <v>481</v>
      </c>
      <c r="F4527" s="9">
        <v>79</v>
      </c>
      <c r="G4527" s="9">
        <v>975</v>
      </c>
      <c r="H4527" s="5" t="s">
        <v>21</v>
      </c>
      <c r="I4527" s="5" t="s">
        <v>11097</v>
      </c>
      <c r="J4527" s="12" t="str">
        <f>HYPERLINK("https://www.boe.es/gazeta/dias/1802/09/28/pdfs/GMD-1802-79.pdf#page=11","Abrir facsímil")</f>
        <v>Abrir facsímil</v>
      </c>
      <c r="K4527" s="15" t="s">
        <v>23</v>
      </c>
    </row>
    <row r="4528" spans="1:11" ht="42" customHeight="1">
      <c r="A4528" s="4" t="s">
        <v>11090</v>
      </c>
      <c r="B4528" s="5" t="s">
        <v>11091</v>
      </c>
      <c r="C4528" s="5" t="s">
        <v>29</v>
      </c>
      <c r="D4528" s="5" t="s">
        <v>30</v>
      </c>
      <c r="E4528" s="5" t="s">
        <v>121</v>
      </c>
      <c r="F4528" s="9">
        <v>87</v>
      </c>
      <c r="G4528" s="9">
        <v>1083</v>
      </c>
      <c r="H4528" s="5" t="s">
        <v>21</v>
      </c>
      <c r="I4528" s="5" t="s">
        <v>11098</v>
      </c>
      <c r="J4528" s="12" t="str">
        <f>HYPERLINK("https://www.boe.es/gazeta/dias/1802/10/26/pdfs/GMD-1802-87.pdf#page=11","Abrir facsímil")</f>
        <v>Abrir facsímil</v>
      </c>
      <c r="K4528" s="15" t="s">
        <v>23</v>
      </c>
    </row>
    <row r="4529" spans="1:11" ht="42" customHeight="1">
      <c r="A4529" s="4" t="s">
        <v>11099</v>
      </c>
      <c r="B4529" s="5" t="s">
        <v>11100</v>
      </c>
      <c r="C4529" s="5" t="s">
        <v>29</v>
      </c>
      <c r="D4529" s="5" t="s">
        <v>30</v>
      </c>
      <c r="E4529" s="5" t="s">
        <v>311</v>
      </c>
      <c r="F4529" s="9">
        <v>88</v>
      </c>
      <c r="G4529" s="9">
        <v>1093</v>
      </c>
      <c r="H4529" s="5" t="s">
        <v>21</v>
      </c>
      <c r="I4529" s="5" t="s">
        <v>11101</v>
      </c>
      <c r="J4529" s="12" t="str">
        <f>HYPERLINK("https://www.boe.es/gazeta/dias/1802/10/29/pdfs/GMD-1802-88.pdf#page=9","Abrir facsímil")</f>
        <v>Abrir facsímil</v>
      </c>
      <c r="K4529" s="15" t="s">
        <v>23</v>
      </c>
    </row>
    <row r="4530" spans="1:11" ht="42" customHeight="1">
      <c r="A4530" s="4" t="s">
        <v>11102</v>
      </c>
      <c r="B4530" s="5" t="s">
        <v>11103</v>
      </c>
      <c r="C4530" s="5" t="s">
        <v>29</v>
      </c>
      <c r="D4530" s="5" t="s">
        <v>30</v>
      </c>
      <c r="E4530" s="5" t="s">
        <v>71</v>
      </c>
      <c r="F4530" s="9">
        <v>21</v>
      </c>
      <c r="G4530" s="9">
        <v>233</v>
      </c>
      <c r="H4530" s="5" t="s">
        <v>21</v>
      </c>
      <c r="I4530" s="5" t="s">
        <v>11104</v>
      </c>
      <c r="J4530" s="12" t="str">
        <f>HYPERLINK("https://www.boe.es/gazeta/dias/1802/03/12/pdfs/GMD-1802-21.pdf#page=9","Abrir facsímil")</f>
        <v>Abrir facsímil</v>
      </c>
      <c r="K4530" s="15" t="s">
        <v>23</v>
      </c>
    </row>
    <row r="4531" spans="1:11" ht="42" customHeight="1">
      <c r="A4531" s="4" t="s">
        <v>11105</v>
      </c>
      <c r="B4531" s="5" t="s">
        <v>11106</v>
      </c>
      <c r="C4531" s="5" t="s">
        <v>55</v>
      </c>
      <c r="D4531" s="5" t="s">
        <v>56</v>
      </c>
      <c r="E4531" s="5" t="s">
        <v>1749</v>
      </c>
      <c r="F4531" s="9">
        <v>60</v>
      </c>
      <c r="G4531" s="9">
        <v>731</v>
      </c>
      <c r="H4531" s="5" t="s">
        <v>21</v>
      </c>
      <c r="I4531" s="5" t="s">
        <v>11107</v>
      </c>
      <c r="J4531" s="12" t="str">
        <f>HYPERLINK("https://www.boe.es/gazeta/dias/1802/07/23/pdfs/GMD-1802-60.pdf#page=15","Abrir facsímil")</f>
        <v>Abrir facsímil</v>
      </c>
      <c r="K4531" s="15" t="s">
        <v>23</v>
      </c>
    </row>
    <row r="4532" spans="1:11" ht="42" customHeight="1">
      <c r="A4532" s="4" t="s">
        <v>11105</v>
      </c>
      <c r="B4532" s="5" t="s">
        <v>11106</v>
      </c>
      <c r="C4532" s="5" t="s">
        <v>55</v>
      </c>
      <c r="D4532" s="5" t="s">
        <v>56</v>
      </c>
      <c r="E4532" s="5" t="s">
        <v>1185</v>
      </c>
      <c r="F4532" s="9">
        <v>93</v>
      </c>
      <c r="G4532" s="9">
        <v>1152</v>
      </c>
      <c r="H4532" s="5" t="s">
        <v>21</v>
      </c>
      <c r="I4532" s="5" t="s">
        <v>11108</v>
      </c>
      <c r="J4532" s="12" t="str">
        <f>HYPERLINK("https://www.boe.es/gazeta/dias/1802/11/16/pdfs/GMD-1802-93.pdf#page=12","Abrir facsímil")</f>
        <v>Abrir facsímil</v>
      </c>
      <c r="K4532" s="15" t="s">
        <v>23</v>
      </c>
    </row>
    <row r="4533" spans="1:11" ht="42" customHeight="1">
      <c r="A4533" s="4" t="s">
        <v>11109</v>
      </c>
      <c r="B4533" s="5" t="s">
        <v>11110</v>
      </c>
      <c r="C4533" s="5" t="s">
        <v>29</v>
      </c>
      <c r="D4533" s="5" t="s">
        <v>30</v>
      </c>
      <c r="E4533" s="5" t="s">
        <v>73</v>
      </c>
      <c r="F4533" s="9">
        <v>102</v>
      </c>
      <c r="G4533" s="9">
        <v>1254</v>
      </c>
      <c r="H4533" s="5" t="s">
        <v>21</v>
      </c>
      <c r="I4533" s="5" t="s">
        <v>11111</v>
      </c>
      <c r="J4533" s="12" t="str">
        <f>HYPERLINK("https://www.boe.es/gazeta/dias/1802/12/17/pdfs/GMD-1802-102.pdf#page=10","Abrir facsímil")</f>
        <v>Abrir facsímil</v>
      </c>
      <c r="K4533" s="15" t="s">
        <v>23</v>
      </c>
    </row>
    <row r="4534" spans="1:11" ht="42" customHeight="1">
      <c r="A4534" s="4" t="s">
        <v>11112</v>
      </c>
      <c r="B4534" s="5" t="s">
        <v>11113</v>
      </c>
      <c r="C4534" s="5" t="s">
        <v>160</v>
      </c>
      <c r="D4534" s="5" t="s">
        <v>91</v>
      </c>
      <c r="E4534" s="5" t="s">
        <v>206</v>
      </c>
      <c r="F4534" s="9">
        <v>22</v>
      </c>
      <c r="G4534" s="9">
        <v>252</v>
      </c>
      <c r="H4534" s="5" t="s">
        <v>21</v>
      </c>
      <c r="I4534" s="5" t="s">
        <v>11114</v>
      </c>
      <c r="J4534" s="12" t="str">
        <f>HYPERLINK("https://www.boe.es/gazeta/dias/1802/03/16/pdfs/GMD-C-1802-22.pdf#page=8","Abrir facsímil")</f>
        <v>Abrir facsímil</v>
      </c>
      <c r="K4534" s="15" t="s">
        <v>23</v>
      </c>
    </row>
    <row r="4535" spans="1:11" ht="42" customHeight="1">
      <c r="A4535" s="4" t="s">
        <v>11115</v>
      </c>
      <c r="B4535" s="5" t="s">
        <v>11116</v>
      </c>
      <c r="C4535" s="5" t="s">
        <v>18</v>
      </c>
      <c r="D4535" s="5" t="s">
        <v>19</v>
      </c>
      <c r="E4535" s="5" t="s">
        <v>148</v>
      </c>
      <c r="F4535" s="9">
        <v>66</v>
      </c>
      <c r="G4535" s="9">
        <v>811</v>
      </c>
      <c r="H4535" s="5" t="s">
        <v>21</v>
      </c>
      <c r="I4535" s="5" t="s">
        <v>11117</v>
      </c>
      <c r="J4535" s="12" t="str">
        <f>HYPERLINK("https://www.boe.es/gazeta/dias/1802/08/13/pdfs/GMD-1802-66.pdf#page=15","Abrir facsímil")</f>
        <v>Abrir facsímil</v>
      </c>
      <c r="K4535" s="15" t="s">
        <v>23</v>
      </c>
    </row>
    <row r="4536" spans="1:11" ht="42" customHeight="1">
      <c r="A4536" s="4" t="s">
        <v>11118</v>
      </c>
      <c r="B4536" s="5" t="s">
        <v>11119</v>
      </c>
      <c r="C4536" s="5" t="s">
        <v>160</v>
      </c>
      <c r="D4536" s="5" t="s">
        <v>91</v>
      </c>
      <c r="E4536" s="5" t="s">
        <v>311</v>
      </c>
      <c r="F4536" s="9">
        <v>88</v>
      </c>
      <c r="G4536" s="9">
        <v>1094</v>
      </c>
      <c r="H4536" s="5" t="s">
        <v>21</v>
      </c>
      <c r="I4536" s="5" t="s">
        <v>11120</v>
      </c>
      <c r="J4536" s="12" t="str">
        <f>HYPERLINK("https://www.boe.es/gazeta/dias/1802/10/29/pdfs/GMD-1802-88.pdf#page=10","Abrir facsímil")</f>
        <v>Abrir facsímil</v>
      </c>
      <c r="K4536" s="15" t="s">
        <v>23</v>
      </c>
    </row>
    <row r="4537" spans="1:11" ht="42" customHeight="1">
      <c r="A4537" s="4" t="s">
        <v>11121</v>
      </c>
      <c r="B4537" s="5" t="s">
        <v>11122</v>
      </c>
      <c r="C4537" s="5" t="s">
        <v>29</v>
      </c>
      <c r="D4537" s="5" t="s">
        <v>30</v>
      </c>
      <c r="E4537" s="5" t="s">
        <v>49</v>
      </c>
      <c r="F4537" s="9">
        <v>83</v>
      </c>
      <c r="G4537" s="9">
        <v>1021</v>
      </c>
      <c r="H4537" s="5" t="s">
        <v>21</v>
      </c>
      <c r="I4537" s="5" t="s">
        <v>11123</v>
      </c>
      <c r="J4537" s="12" t="str">
        <f>HYPERLINK("https://www.boe.es/gazeta/dias/1802/10/12/pdfs/GMD-1802-83.pdf#page=9","Abrir facsímil")</f>
        <v>Abrir facsímil</v>
      </c>
      <c r="K4537" s="15" t="s">
        <v>23</v>
      </c>
    </row>
    <row r="4538" spans="1:11" ht="42" customHeight="1">
      <c r="A4538" s="4" t="s">
        <v>11124</v>
      </c>
      <c r="B4538" s="5" t="s">
        <v>11125</v>
      </c>
      <c r="C4538" s="5" t="s">
        <v>29</v>
      </c>
      <c r="D4538" s="5" t="s">
        <v>30</v>
      </c>
      <c r="E4538" s="5" t="s">
        <v>86</v>
      </c>
      <c r="F4538" s="9">
        <v>26</v>
      </c>
      <c r="G4538" s="9">
        <v>300</v>
      </c>
      <c r="H4538" s="5" t="s">
        <v>21</v>
      </c>
      <c r="I4538" s="5" t="s">
        <v>11126</v>
      </c>
      <c r="J4538" s="12" t="str">
        <f>HYPERLINK("https://www.boe.es/gazeta/dias/1802/03/30/pdfs/GMD-1802-26.pdf#page=12","Abrir facsímil")</f>
        <v>Abrir facsímil</v>
      </c>
      <c r="K4538" s="15" t="s">
        <v>23</v>
      </c>
    </row>
    <row r="4539" spans="1:11" ht="42" customHeight="1">
      <c r="A4539" s="4" t="s">
        <v>11127</v>
      </c>
      <c r="B4539" s="5" t="s">
        <v>11128</v>
      </c>
      <c r="C4539" s="5" t="s">
        <v>55</v>
      </c>
      <c r="D4539" s="5" t="s">
        <v>56</v>
      </c>
      <c r="E4539" s="5" t="s">
        <v>185</v>
      </c>
      <c r="F4539" s="9">
        <v>95</v>
      </c>
      <c r="G4539" s="9">
        <v>1176</v>
      </c>
      <c r="H4539" s="5" t="s">
        <v>21</v>
      </c>
      <c r="I4539" s="5" t="s">
        <v>11129</v>
      </c>
      <c r="J4539" s="12" t="str">
        <f>HYPERLINK("https://www.boe.es/gazeta/dias/1802/11/23/pdfs/GMD-1802-95.pdf#page=12","Abrir facsímil")</f>
        <v>Abrir facsímil</v>
      </c>
      <c r="K4539" s="15" t="s">
        <v>23</v>
      </c>
    </row>
    <row r="4540" spans="1:11" ht="42" customHeight="1">
      <c r="A4540" s="4" t="s">
        <v>11130</v>
      </c>
      <c r="B4540" s="5" t="s">
        <v>11131</v>
      </c>
      <c r="C4540" s="5" t="s">
        <v>29</v>
      </c>
      <c r="D4540" s="5" t="s">
        <v>30</v>
      </c>
      <c r="E4540" s="5" t="s">
        <v>311</v>
      </c>
      <c r="F4540" s="9">
        <v>88</v>
      </c>
      <c r="G4540" s="9">
        <v>1093</v>
      </c>
      <c r="H4540" s="5" t="s">
        <v>21</v>
      </c>
      <c r="I4540" s="5" t="s">
        <v>11132</v>
      </c>
      <c r="J4540" s="12" t="str">
        <f>HYPERLINK("https://www.boe.es/gazeta/dias/1802/10/29/pdfs/GMD-1802-88.pdf#page=9","Abrir facsímil")</f>
        <v>Abrir facsímil</v>
      </c>
      <c r="K4540" s="15" t="s">
        <v>23</v>
      </c>
    </row>
    <row r="4541" spans="1:11" ht="42" customHeight="1">
      <c r="A4541" s="4" t="s">
        <v>11133</v>
      </c>
      <c r="B4541" s="5" t="s">
        <v>11134</v>
      </c>
      <c r="C4541" s="5" t="s">
        <v>18</v>
      </c>
      <c r="D4541" s="5" t="s">
        <v>19</v>
      </c>
      <c r="E4541" s="5" t="s">
        <v>49</v>
      </c>
      <c r="F4541" s="9">
        <v>83</v>
      </c>
      <c r="G4541" s="9">
        <v>1021</v>
      </c>
      <c r="H4541" s="5" t="s">
        <v>21</v>
      </c>
      <c r="I4541" s="5" t="s">
        <v>11135</v>
      </c>
      <c r="J4541" s="12" t="str">
        <f>HYPERLINK("https://www.boe.es/gazeta/dias/1802/10/12/pdfs/GMD-1802-83.pdf#page=9","Abrir facsímil")</f>
        <v>Abrir facsímil</v>
      </c>
      <c r="K4541" s="15" t="s">
        <v>23</v>
      </c>
    </row>
    <row r="4542" spans="1:11" ht="42" customHeight="1">
      <c r="A4542" s="4" t="s">
        <v>11136</v>
      </c>
      <c r="B4542" s="5" t="s">
        <v>11137</v>
      </c>
      <c r="C4542" s="5" t="s">
        <v>18</v>
      </c>
      <c r="D4542" s="5" t="s">
        <v>19</v>
      </c>
      <c r="E4542" s="5" t="s">
        <v>82</v>
      </c>
      <c r="F4542" s="9">
        <v>74</v>
      </c>
      <c r="G4542" s="9">
        <v>914</v>
      </c>
      <c r="H4542" s="5" t="s">
        <v>21</v>
      </c>
      <c r="I4542" s="5" t="s">
        <v>11138</v>
      </c>
      <c r="J4542" s="12" t="str">
        <f>HYPERLINK("https://www.boe.es/gazeta/dias/1802/09/10/pdfs/GMD-1802-74.pdf#page=10","Abrir facsímil")</f>
        <v>Abrir facsímil</v>
      </c>
      <c r="K4542" s="15" t="s">
        <v>23</v>
      </c>
    </row>
    <row r="4543" spans="1:11" ht="42" customHeight="1">
      <c r="A4543" s="4" t="s">
        <v>11139</v>
      </c>
      <c r="B4543" s="5" t="s">
        <v>11140</v>
      </c>
      <c r="C4543" s="5" t="s">
        <v>29</v>
      </c>
      <c r="D4543" s="5" t="s">
        <v>30</v>
      </c>
      <c r="E4543" s="5" t="s">
        <v>206</v>
      </c>
      <c r="F4543" s="9">
        <v>22</v>
      </c>
      <c r="G4543" s="9">
        <v>241</v>
      </c>
      <c r="H4543" s="5" t="s">
        <v>21</v>
      </c>
      <c r="I4543" s="5" t="s">
        <v>11141</v>
      </c>
      <c r="J4543" s="12" t="str">
        <f>HYPERLINK("https://www.boe.es/gazeta/dias/1802/03/16/pdfs/GMD-1802-22.pdf#page=9","Abrir facsímil")</f>
        <v>Abrir facsímil</v>
      </c>
      <c r="K4543" s="15" t="s">
        <v>23</v>
      </c>
    </row>
    <row r="4544" spans="1:11" ht="42" customHeight="1">
      <c r="A4544" s="4" t="s">
        <v>11142</v>
      </c>
      <c r="B4544" s="5" t="s">
        <v>11143</v>
      </c>
      <c r="C4544" s="5" t="s">
        <v>42</v>
      </c>
      <c r="D4544" s="5" t="s">
        <v>43</v>
      </c>
      <c r="E4544" s="5" t="s">
        <v>44</v>
      </c>
      <c r="F4544" s="9">
        <v>99</v>
      </c>
      <c r="G4544" s="9" t="s">
        <v>548</v>
      </c>
      <c r="H4544" s="5" t="s">
        <v>21</v>
      </c>
      <c r="I4544" s="5" t="s">
        <v>11144</v>
      </c>
      <c r="J4544" s="12" t="str">
        <f>HYPERLINK("https://www.boe.es/gazeta/dias/1802/12/07/pdfs/GMD-D-1802-99.pdf#page=12","Abrir facsímil")</f>
        <v>Abrir facsímil</v>
      </c>
      <c r="K4544" s="15" t="s">
        <v>23</v>
      </c>
    </row>
    <row r="4545" spans="1:11" ht="42" customHeight="1">
      <c r="A4545" s="4" t="s">
        <v>11145</v>
      </c>
      <c r="B4545" s="5" t="s">
        <v>11146</v>
      </c>
      <c r="C4545" s="5" t="s">
        <v>18</v>
      </c>
      <c r="D4545" s="5" t="s">
        <v>19</v>
      </c>
      <c r="E4545" s="5" t="s">
        <v>49</v>
      </c>
      <c r="F4545" s="9">
        <v>83</v>
      </c>
      <c r="G4545" s="9">
        <v>1022</v>
      </c>
      <c r="H4545" s="5" t="s">
        <v>21</v>
      </c>
      <c r="I4545" s="5" t="s">
        <v>11147</v>
      </c>
      <c r="J4545" s="12" t="str">
        <f>HYPERLINK("https://www.boe.es/gazeta/dias/1802/10/12/pdfs/GMD-1802-83.pdf#page=10","Abrir facsímil")</f>
        <v>Abrir facsímil</v>
      </c>
      <c r="K4545" s="15" t="s">
        <v>23</v>
      </c>
    </row>
    <row r="4546" spans="1:11" ht="42" customHeight="1">
      <c r="A4546" s="4" t="s">
        <v>11148</v>
      </c>
      <c r="B4546" s="5" t="s">
        <v>11149</v>
      </c>
      <c r="C4546" s="5" t="s">
        <v>29</v>
      </c>
      <c r="D4546" s="5" t="s">
        <v>30</v>
      </c>
      <c r="E4546" s="5" t="s">
        <v>165</v>
      </c>
      <c r="F4546" s="9">
        <v>3</v>
      </c>
      <c r="G4546" s="9">
        <v>28</v>
      </c>
      <c r="H4546" s="5" t="s">
        <v>21</v>
      </c>
      <c r="I4546" s="5" t="s">
        <v>11150</v>
      </c>
      <c r="J4546" s="12" t="str">
        <f>HYPERLINK("https://www.boe.es/gazeta/dias/1802/01/08/pdfs/GMD-1802-3.pdf#page=8","Abrir facsímil")</f>
        <v>Abrir facsímil</v>
      </c>
      <c r="K4546" s="15" t="s">
        <v>23</v>
      </c>
    </row>
    <row r="4547" spans="1:11" ht="42" customHeight="1">
      <c r="A4547" s="4" t="s">
        <v>11151</v>
      </c>
      <c r="B4547" s="5" t="s">
        <v>11152</v>
      </c>
      <c r="C4547" s="5" t="s">
        <v>160</v>
      </c>
      <c r="D4547" s="5" t="s">
        <v>91</v>
      </c>
      <c r="E4547" s="5" t="s">
        <v>206</v>
      </c>
      <c r="F4547" s="9">
        <v>22</v>
      </c>
      <c r="G4547" s="9">
        <v>252</v>
      </c>
      <c r="H4547" s="5" t="s">
        <v>21</v>
      </c>
      <c r="I4547" s="5" t="s">
        <v>11153</v>
      </c>
      <c r="J4547" s="12" t="str">
        <f>HYPERLINK("https://www.boe.es/gazeta/dias/1802/03/16/pdfs/GMD-C-1802-22.pdf#page=8","Abrir facsímil")</f>
        <v>Abrir facsímil</v>
      </c>
      <c r="K4547" s="15" t="s">
        <v>23</v>
      </c>
    </row>
    <row r="4548" spans="1:11" ht="42" customHeight="1">
      <c r="A4548" s="4" t="s">
        <v>11154</v>
      </c>
      <c r="B4548" s="5" t="s">
        <v>11155</v>
      </c>
      <c r="C4548" s="5" t="s">
        <v>29</v>
      </c>
      <c r="D4548" s="5" t="s">
        <v>30</v>
      </c>
      <c r="E4548" s="5" t="s">
        <v>181</v>
      </c>
      <c r="F4548" s="9">
        <v>55</v>
      </c>
      <c r="G4548" s="9">
        <v>668</v>
      </c>
      <c r="H4548" s="5" t="s">
        <v>21</v>
      </c>
      <c r="I4548" s="5" t="s">
        <v>11156</v>
      </c>
      <c r="J4548" s="12" t="str">
        <f>HYPERLINK("https://www.boe.es/gazeta/dias/1802/07/09/pdfs/GMD-1802-55.pdf#page=12","Abrir facsímil")</f>
        <v>Abrir facsímil</v>
      </c>
      <c r="K4548" s="15" t="s">
        <v>23</v>
      </c>
    </row>
    <row r="4549" spans="1:11" ht="42" customHeight="1">
      <c r="A4549" s="4" t="s">
        <v>11157</v>
      </c>
      <c r="B4549" s="5" t="s">
        <v>11158</v>
      </c>
      <c r="C4549" s="5" t="s">
        <v>18</v>
      </c>
      <c r="D4549" s="5" t="s">
        <v>19</v>
      </c>
      <c r="E4549" s="5" t="s">
        <v>20</v>
      </c>
      <c r="F4549" s="9">
        <v>84</v>
      </c>
      <c r="G4549" s="9">
        <v>1047</v>
      </c>
      <c r="H4549" s="5" t="s">
        <v>21</v>
      </c>
      <c r="I4549" s="5" t="s">
        <v>11159</v>
      </c>
      <c r="J4549" s="12" t="str">
        <f>HYPERLINK("https://www.boe.es/gazeta/dias/1802/10/15/pdfs/GMD-1802-84.pdf#page=15","Abrir facsímil")</f>
        <v>Abrir facsímil</v>
      </c>
      <c r="K4549" s="15" t="s">
        <v>23</v>
      </c>
    </row>
    <row r="4550" spans="1:11" ht="42" customHeight="1">
      <c r="A4550" s="4" t="s">
        <v>11160</v>
      </c>
      <c r="B4550" s="5" t="s">
        <v>11161</v>
      </c>
      <c r="C4550" s="5" t="s">
        <v>29</v>
      </c>
      <c r="D4550" s="5" t="s">
        <v>30</v>
      </c>
      <c r="E4550" s="5" t="s">
        <v>163</v>
      </c>
      <c r="F4550" s="9">
        <v>1</v>
      </c>
      <c r="G4550" s="9">
        <v>7</v>
      </c>
      <c r="H4550" s="5" t="s">
        <v>21</v>
      </c>
      <c r="I4550" s="5" t="s">
        <v>11162</v>
      </c>
      <c r="J4550" s="12" t="str">
        <f>HYPERLINK("https://www.boe.es/gazeta/dias/1802/01/01/pdfs/GMD-1802-1.pdf#page=7","Abrir facsímil")</f>
        <v>Abrir facsímil</v>
      </c>
      <c r="K4550" s="15" t="s">
        <v>23</v>
      </c>
    </row>
    <row r="4551" spans="1:11" ht="42" customHeight="1">
      <c r="A4551" s="4" t="s">
        <v>11160</v>
      </c>
      <c r="B4551" s="5" t="s">
        <v>11161</v>
      </c>
      <c r="C4551" s="5" t="s">
        <v>55</v>
      </c>
      <c r="D4551" s="5" t="s">
        <v>56</v>
      </c>
      <c r="E4551" s="5" t="s">
        <v>131</v>
      </c>
      <c r="F4551" s="9">
        <v>11</v>
      </c>
      <c r="G4551" s="9">
        <v>116</v>
      </c>
      <c r="H4551" s="5" t="s">
        <v>21</v>
      </c>
      <c r="I4551" s="5" t="s">
        <v>11163</v>
      </c>
      <c r="J4551" s="12" t="str">
        <f>HYPERLINK("https://www.boe.es/gazeta/dias/1802/02/05/pdfs/GMD-1802-11.pdf#page=12","Abrir facsímil")</f>
        <v>Abrir facsímil</v>
      </c>
      <c r="K4551" s="15" t="s">
        <v>23</v>
      </c>
    </row>
    <row r="4552" spans="1:11" ht="42" customHeight="1">
      <c r="A4552" s="4" t="s">
        <v>11160</v>
      </c>
      <c r="B4552" s="5" t="s">
        <v>11161</v>
      </c>
      <c r="C4552" s="5" t="s">
        <v>18</v>
      </c>
      <c r="D4552" s="5" t="s">
        <v>19</v>
      </c>
      <c r="E4552" s="5" t="s">
        <v>247</v>
      </c>
      <c r="F4552" s="9">
        <v>14</v>
      </c>
      <c r="G4552" s="9">
        <v>148</v>
      </c>
      <c r="H4552" s="5" t="s">
        <v>21</v>
      </c>
      <c r="I4552" s="5" t="s">
        <v>11164</v>
      </c>
      <c r="J4552" s="12" t="str">
        <f>HYPERLINK("https://www.boe.es/gazeta/dias/1802/02/16/pdfs/GMD-1802-14.pdf#page=12","Abrir facsímil")</f>
        <v>Abrir facsímil</v>
      </c>
      <c r="K4552" s="15" t="s">
        <v>23</v>
      </c>
    </row>
    <row r="4553" spans="1:11" ht="42" customHeight="1">
      <c r="A4553" s="4" t="s">
        <v>11160</v>
      </c>
      <c r="B4553" s="5" t="s">
        <v>11161</v>
      </c>
      <c r="C4553" s="5" t="s">
        <v>18</v>
      </c>
      <c r="D4553" s="5" t="s">
        <v>19</v>
      </c>
      <c r="E4553" s="5" t="s">
        <v>1381</v>
      </c>
      <c r="F4553" s="9">
        <v>17</v>
      </c>
      <c r="G4553" s="9">
        <v>188</v>
      </c>
      <c r="H4553" s="5" t="s">
        <v>21</v>
      </c>
      <c r="I4553" s="5" t="s">
        <v>11165</v>
      </c>
      <c r="J4553" s="12" t="str">
        <f>HYPERLINK("https://www.boe.es/gazeta/dias/1802/02/26/pdfs/GMD-1802-17.pdf#page=12","Abrir facsímil")</f>
        <v>Abrir facsímil</v>
      </c>
      <c r="K4553" s="15" t="s">
        <v>23</v>
      </c>
    </row>
    <row r="4554" spans="1:11" ht="42" customHeight="1">
      <c r="A4554" s="4" t="s">
        <v>11160</v>
      </c>
      <c r="B4554" s="5" t="s">
        <v>11161</v>
      </c>
      <c r="C4554" s="5" t="s">
        <v>55</v>
      </c>
      <c r="D4554" s="5" t="s">
        <v>56</v>
      </c>
      <c r="E4554" s="5" t="s">
        <v>453</v>
      </c>
      <c r="F4554" s="9">
        <v>52</v>
      </c>
      <c r="G4554" s="9">
        <v>632</v>
      </c>
      <c r="H4554" s="5" t="s">
        <v>21</v>
      </c>
      <c r="I4554" s="5" t="s">
        <v>11166</v>
      </c>
      <c r="J4554" s="12" t="str">
        <f>HYPERLINK("https://www.boe.es/gazeta/dias/1802/06/29/pdfs/GMD-1802-52.pdf#page=8","Abrir facsímil")</f>
        <v>Abrir facsímil</v>
      </c>
      <c r="K4554" s="15" t="s">
        <v>23</v>
      </c>
    </row>
    <row r="4555" spans="1:11" ht="42" customHeight="1">
      <c r="A4555" s="4" t="s">
        <v>11160</v>
      </c>
      <c r="B4555" s="5" t="s">
        <v>11161</v>
      </c>
      <c r="C4555" s="5" t="s">
        <v>55</v>
      </c>
      <c r="D4555" s="5" t="s">
        <v>56</v>
      </c>
      <c r="E4555" s="5" t="s">
        <v>44</v>
      </c>
      <c r="F4555" s="9">
        <v>99</v>
      </c>
      <c r="G4555" s="9">
        <v>1224</v>
      </c>
      <c r="H4555" s="5" t="s">
        <v>21</v>
      </c>
      <c r="I4555" s="5" t="s">
        <v>11167</v>
      </c>
      <c r="J4555" s="12" t="str">
        <f>HYPERLINK("https://www.boe.es/gazeta/dias/1802/12/07/pdfs/GMD-1802-99.pdf#page=8","Abrir facsímil")</f>
        <v>Abrir facsímil</v>
      </c>
      <c r="K4555" s="15" t="s">
        <v>23</v>
      </c>
    </row>
    <row r="4556" spans="1:11" ht="42" customHeight="1">
      <c r="A4556" s="4" t="s">
        <v>11160</v>
      </c>
      <c r="B4556" s="5" t="s">
        <v>11161</v>
      </c>
      <c r="C4556" s="5" t="s">
        <v>42</v>
      </c>
      <c r="D4556" s="5" t="s">
        <v>43</v>
      </c>
      <c r="E4556" s="5" t="s">
        <v>44</v>
      </c>
      <c r="F4556" s="9">
        <v>99</v>
      </c>
      <c r="G4556" s="9" t="s">
        <v>262</v>
      </c>
      <c r="H4556" s="5" t="s">
        <v>21</v>
      </c>
      <c r="I4556" s="5" t="s">
        <v>11168</v>
      </c>
      <c r="J4556" s="12" t="str">
        <f>HYPERLINK("https://www.boe.es/gazeta/dias/1802/12/07/pdfs/GMD-D-1802-99.pdf#page=8","Abrir facsímil")</f>
        <v>Abrir facsímil</v>
      </c>
      <c r="K4556" s="15" t="s">
        <v>23</v>
      </c>
    </row>
    <row r="4557" spans="1:11" ht="42" customHeight="1">
      <c r="A4557" s="4" t="s">
        <v>11169</v>
      </c>
      <c r="B4557" s="5" t="s">
        <v>11170</v>
      </c>
      <c r="C4557" s="5" t="s">
        <v>29</v>
      </c>
      <c r="D4557" s="5" t="s">
        <v>30</v>
      </c>
      <c r="E4557" s="5" t="s">
        <v>128</v>
      </c>
      <c r="F4557" s="9">
        <v>9</v>
      </c>
      <c r="G4557" s="9">
        <v>89</v>
      </c>
      <c r="H4557" s="5" t="s">
        <v>21</v>
      </c>
      <c r="I4557" s="5" t="s">
        <v>11171</v>
      </c>
      <c r="J4557" s="12" t="str">
        <f>HYPERLINK("https://www.boe.es/gazeta/dias/1802/01/29/pdfs/GMD-1802-9.pdf#page=9","Abrir facsímil")</f>
        <v>Abrir facsímil</v>
      </c>
      <c r="K4557" s="15" t="s">
        <v>23</v>
      </c>
    </row>
    <row r="4558" spans="1:11" ht="42" customHeight="1">
      <c r="A4558" s="4" t="s">
        <v>11169</v>
      </c>
      <c r="B4558" s="5" t="s">
        <v>11170</v>
      </c>
      <c r="C4558" s="5" t="s">
        <v>29</v>
      </c>
      <c r="D4558" s="5" t="s">
        <v>30</v>
      </c>
      <c r="E4558" s="5" t="s">
        <v>814</v>
      </c>
      <c r="F4558" s="9">
        <v>41</v>
      </c>
      <c r="G4558" s="9">
        <v>494</v>
      </c>
      <c r="H4558" s="5" t="s">
        <v>21</v>
      </c>
      <c r="I4558" s="5" t="s">
        <v>11172</v>
      </c>
      <c r="J4558" s="12" t="str">
        <f>HYPERLINK("https://www.boe.es/gazeta/dias/1802/05/21/pdfs/GMD-1802-41.pdf#page=10","Abrir facsímil")</f>
        <v>Abrir facsímil</v>
      </c>
      <c r="K4558" s="15" t="s">
        <v>23</v>
      </c>
    </row>
    <row r="4559" spans="1:11" ht="42" customHeight="1">
      <c r="A4559" s="4" t="s">
        <v>11173</v>
      </c>
      <c r="B4559" s="5" t="s">
        <v>11174</v>
      </c>
      <c r="C4559" s="5" t="s">
        <v>42</v>
      </c>
      <c r="D4559" s="5" t="s">
        <v>43</v>
      </c>
      <c r="E4559" s="5" t="s">
        <v>44</v>
      </c>
      <c r="F4559" s="9">
        <v>99</v>
      </c>
      <c r="G4559" s="9" t="s">
        <v>322</v>
      </c>
      <c r="H4559" s="5" t="s">
        <v>21</v>
      </c>
      <c r="I4559" s="5" t="s">
        <v>11175</v>
      </c>
      <c r="J4559" s="12" t="str">
        <f>HYPERLINK("https://www.boe.es/gazeta/dias/1802/12/07/pdfs/GMD-D-1802-99.pdf#page=10","Abrir facsímil")</f>
        <v>Abrir facsímil</v>
      </c>
      <c r="K4559" s="15" t="s">
        <v>23</v>
      </c>
    </row>
    <row r="4560" spans="1:11" ht="42" customHeight="1">
      <c r="A4560" s="4" t="s">
        <v>11176</v>
      </c>
      <c r="B4560" s="5" t="s">
        <v>11177</v>
      </c>
      <c r="C4560" s="5" t="s">
        <v>29</v>
      </c>
      <c r="D4560" s="5" t="s">
        <v>30</v>
      </c>
      <c r="E4560" s="5" t="s">
        <v>163</v>
      </c>
      <c r="F4560" s="9">
        <v>1</v>
      </c>
      <c r="G4560" s="9">
        <v>7</v>
      </c>
      <c r="H4560" s="5" t="s">
        <v>21</v>
      </c>
      <c r="I4560" s="5" t="s">
        <v>11178</v>
      </c>
      <c r="J4560" s="12" t="str">
        <f>HYPERLINK("https://www.boe.es/gazeta/dias/1802/01/01/pdfs/GMD-1802-1.pdf#page=7","Abrir facsímil")</f>
        <v>Abrir facsímil</v>
      </c>
      <c r="K4560" s="15" t="s">
        <v>23</v>
      </c>
    </row>
    <row r="4561" spans="1:11" ht="42" customHeight="1">
      <c r="A4561" s="4" t="s">
        <v>11179</v>
      </c>
      <c r="B4561" s="5" t="s">
        <v>11180</v>
      </c>
      <c r="C4561" s="5" t="s">
        <v>29</v>
      </c>
      <c r="D4561" s="5" t="s">
        <v>30</v>
      </c>
      <c r="E4561" s="5" t="s">
        <v>163</v>
      </c>
      <c r="F4561" s="9">
        <v>1</v>
      </c>
      <c r="G4561" s="9">
        <v>7</v>
      </c>
      <c r="H4561" s="5" t="s">
        <v>21</v>
      </c>
      <c r="I4561" s="5" t="s">
        <v>11181</v>
      </c>
      <c r="J4561" s="12" t="str">
        <f>HYPERLINK("https://www.boe.es/gazeta/dias/1802/01/01/pdfs/GMD-1802-1.pdf#page=7","Abrir facsímil")</f>
        <v>Abrir facsímil</v>
      </c>
      <c r="K4561" s="15" t="s">
        <v>23</v>
      </c>
    </row>
    <row r="4562" spans="1:11" ht="42" customHeight="1">
      <c r="A4562" s="4" t="s">
        <v>11182</v>
      </c>
      <c r="B4562" s="5" t="s">
        <v>11183</v>
      </c>
      <c r="C4562" s="5" t="s">
        <v>18</v>
      </c>
      <c r="D4562" s="5" t="s">
        <v>19</v>
      </c>
      <c r="E4562" s="5" t="s">
        <v>60</v>
      </c>
      <c r="F4562" s="9">
        <v>5</v>
      </c>
      <c r="G4562" s="9">
        <v>50</v>
      </c>
      <c r="H4562" s="5" t="s">
        <v>21</v>
      </c>
      <c r="I4562" s="5" t="s">
        <v>11184</v>
      </c>
      <c r="J4562" s="12" t="str">
        <f>HYPERLINK("https://www.boe.es/gazeta/dias/1802/01/15/pdfs/GMD-1802-5.pdf#page=6","Abrir facsímil")</f>
        <v>Abrir facsímil</v>
      </c>
      <c r="K4562" s="15" t="s">
        <v>23</v>
      </c>
    </row>
    <row r="4563" spans="1:11" ht="42" customHeight="1">
      <c r="A4563" s="4" t="s">
        <v>11182</v>
      </c>
      <c r="B4563" s="5" t="s">
        <v>11183</v>
      </c>
      <c r="C4563" s="5" t="s">
        <v>18</v>
      </c>
      <c r="D4563" s="5" t="s">
        <v>19</v>
      </c>
      <c r="E4563" s="5" t="s">
        <v>590</v>
      </c>
      <c r="F4563" s="9">
        <v>38</v>
      </c>
      <c r="G4563" s="9">
        <v>454</v>
      </c>
      <c r="H4563" s="5" t="s">
        <v>21</v>
      </c>
      <c r="I4563" s="5" t="s">
        <v>11185</v>
      </c>
      <c r="J4563" s="12" t="str">
        <f>HYPERLINK("https://www.boe.es/gazeta/dias/1802/05/11/pdfs/GMD-1802-38.pdf#page=10","Abrir facsímil")</f>
        <v>Abrir facsímil</v>
      </c>
      <c r="K4563" s="15" t="s">
        <v>23</v>
      </c>
    </row>
    <row r="4564" spans="1:11" ht="42" customHeight="1">
      <c r="A4564" s="4" t="s">
        <v>11186</v>
      </c>
      <c r="B4564" s="5" t="s">
        <v>11187</v>
      </c>
      <c r="C4564" s="5" t="s">
        <v>42</v>
      </c>
      <c r="D4564" s="5" t="s">
        <v>43</v>
      </c>
      <c r="E4564" s="5" t="s">
        <v>44</v>
      </c>
      <c r="F4564" s="9">
        <v>99</v>
      </c>
      <c r="G4564" s="9" t="s">
        <v>45</v>
      </c>
      <c r="H4564" s="5" t="s">
        <v>21</v>
      </c>
      <c r="I4564" s="5" t="s">
        <v>11188</v>
      </c>
      <c r="J4564" s="12" t="str">
        <f>HYPERLINK("https://www.boe.es/gazeta/dias/1802/12/07/pdfs/GMD-D-1802-99.pdf#page=14","Abrir facsímil")</f>
        <v>Abrir facsímil</v>
      </c>
      <c r="K4564" s="15" t="s">
        <v>23</v>
      </c>
    </row>
    <row r="4565" spans="1:11" ht="42" customHeight="1">
      <c r="A4565" s="4" t="s">
        <v>11189</v>
      </c>
      <c r="B4565" s="5" t="s">
        <v>11190</v>
      </c>
      <c r="C4565" s="5" t="s">
        <v>29</v>
      </c>
      <c r="D4565" s="5" t="s">
        <v>30</v>
      </c>
      <c r="E4565" s="5" t="s">
        <v>517</v>
      </c>
      <c r="F4565" s="9">
        <v>61</v>
      </c>
      <c r="G4565" s="9">
        <v>740</v>
      </c>
      <c r="H4565" s="5" t="s">
        <v>21</v>
      </c>
      <c r="I4565" s="5" t="s">
        <v>11191</v>
      </c>
      <c r="J4565" s="12" t="str">
        <f>HYPERLINK("https://www.boe.es/gazeta/dias/1802/07/27/pdfs/GMD-1802-61.pdf#page=8","Abrir facsímil")</f>
        <v>Abrir facsímil</v>
      </c>
      <c r="K4565" s="15" t="s">
        <v>23</v>
      </c>
    </row>
    <row r="4566" spans="1:11" ht="42" customHeight="1">
      <c r="A4566" s="4" t="s">
        <v>11189</v>
      </c>
      <c r="B4566" s="5" t="s">
        <v>11190</v>
      </c>
      <c r="C4566" s="5" t="s">
        <v>42</v>
      </c>
      <c r="D4566" s="5" t="s">
        <v>43</v>
      </c>
      <c r="E4566" s="5" t="s">
        <v>44</v>
      </c>
      <c r="F4566" s="9">
        <v>99</v>
      </c>
      <c r="G4566" s="9" t="s">
        <v>548</v>
      </c>
      <c r="H4566" s="5" t="s">
        <v>21</v>
      </c>
      <c r="I4566" s="5" t="s">
        <v>11192</v>
      </c>
      <c r="J4566" s="12" t="str">
        <f>HYPERLINK("https://www.boe.es/gazeta/dias/1802/12/07/pdfs/GMD-D-1802-99.pdf#page=12","Abrir facsímil")</f>
        <v>Abrir facsímil</v>
      </c>
      <c r="K4566" s="15" t="s">
        <v>23</v>
      </c>
    </row>
    <row r="4567" spans="1:11" ht="42" customHeight="1">
      <c r="A4567" s="4" t="s">
        <v>11189</v>
      </c>
      <c r="B4567" s="5" t="s">
        <v>11190</v>
      </c>
      <c r="C4567" s="5" t="s">
        <v>29</v>
      </c>
      <c r="D4567" s="5" t="s">
        <v>30</v>
      </c>
      <c r="E4567" s="5" t="s">
        <v>37</v>
      </c>
      <c r="F4567" s="9">
        <v>106</v>
      </c>
      <c r="G4567" s="9">
        <v>1295</v>
      </c>
      <c r="H4567" s="5" t="s">
        <v>21</v>
      </c>
      <c r="I4567" s="5" t="s">
        <v>11193</v>
      </c>
      <c r="J4567" s="12" t="str">
        <f>HYPERLINK("https://www.boe.es/gazeta/dias/1802/12/31/pdfs/GMD-1802-106.pdf#page=7","Abrir facsímil")</f>
        <v>Abrir facsímil</v>
      </c>
      <c r="K4567" s="15" t="s">
        <v>23</v>
      </c>
    </row>
    <row r="4568" spans="1:11" ht="42" customHeight="1">
      <c r="A4568" s="4" t="s">
        <v>11194</v>
      </c>
      <c r="B4568" s="5" t="s">
        <v>11195</v>
      </c>
      <c r="C4568" s="5" t="s">
        <v>42</v>
      </c>
      <c r="D4568" s="5" t="s">
        <v>43</v>
      </c>
      <c r="E4568" s="5" t="s">
        <v>44</v>
      </c>
      <c r="F4568" s="9">
        <v>99</v>
      </c>
      <c r="G4568" s="9" t="s">
        <v>272</v>
      </c>
      <c r="H4568" s="5" t="s">
        <v>21</v>
      </c>
      <c r="I4568" s="5" t="s">
        <v>11196</v>
      </c>
      <c r="J4568" s="12" t="str">
        <f>HYPERLINK("https://www.boe.es/gazeta/dias/1802/12/07/pdfs/GMD-D-1802-99.pdf#page=3","Abrir facsímil")</f>
        <v>Abrir facsímil</v>
      </c>
      <c r="K4568" s="15" t="s">
        <v>23</v>
      </c>
    </row>
    <row r="4569" spans="1:11" ht="42" customHeight="1">
      <c r="A4569" s="4" t="s">
        <v>11197</v>
      </c>
      <c r="B4569" s="5" t="s">
        <v>11198</v>
      </c>
      <c r="C4569" s="5" t="s">
        <v>29</v>
      </c>
      <c r="D4569" s="5" t="s">
        <v>30</v>
      </c>
      <c r="E4569" s="5" t="s">
        <v>299</v>
      </c>
      <c r="F4569" s="9">
        <v>19</v>
      </c>
      <c r="G4569" s="9">
        <v>209</v>
      </c>
      <c r="H4569" s="5" t="s">
        <v>21</v>
      </c>
      <c r="I4569" s="5" t="s">
        <v>11199</v>
      </c>
      <c r="J4569" s="12" t="str">
        <f>HYPERLINK("https://www.boe.es/gazeta/dias/1802/03/05/pdfs/GMD-1802-19.pdf#page=9","Abrir facsímil")</f>
        <v>Abrir facsímil</v>
      </c>
      <c r="K4569" s="15" t="s">
        <v>23</v>
      </c>
    </row>
    <row r="4570" spans="1:11" ht="42" customHeight="1">
      <c r="A4570" s="4" t="s">
        <v>11200</v>
      </c>
      <c r="B4570" s="5" t="s">
        <v>11201</v>
      </c>
      <c r="C4570" s="5" t="s">
        <v>90</v>
      </c>
      <c r="D4570" s="5" t="s">
        <v>91</v>
      </c>
      <c r="E4570" s="5" t="s">
        <v>183</v>
      </c>
      <c r="F4570" s="9">
        <v>56</v>
      </c>
      <c r="G4570" s="9">
        <v>678</v>
      </c>
      <c r="H4570" s="5" t="s">
        <v>21</v>
      </c>
      <c r="I4570" s="5" t="s">
        <v>11202</v>
      </c>
      <c r="J4570" s="12" t="str">
        <f>HYPERLINK("https://www.boe.es/gazeta/dias/1802/07/13/pdfs/GMD-1802-56.pdf#page=10","Abrir facsímil")</f>
        <v>Abrir facsímil</v>
      </c>
      <c r="K4570" s="15" t="s">
        <v>23</v>
      </c>
    </row>
    <row r="4571" spans="1:11" ht="42" customHeight="1">
      <c r="A4571" s="4" t="s">
        <v>11203</v>
      </c>
      <c r="B4571" s="5" t="s">
        <v>11204</v>
      </c>
      <c r="C4571" s="5" t="s">
        <v>42</v>
      </c>
      <c r="D4571" s="5" t="s">
        <v>43</v>
      </c>
      <c r="E4571" s="5" t="s">
        <v>44</v>
      </c>
      <c r="F4571" s="9">
        <v>99</v>
      </c>
      <c r="G4571" s="9" t="s">
        <v>544</v>
      </c>
      <c r="H4571" s="5" t="s">
        <v>21</v>
      </c>
      <c r="I4571" s="5" t="s">
        <v>11205</v>
      </c>
      <c r="J4571" s="12" t="str">
        <f>HYPERLINK("https://www.boe.es/gazeta/dias/1802/12/07/pdfs/GMD-D-1802-99.pdf#page=11","Abrir facsímil")</f>
        <v>Abrir facsímil</v>
      </c>
      <c r="K4571" s="15" t="s">
        <v>23</v>
      </c>
    </row>
    <row r="4572" spans="1:11" ht="42" customHeight="1">
      <c r="A4572" s="4" t="s">
        <v>11206</v>
      </c>
      <c r="B4572" s="5" t="s">
        <v>11207</v>
      </c>
      <c r="C4572" s="5" t="s">
        <v>42</v>
      </c>
      <c r="D4572" s="5" t="s">
        <v>43</v>
      </c>
      <c r="E4572" s="5" t="s">
        <v>44</v>
      </c>
      <c r="F4572" s="9">
        <v>99</v>
      </c>
      <c r="G4572" s="9" t="s">
        <v>550</v>
      </c>
      <c r="H4572" s="5" t="s">
        <v>21</v>
      </c>
      <c r="I4572" s="5" t="s">
        <v>11208</v>
      </c>
      <c r="J4572" s="12" t="str">
        <f>HYPERLINK("https://www.boe.es/gazeta/dias/1802/12/07/pdfs/GMD-D-1802-99.pdf#page=16","Abrir facsímil")</f>
        <v>Abrir facsímil</v>
      </c>
      <c r="K4572" s="15" t="s">
        <v>23</v>
      </c>
    </row>
    <row r="4573" spans="1:11" ht="42" customHeight="1">
      <c r="A4573" s="4" t="s">
        <v>11209</v>
      </c>
      <c r="B4573" s="5" t="s">
        <v>11210</v>
      </c>
      <c r="C4573" s="5" t="s">
        <v>35</v>
      </c>
      <c r="D4573" s="5" t="s">
        <v>36</v>
      </c>
      <c r="E4573" s="5" t="s">
        <v>611</v>
      </c>
      <c r="F4573" s="9">
        <v>68</v>
      </c>
      <c r="G4573" s="9">
        <v>832</v>
      </c>
      <c r="H4573" s="5" t="s">
        <v>21</v>
      </c>
      <c r="I4573" s="5" t="s">
        <v>11211</v>
      </c>
      <c r="J4573" s="12" t="str">
        <f>HYPERLINK("https://www.boe.es/gazeta/dias/1802/08/20/pdfs/GMD-1802-68.pdf#page=8","Abrir facsímil")</f>
        <v>Abrir facsímil</v>
      </c>
      <c r="K4573" s="15" t="s">
        <v>23</v>
      </c>
    </row>
    <row r="4574" spans="1:11" ht="42" customHeight="1">
      <c r="A4574" s="4" t="s">
        <v>11209</v>
      </c>
      <c r="B4574" s="5" t="s">
        <v>11210</v>
      </c>
      <c r="C4574" s="5" t="s">
        <v>18</v>
      </c>
      <c r="D4574" s="5" t="s">
        <v>19</v>
      </c>
      <c r="E4574" s="5" t="s">
        <v>49</v>
      </c>
      <c r="F4574" s="9">
        <v>83</v>
      </c>
      <c r="G4574" s="9">
        <v>1025</v>
      </c>
      <c r="H4574" s="5" t="s">
        <v>21</v>
      </c>
      <c r="I4574" s="5" t="s">
        <v>11212</v>
      </c>
      <c r="J4574" s="12" t="str">
        <f>HYPERLINK("https://www.boe.es/gazeta/dias/1802/10/12/pdfs/GMD-1802-83.pdf#page=13","Abrir facsímil")</f>
        <v>Abrir facsímil</v>
      </c>
      <c r="K4574" s="15" t="s">
        <v>23</v>
      </c>
    </row>
    <row r="4575" spans="1:11" ht="42" customHeight="1">
      <c r="A4575" s="4" t="s">
        <v>11213</v>
      </c>
      <c r="B4575" s="5" t="s">
        <v>11214</v>
      </c>
      <c r="C4575" s="5" t="s">
        <v>55</v>
      </c>
      <c r="D4575" s="5" t="s">
        <v>56</v>
      </c>
      <c r="E4575" s="5" t="s">
        <v>232</v>
      </c>
      <c r="F4575" s="9">
        <v>30</v>
      </c>
      <c r="G4575" s="9">
        <v>352</v>
      </c>
      <c r="H4575" s="5" t="s">
        <v>21</v>
      </c>
      <c r="I4575" s="5" t="s">
        <v>11215</v>
      </c>
      <c r="J4575" s="12" t="str">
        <f>HYPERLINK("https://www.boe.es/gazeta/dias/1802/04/13/pdfs/GMD-1802-30.pdf#page=8","Abrir facsímil")</f>
        <v>Abrir facsímil</v>
      </c>
      <c r="K4575" s="15" t="s">
        <v>23</v>
      </c>
    </row>
    <row r="4576" spans="1:11" ht="42" customHeight="1">
      <c r="A4576" s="4" t="s">
        <v>11216</v>
      </c>
      <c r="B4576" s="5" t="s">
        <v>11217</v>
      </c>
      <c r="C4576" s="5" t="s">
        <v>42</v>
      </c>
      <c r="D4576" s="5" t="s">
        <v>43</v>
      </c>
      <c r="E4576" s="5" t="s">
        <v>44</v>
      </c>
      <c r="F4576" s="9">
        <v>99</v>
      </c>
      <c r="G4576" s="9" t="s">
        <v>548</v>
      </c>
      <c r="H4576" s="5" t="s">
        <v>21</v>
      </c>
      <c r="I4576" s="5" t="s">
        <v>11218</v>
      </c>
      <c r="J4576" s="12" t="str">
        <f>HYPERLINK("https://www.boe.es/gazeta/dias/1802/12/07/pdfs/GMD-D-1802-99.pdf#page=12","Abrir facsímil")</f>
        <v>Abrir facsímil</v>
      </c>
      <c r="K4576" s="15" t="s">
        <v>23</v>
      </c>
    </row>
    <row r="4577" spans="1:11" ht="42" customHeight="1">
      <c r="A4577" s="4" t="s">
        <v>11219</v>
      </c>
      <c r="B4577" s="5" t="s">
        <v>11220</v>
      </c>
      <c r="C4577" s="5" t="s">
        <v>55</v>
      </c>
      <c r="D4577" s="5" t="s">
        <v>56</v>
      </c>
      <c r="E4577" s="5" t="s">
        <v>642</v>
      </c>
      <c r="F4577" s="9">
        <v>51</v>
      </c>
      <c r="G4577" s="9">
        <v>624</v>
      </c>
      <c r="H4577" s="5" t="s">
        <v>21</v>
      </c>
      <c r="I4577" s="5" t="s">
        <v>11221</v>
      </c>
      <c r="J4577" s="12" t="str">
        <f>HYPERLINK("https://www.boe.es/gazeta/dias/1802/06/25/pdfs/GMD-1802-51.pdf#page=12","Abrir facsímil")</f>
        <v>Abrir facsímil</v>
      </c>
      <c r="K4577" s="15" t="s">
        <v>23</v>
      </c>
    </row>
    <row r="4578" spans="1:11" ht="42" customHeight="1">
      <c r="A4578" s="4" t="s">
        <v>11222</v>
      </c>
      <c r="B4578" s="5" t="s">
        <v>11223</v>
      </c>
      <c r="C4578" s="5" t="s">
        <v>18</v>
      </c>
      <c r="D4578" s="5" t="s">
        <v>19</v>
      </c>
      <c r="E4578" s="5" t="s">
        <v>714</v>
      </c>
      <c r="F4578" s="9">
        <v>89</v>
      </c>
      <c r="G4578" s="9">
        <v>1104</v>
      </c>
      <c r="H4578" s="5" t="s">
        <v>21</v>
      </c>
      <c r="I4578" s="5" t="s">
        <v>11224</v>
      </c>
      <c r="J4578" s="12" t="str">
        <f>HYPERLINK("https://www.boe.es/gazeta/dias/1802/11/02/pdfs/GMD-1802-89.pdf#page=8","Abrir facsímil")</f>
        <v>Abrir facsímil</v>
      </c>
      <c r="K4578" s="15" t="s">
        <v>23</v>
      </c>
    </row>
    <row r="4579" spans="1:11" ht="42" customHeight="1">
      <c r="A4579" s="4" t="s">
        <v>11225</v>
      </c>
      <c r="B4579" s="5" t="s">
        <v>11226</v>
      </c>
      <c r="C4579" s="5" t="s">
        <v>29</v>
      </c>
      <c r="D4579" s="5" t="s">
        <v>30</v>
      </c>
      <c r="E4579" s="5" t="s">
        <v>183</v>
      </c>
      <c r="F4579" s="9">
        <v>56</v>
      </c>
      <c r="G4579" s="9">
        <v>673</v>
      </c>
      <c r="H4579" s="5" t="s">
        <v>21</v>
      </c>
      <c r="I4579" s="5" t="s">
        <v>11227</v>
      </c>
      <c r="J4579" s="12" t="str">
        <f>HYPERLINK("https://www.boe.es/gazeta/dias/1802/07/13/pdfs/GMD-1802-56.pdf#page=5","Abrir facsímil")</f>
        <v>Abrir facsímil</v>
      </c>
      <c r="K4579" s="15" t="s">
        <v>23</v>
      </c>
    </row>
    <row r="4580" spans="1:11" ht="42" customHeight="1">
      <c r="A4580" s="4" t="s">
        <v>11228</v>
      </c>
      <c r="B4580" s="5" t="s">
        <v>11229</v>
      </c>
      <c r="C4580" s="5" t="s">
        <v>18</v>
      </c>
      <c r="D4580" s="5" t="s">
        <v>19</v>
      </c>
      <c r="E4580" s="5" t="s">
        <v>1051</v>
      </c>
      <c r="F4580" s="9">
        <v>43</v>
      </c>
      <c r="G4580" s="9">
        <v>512</v>
      </c>
      <c r="H4580" s="5" t="s">
        <v>21</v>
      </c>
      <c r="I4580" s="5" t="s">
        <v>11230</v>
      </c>
      <c r="J4580" s="12" t="str">
        <f>HYPERLINK("https://www.boe.es/gazeta/dias/1802/05/28/pdfs/GMD-1802-43.pdf#page=4","Abrir facsímil")</f>
        <v>Abrir facsímil</v>
      </c>
      <c r="K4580" s="15" t="s">
        <v>23</v>
      </c>
    </row>
    <row r="4581" spans="1:11" ht="42" customHeight="1">
      <c r="A4581" s="4" t="s">
        <v>11231</v>
      </c>
      <c r="B4581" s="5" t="s">
        <v>11232</v>
      </c>
      <c r="C4581" s="5" t="s">
        <v>29</v>
      </c>
      <c r="D4581" s="5" t="s">
        <v>30</v>
      </c>
      <c r="E4581" s="5" t="s">
        <v>258</v>
      </c>
      <c r="F4581" s="9">
        <v>63</v>
      </c>
      <c r="G4581" s="9">
        <v>765</v>
      </c>
      <c r="H4581" s="5" t="s">
        <v>21</v>
      </c>
      <c r="I4581" s="5" t="s">
        <v>11233</v>
      </c>
      <c r="J4581" s="12" t="str">
        <f>HYPERLINK("https://www.boe.es/gazeta/dias/1802/08/03/pdfs/GMD-1802-63.pdf#page=5","Abrir facsímil")</f>
        <v>Abrir facsímil</v>
      </c>
      <c r="K4581" s="15" t="s">
        <v>23</v>
      </c>
    </row>
    <row r="4582" spans="1:11" ht="42" customHeight="1">
      <c r="A4582" s="4" t="s">
        <v>11234</v>
      </c>
      <c r="B4582" s="5" t="s">
        <v>11235</v>
      </c>
      <c r="C4582" s="5" t="s">
        <v>35</v>
      </c>
      <c r="D4582" s="5" t="s">
        <v>36</v>
      </c>
      <c r="E4582" s="5" t="s">
        <v>325</v>
      </c>
      <c r="F4582" s="9">
        <v>90</v>
      </c>
      <c r="G4582" s="9">
        <v>1112</v>
      </c>
      <c r="H4582" s="5" t="s">
        <v>21</v>
      </c>
      <c r="I4582" s="5" t="s">
        <v>11236</v>
      </c>
      <c r="J4582" s="12" t="str">
        <f>HYPERLINK("https://www.boe.es/gazeta/dias/1802/11/05/pdfs/GMD-1802-90.pdf#page=4","Abrir facsímil")</f>
        <v>Abrir facsímil</v>
      </c>
      <c r="K4582" s="15" t="s">
        <v>23</v>
      </c>
    </row>
    <row r="4583" spans="1:11" ht="42" customHeight="1">
      <c r="A4583" s="4" t="s">
        <v>11237</v>
      </c>
      <c r="B4583" s="5" t="s">
        <v>11237</v>
      </c>
      <c r="C4583" s="5" t="s">
        <v>29</v>
      </c>
      <c r="D4583" s="5" t="s">
        <v>30</v>
      </c>
      <c r="E4583" s="5" t="s">
        <v>25</v>
      </c>
      <c r="F4583" s="9">
        <v>44</v>
      </c>
      <c r="G4583" s="9">
        <v>536</v>
      </c>
      <c r="H4583" s="5" t="s">
        <v>21</v>
      </c>
      <c r="I4583" s="5" t="s">
        <v>11238</v>
      </c>
      <c r="J4583" s="12" t="str">
        <f>HYPERLINK("https://www.boe.es/gazeta/dias/1802/06/01/pdfs/GMD-1802-44.pdf#page=12","Abrir facsímil")</f>
        <v>Abrir facsímil</v>
      </c>
      <c r="K4583" s="15" t="s">
        <v>23</v>
      </c>
    </row>
    <row r="4584" spans="1:11" ht="42" customHeight="1">
      <c r="A4584" s="4" t="s">
        <v>11239</v>
      </c>
      <c r="B4584" s="5" t="s">
        <v>11240</v>
      </c>
      <c r="C4584" s="5" t="s">
        <v>18</v>
      </c>
      <c r="D4584" s="5" t="s">
        <v>19</v>
      </c>
      <c r="E4584" s="5" t="s">
        <v>175</v>
      </c>
      <c r="F4584" s="9">
        <v>37</v>
      </c>
      <c r="G4584" s="9">
        <v>442</v>
      </c>
      <c r="H4584" s="5" t="s">
        <v>21</v>
      </c>
      <c r="I4584" s="5" t="s">
        <v>11241</v>
      </c>
      <c r="J4584" s="12" t="str">
        <f>HYPERLINK("https://www.boe.es/gazeta/dias/1802/05/07/pdfs/GMD-1802-37.pdf#page=10","Abrir facsímil")</f>
        <v>Abrir facsímil</v>
      </c>
      <c r="K4584" s="15" t="s">
        <v>23</v>
      </c>
    </row>
    <row r="4585" spans="1:11" ht="42" customHeight="1">
      <c r="A4585" s="4" t="s">
        <v>11239</v>
      </c>
      <c r="B4585" s="5" t="s">
        <v>11240</v>
      </c>
      <c r="C4585" s="5" t="s">
        <v>18</v>
      </c>
      <c r="D4585" s="5" t="s">
        <v>19</v>
      </c>
      <c r="E4585" s="5" t="s">
        <v>1264</v>
      </c>
      <c r="F4585" s="9">
        <v>105</v>
      </c>
      <c r="G4585" s="9">
        <v>1287</v>
      </c>
      <c r="H4585" s="5" t="s">
        <v>21</v>
      </c>
      <c r="I4585" s="5" t="s">
        <v>11242</v>
      </c>
      <c r="J4585" s="12" t="str">
        <f>HYPERLINK("https://www.boe.es/gazeta/dias/1802/12/28/pdfs/GMD-1802-105.pdf#page=11","Abrir facsímil")</f>
        <v>Abrir facsímil</v>
      </c>
      <c r="K4585" s="15" t="s">
        <v>23</v>
      </c>
    </row>
    <row r="4586" spans="1:11" ht="42" customHeight="1">
      <c r="A4586" s="4" t="s">
        <v>11243</v>
      </c>
      <c r="B4586" s="5" t="s">
        <v>11243</v>
      </c>
      <c r="C4586" s="5" t="s">
        <v>35</v>
      </c>
      <c r="D4586" s="5" t="s">
        <v>36</v>
      </c>
      <c r="E4586" s="5" t="s">
        <v>517</v>
      </c>
      <c r="F4586" s="9">
        <v>61</v>
      </c>
      <c r="G4586" s="9">
        <v>734</v>
      </c>
      <c r="H4586" s="5" t="s">
        <v>21</v>
      </c>
      <c r="I4586" s="5" t="s">
        <v>11244</v>
      </c>
      <c r="J4586" s="12" t="str">
        <f>HYPERLINK("https://www.boe.es/gazeta/dias/1802/07/27/pdfs/GMD-1802-61.pdf#page=2","Abrir facsímil")</f>
        <v>Abrir facsímil</v>
      </c>
      <c r="K4586" s="15" t="s">
        <v>23</v>
      </c>
    </row>
    <row r="4587" spans="1:11" ht="42" customHeight="1">
      <c r="A4587" s="4" t="s">
        <v>11245</v>
      </c>
      <c r="B4587" s="5" t="s">
        <v>11246</v>
      </c>
      <c r="C4587" s="5" t="s">
        <v>18</v>
      </c>
      <c r="D4587" s="5" t="s">
        <v>19</v>
      </c>
      <c r="E4587" s="5" t="s">
        <v>20</v>
      </c>
      <c r="F4587" s="9">
        <v>84</v>
      </c>
      <c r="G4587" s="9">
        <v>1045</v>
      </c>
      <c r="H4587" s="5" t="s">
        <v>21</v>
      </c>
      <c r="I4587" s="5" t="s">
        <v>11247</v>
      </c>
      <c r="J4587" s="12" t="str">
        <f>HYPERLINK("https://www.boe.es/gazeta/dias/1802/10/15/pdfs/GMD-1802-84.pdf#page=13","Abrir facsímil")</f>
        <v>Abrir facsímil</v>
      </c>
      <c r="K4587" s="15" t="s">
        <v>23</v>
      </c>
    </row>
    <row r="4588" spans="1:11" ht="42" customHeight="1">
      <c r="A4588" s="4" t="s">
        <v>11248</v>
      </c>
      <c r="B4588" s="5" t="s">
        <v>11249</v>
      </c>
      <c r="C4588" s="5" t="s">
        <v>29</v>
      </c>
      <c r="D4588" s="5" t="s">
        <v>30</v>
      </c>
      <c r="E4588" s="5" t="s">
        <v>71</v>
      </c>
      <c r="F4588" s="9">
        <v>21</v>
      </c>
      <c r="G4588" s="9">
        <v>233</v>
      </c>
      <c r="H4588" s="5" t="s">
        <v>21</v>
      </c>
      <c r="I4588" s="5" t="s">
        <v>11250</v>
      </c>
      <c r="J4588" s="12" t="str">
        <f>HYPERLINK("https://www.boe.es/gazeta/dias/1802/03/12/pdfs/GMD-1802-21.pdf#page=9","Abrir facsímil")</f>
        <v>Abrir facsímil</v>
      </c>
      <c r="K4588" s="15" t="s">
        <v>23</v>
      </c>
    </row>
    <row r="4589" spans="1:11" ht="42" customHeight="1">
      <c r="A4589" s="4" t="s">
        <v>11248</v>
      </c>
      <c r="B4589" s="5" t="s">
        <v>11249</v>
      </c>
      <c r="C4589" s="5" t="s">
        <v>29</v>
      </c>
      <c r="D4589" s="5" t="s">
        <v>30</v>
      </c>
      <c r="E4589" s="5" t="s">
        <v>453</v>
      </c>
      <c r="F4589" s="9">
        <v>52</v>
      </c>
      <c r="G4589" s="9">
        <v>631</v>
      </c>
      <c r="H4589" s="5" t="s">
        <v>21</v>
      </c>
      <c r="I4589" s="5" t="s">
        <v>11251</v>
      </c>
      <c r="J4589" s="12" t="str">
        <f>HYPERLINK("https://www.boe.es/gazeta/dias/1802/06/29/pdfs/GMD-1802-52.pdf#page=7","Abrir facsímil")</f>
        <v>Abrir facsímil</v>
      </c>
      <c r="K4589" s="15" t="s">
        <v>23</v>
      </c>
    </row>
    <row r="4590" spans="1:11" ht="42" customHeight="1">
      <c r="A4590" s="4" t="s">
        <v>11252</v>
      </c>
      <c r="B4590" s="5" t="s">
        <v>11253</v>
      </c>
      <c r="C4590" s="5" t="s">
        <v>42</v>
      </c>
      <c r="D4590" s="5" t="s">
        <v>43</v>
      </c>
      <c r="E4590" s="5" t="s">
        <v>44</v>
      </c>
      <c r="F4590" s="9">
        <v>99</v>
      </c>
      <c r="G4590" s="9" t="s">
        <v>537</v>
      </c>
      <c r="H4590" s="5" t="s">
        <v>21</v>
      </c>
      <c r="I4590" s="5" t="s">
        <v>11254</v>
      </c>
      <c r="J4590" s="12" t="str">
        <f>HYPERLINK("https://www.boe.es/gazeta/dias/1802/12/07/pdfs/GMD-D-1802-99.pdf#page=9","Abrir facsímil")</f>
        <v>Abrir facsímil</v>
      </c>
      <c r="K4590" s="15" t="s">
        <v>23</v>
      </c>
    </row>
    <row r="4591" spans="1:11" ht="42" customHeight="1">
      <c r="A4591" s="4" t="s">
        <v>11255</v>
      </c>
      <c r="B4591" s="5" t="s">
        <v>11256</v>
      </c>
      <c r="C4591" s="5" t="s">
        <v>18</v>
      </c>
      <c r="D4591" s="5" t="s">
        <v>19</v>
      </c>
      <c r="E4591" s="5" t="s">
        <v>258</v>
      </c>
      <c r="F4591" s="9">
        <v>63</v>
      </c>
      <c r="G4591" s="9">
        <v>767</v>
      </c>
      <c r="H4591" s="5" t="s">
        <v>21</v>
      </c>
      <c r="I4591" s="5" t="s">
        <v>11257</v>
      </c>
      <c r="J4591" s="12" t="str">
        <f>HYPERLINK("https://www.boe.es/gazeta/dias/1802/08/03/pdfs/GMD-1802-63.pdf#page=7","Abrir facsímil")</f>
        <v>Abrir facsímil</v>
      </c>
      <c r="K4591" s="15" t="s">
        <v>23</v>
      </c>
    </row>
    <row r="4592" spans="1:11" ht="42" customHeight="1">
      <c r="A4592" s="4" t="s">
        <v>11258</v>
      </c>
      <c r="B4592" s="5" t="s">
        <v>11258</v>
      </c>
      <c r="C4592" s="5" t="s">
        <v>55</v>
      </c>
      <c r="D4592" s="5" t="s">
        <v>56</v>
      </c>
      <c r="E4592" s="5" t="s">
        <v>389</v>
      </c>
      <c r="F4592" s="9">
        <v>96</v>
      </c>
      <c r="G4592" s="9">
        <v>1182</v>
      </c>
      <c r="H4592" s="5" t="s">
        <v>21</v>
      </c>
      <c r="I4592" s="5" t="s">
        <v>11259</v>
      </c>
      <c r="J4592" s="12" t="str">
        <f>HYPERLINK("https://www.boe.es/gazeta/dias/1802/11/26/pdfs/GMD-1802-96.pdf#page=2","Abrir facsímil")</f>
        <v>Abrir facsímil</v>
      </c>
      <c r="K4592" s="15" t="s">
        <v>23</v>
      </c>
    </row>
    <row r="4593" spans="1:11" ht="42" customHeight="1">
      <c r="A4593" s="4" t="s">
        <v>11260</v>
      </c>
      <c r="B4593" s="5" t="s">
        <v>11261</v>
      </c>
      <c r="C4593" s="5" t="s">
        <v>29</v>
      </c>
      <c r="D4593" s="5" t="s">
        <v>30</v>
      </c>
      <c r="E4593" s="5" t="s">
        <v>921</v>
      </c>
      <c r="F4593" s="9">
        <v>50</v>
      </c>
      <c r="G4593" s="9">
        <v>610</v>
      </c>
      <c r="H4593" s="5" t="s">
        <v>21</v>
      </c>
      <c r="I4593" s="5" t="s">
        <v>11262</v>
      </c>
      <c r="J4593" s="12" t="str">
        <f>HYPERLINK("https://www.boe.es/gazeta/dias/1802/06/22/pdfs/GMD-1802-50.pdf#page=10","Abrir facsímil")</f>
        <v>Abrir facsímil</v>
      </c>
      <c r="K4593" s="15" t="s">
        <v>23</v>
      </c>
    </row>
    <row r="4594" spans="1:11" ht="42" customHeight="1">
      <c r="A4594" s="4" t="s">
        <v>11263</v>
      </c>
      <c r="B4594" s="5" t="s">
        <v>11264</v>
      </c>
      <c r="C4594" s="5" t="s">
        <v>18</v>
      </c>
      <c r="D4594" s="5" t="s">
        <v>19</v>
      </c>
      <c r="E4594" s="5" t="s">
        <v>751</v>
      </c>
      <c r="F4594" s="9">
        <v>98</v>
      </c>
      <c r="G4594" s="9">
        <v>1213</v>
      </c>
      <c r="H4594" s="5" t="s">
        <v>21</v>
      </c>
      <c r="I4594" s="5" t="s">
        <v>11265</v>
      </c>
      <c r="J4594" s="12" t="str">
        <f>HYPERLINK("https://www.boe.es/gazeta/dias/1802/12/03/pdfs/GMD-1802-98.pdf#page=9","Abrir facsímil")</f>
        <v>Abrir facsímil</v>
      </c>
      <c r="K4594" s="15" t="s">
        <v>23</v>
      </c>
    </row>
    <row r="4595" spans="1:11" ht="42" customHeight="1">
      <c r="A4595" s="4" t="s">
        <v>11266</v>
      </c>
      <c r="B4595" s="5" t="s">
        <v>11267</v>
      </c>
      <c r="C4595" s="5" t="s">
        <v>18</v>
      </c>
      <c r="D4595" s="5" t="s">
        <v>19</v>
      </c>
      <c r="E4595" s="5" t="s">
        <v>75</v>
      </c>
      <c r="F4595" s="9">
        <v>103</v>
      </c>
      <c r="G4595" s="9">
        <v>1263</v>
      </c>
      <c r="H4595" s="5" t="s">
        <v>21</v>
      </c>
      <c r="I4595" s="5" t="s">
        <v>11268</v>
      </c>
      <c r="J4595" s="12" t="str">
        <f>HYPERLINK("https://www.boe.es/gazeta/dias/1802/12/21/pdfs/GMD-1802-103.pdf#page=7","Abrir facsímil")</f>
        <v>Abrir facsímil</v>
      </c>
      <c r="K4595" s="15" t="s">
        <v>23</v>
      </c>
    </row>
    <row r="4596" spans="1:11" ht="42" customHeight="1">
      <c r="A4596" s="4" t="s">
        <v>11269</v>
      </c>
      <c r="B4596" s="5" t="s">
        <v>11269</v>
      </c>
      <c r="C4596" s="5" t="s">
        <v>35</v>
      </c>
      <c r="D4596" s="5" t="s">
        <v>36</v>
      </c>
      <c r="E4596" s="5" t="s">
        <v>75</v>
      </c>
      <c r="F4596" s="9">
        <v>103</v>
      </c>
      <c r="G4596" s="9">
        <v>1262</v>
      </c>
      <c r="H4596" s="5" t="s">
        <v>21</v>
      </c>
      <c r="I4596" s="5" t="s">
        <v>11270</v>
      </c>
      <c r="J4596" s="12" t="str">
        <f>HYPERLINK("https://www.boe.es/gazeta/dias/1802/12/21/pdfs/GMD-1802-103.pdf#page=6","Abrir facsímil")</f>
        <v>Abrir facsímil</v>
      </c>
      <c r="K4596" s="15" t="s">
        <v>23</v>
      </c>
    </row>
    <row r="4597" spans="1:11" ht="42" customHeight="1">
      <c r="A4597" s="4" t="s">
        <v>11271</v>
      </c>
      <c r="B4597" s="5" t="s">
        <v>11271</v>
      </c>
      <c r="C4597" s="5" t="s">
        <v>35</v>
      </c>
      <c r="D4597" s="5" t="s">
        <v>36</v>
      </c>
      <c r="E4597" s="5" t="s">
        <v>1829</v>
      </c>
      <c r="F4597" s="9">
        <v>32</v>
      </c>
      <c r="G4597" s="9">
        <v>376</v>
      </c>
      <c r="H4597" s="5" t="s">
        <v>21</v>
      </c>
      <c r="I4597" s="5" t="s">
        <v>11272</v>
      </c>
      <c r="J4597" s="12" t="str">
        <f>HYPERLINK("https://www.boe.es/gazeta/dias/1802/04/20/pdfs/GMD-1802-32.pdf#page=8","Abrir facsímil")</f>
        <v>Abrir facsímil</v>
      </c>
      <c r="K4597" s="15" t="s">
        <v>23</v>
      </c>
    </row>
    <row r="4598" spans="1:11" ht="42" customHeight="1">
      <c r="A4598" s="4" t="s">
        <v>11271</v>
      </c>
      <c r="B4598" s="5" t="s">
        <v>11271</v>
      </c>
      <c r="C4598" s="5" t="s">
        <v>35</v>
      </c>
      <c r="D4598" s="5" t="s">
        <v>36</v>
      </c>
      <c r="E4598" s="5" t="s">
        <v>276</v>
      </c>
      <c r="F4598" s="9">
        <v>75</v>
      </c>
      <c r="G4598" s="9">
        <v>921</v>
      </c>
      <c r="H4598" s="5" t="s">
        <v>21</v>
      </c>
      <c r="I4598" s="5" t="s">
        <v>11273</v>
      </c>
      <c r="J4598" s="12" t="str">
        <f>HYPERLINK("https://www.boe.es/gazeta/dias/1802/09/14/pdfs/GMD-1802-75.pdf#page=5","Abrir facsímil")</f>
        <v>Abrir facsímil</v>
      </c>
      <c r="K4598" s="15" t="s">
        <v>23</v>
      </c>
    </row>
    <row r="4599" spans="1:11" ht="42" customHeight="1">
      <c r="A4599" s="4" t="s">
        <v>11274</v>
      </c>
      <c r="B4599" s="5" t="s">
        <v>11274</v>
      </c>
      <c r="C4599" s="5" t="s">
        <v>90</v>
      </c>
      <c r="D4599" s="5" t="s">
        <v>91</v>
      </c>
      <c r="E4599" s="5" t="s">
        <v>60</v>
      </c>
      <c r="F4599" s="9">
        <v>5</v>
      </c>
      <c r="G4599" s="9">
        <v>50</v>
      </c>
      <c r="H4599" s="5" t="s">
        <v>21</v>
      </c>
      <c r="I4599" s="5" t="s">
        <v>11275</v>
      </c>
      <c r="J4599" s="12" t="str">
        <f>HYPERLINK("https://www.boe.es/gazeta/dias/1802/01/15/pdfs/GMD-1802-5.pdf#page=6","Abrir facsímil")</f>
        <v>Abrir facsímil</v>
      </c>
      <c r="K4599" s="15" t="s">
        <v>23</v>
      </c>
    </row>
    <row r="4600" spans="1:11" ht="42" customHeight="1">
      <c r="A4600" s="4" t="s">
        <v>11276</v>
      </c>
      <c r="B4600" s="5" t="s">
        <v>11277</v>
      </c>
      <c r="C4600" s="5" t="s">
        <v>35</v>
      </c>
      <c r="D4600" s="5" t="s">
        <v>36</v>
      </c>
      <c r="E4600" s="5" t="s">
        <v>92</v>
      </c>
      <c r="F4600" s="9">
        <v>29</v>
      </c>
      <c r="G4600" s="9">
        <v>338</v>
      </c>
      <c r="H4600" s="5" t="s">
        <v>21</v>
      </c>
      <c r="I4600" s="5" t="s">
        <v>11278</v>
      </c>
      <c r="J4600" s="12" t="str">
        <f>HYPERLINK("https://www.boe.es/gazeta/dias/1802/04/09/pdfs/GMD-1802-29.pdf#page=6","Abrir facsímil")</f>
        <v>Abrir facsímil</v>
      </c>
      <c r="K4600" s="15" t="s">
        <v>23</v>
      </c>
    </row>
    <row r="4601" spans="1:11" ht="42" customHeight="1">
      <c r="A4601" s="4" t="s">
        <v>11279</v>
      </c>
      <c r="B4601" s="5" t="s">
        <v>11280</v>
      </c>
      <c r="C4601" s="5" t="s">
        <v>35</v>
      </c>
      <c r="D4601" s="5" t="s">
        <v>36</v>
      </c>
      <c r="E4601" s="5" t="s">
        <v>1959</v>
      </c>
      <c r="F4601" s="9">
        <v>34</v>
      </c>
      <c r="G4601" s="9">
        <v>389</v>
      </c>
      <c r="H4601" s="5" t="s">
        <v>21</v>
      </c>
      <c r="I4601" s="5" t="s">
        <v>11281</v>
      </c>
      <c r="J4601" s="12" t="str">
        <f>HYPERLINK("https://www.boe.es/gazeta/dias/1802/04/27/pdfs/GMD-1802-34.pdf#page=1","Abrir facsímil")</f>
        <v>Abrir facsímil</v>
      </c>
      <c r="K4601" s="15" t="s">
        <v>23</v>
      </c>
    </row>
    <row r="4602" spans="1:11" ht="42" customHeight="1">
      <c r="A4602" s="4" t="s">
        <v>11282</v>
      </c>
      <c r="B4602" s="5" t="s">
        <v>11282</v>
      </c>
      <c r="C4602" s="5" t="s">
        <v>18</v>
      </c>
      <c r="D4602" s="5" t="s">
        <v>19</v>
      </c>
      <c r="E4602" s="5" t="s">
        <v>49</v>
      </c>
      <c r="F4602" s="9">
        <v>83</v>
      </c>
      <c r="G4602" s="9">
        <v>1025</v>
      </c>
      <c r="H4602" s="5" t="s">
        <v>21</v>
      </c>
      <c r="I4602" s="5" t="s">
        <v>11283</v>
      </c>
      <c r="J4602" s="12" t="str">
        <f>HYPERLINK("https://www.boe.es/gazeta/dias/1802/10/12/pdfs/GMD-1802-83.pdf#page=13","Abrir facsímil")</f>
        <v>Abrir facsímil</v>
      </c>
      <c r="K4602" s="15" t="s">
        <v>23</v>
      </c>
    </row>
    <row r="4603" spans="1:11" ht="42" customHeight="1">
      <c r="A4603" s="4" t="s">
        <v>11284</v>
      </c>
      <c r="B4603" s="5" t="s">
        <v>11284</v>
      </c>
      <c r="C4603" s="5" t="s">
        <v>18</v>
      </c>
      <c r="D4603" s="5" t="s">
        <v>19</v>
      </c>
      <c r="E4603" s="5" t="s">
        <v>49</v>
      </c>
      <c r="F4603" s="9">
        <v>83</v>
      </c>
      <c r="G4603" s="9">
        <v>1025</v>
      </c>
      <c r="H4603" s="5" t="s">
        <v>21</v>
      </c>
      <c r="I4603" s="5" t="s">
        <v>11285</v>
      </c>
      <c r="J4603" s="12" t="str">
        <f>HYPERLINK("https://www.boe.es/gazeta/dias/1802/10/12/pdfs/GMD-1802-83.pdf#page=13","Abrir facsímil")</f>
        <v>Abrir facsímil</v>
      </c>
      <c r="K4603" s="15" t="s">
        <v>23</v>
      </c>
    </row>
    <row r="4604" spans="1:11" ht="42" customHeight="1">
      <c r="A4604" s="4" t="s">
        <v>11286</v>
      </c>
      <c r="B4604" s="5" t="s">
        <v>11286</v>
      </c>
      <c r="C4604" s="5" t="s">
        <v>42</v>
      </c>
      <c r="D4604" s="5" t="s">
        <v>43</v>
      </c>
      <c r="E4604" s="5" t="s">
        <v>44</v>
      </c>
      <c r="F4604" s="9">
        <v>99</v>
      </c>
      <c r="G4604" s="9" t="s">
        <v>314</v>
      </c>
      <c r="H4604" s="5" t="s">
        <v>21</v>
      </c>
      <c r="I4604" s="5" t="s">
        <v>11287</v>
      </c>
      <c r="J4604" s="12" t="str">
        <f>HYPERLINK("https://www.boe.es/gazeta/dias/1802/12/07/pdfs/GMD-D-1802-99.pdf#page=2","Abrir facsímil")</f>
        <v>Abrir facsímil</v>
      </c>
      <c r="K4604" s="15" t="s">
        <v>23</v>
      </c>
    </row>
    <row r="4605" spans="1:11" ht="42" customHeight="1">
      <c r="A4605" s="4" t="s">
        <v>11288</v>
      </c>
      <c r="B4605" s="5" t="s">
        <v>11288</v>
      </c>
      <c r="C4605" s="5" t="s">
        <v>35</v>
      </c>
      <c r="D4605" s="5" t="s">
        <v>36</v>
      </c>
      <c r="E4605" s="5" t="s">
        <v>1829</v>
      </c>
      <c r="F4605" s="9">
        <v>32</v>
      </c>
      <c r="G4605" s="9">
        <v>379</v>
      </c>
      <c r="H4605" s="5" t="s">
        <v>21</v>
      </c>
      <c r="I4605" s="5" t="s">
        <v>11289</v>
      </c>
      <c r="J4605" s="12" t="str">
        <f>HYPERLINK("https://www.boe.es/gazeta/dias/1802/04/20/pdfs/GMD-1802-32.pdf#page=11","Abrir facsímil")</f>
        <v>Abrir facsímil</v>
      </c>
      <c r="K4605" s="15" t="s">
        <v>23</v>
      </c>
    </row>
    <row r="4606" spans="1:11" ht="42" customHeight="1">
      <c r="A4606" s="4" t="s">
        <v>11290</v>
      </c>
      <c r="B4606" s="5" t="s">
        <v>11290</v>
      </c>
      <c r="C4606" s="5" t="s">
        <v>18</v>
      </c>
      <c r="D4606" s="5" t="s">
        <v>19</v>
      </c>
      <c r="E4606" s="5" t="s">
        <v>292</v>
      </c>
      <c r="F4606" s="9">
        <v>62</v>
      </c>
      <c r="G4606" s="9">
        <v>755</v>
      </c>
      <c r="H4606" s="5" t="s">
        <v>21</v>
      </c>
      <c r="I4606" s="5" t="s">
        <v>11291</v>
      </c>
      <c r="J4606" s="12" t="str">
        <f>HYPERLINK("https://www.boe.es/gazeta/dias/1802/07/30/pdfs/GMD-1802-62.pdf#page=11","Abrir facsímil")</f>
        <v>Abrir facsímil</v>
      </c>
      <c r="K4606" s="15" t="s">
        <v>23</v>
      </c>
    </row>
    <row r="4607" spans="1:11" ht="42" customHeight="1">
      <c r="A4607" s="4" t="s">
        <v>11292</v>
      </c>
      <c r="B4607" s="5" t="s">
        <v>11293</v>
      </c>
      <c r="C4607" s="5" t="s">
        <v>29</v>
      </c>
      <c r="D4607" s="5" t="s">
        <v>30</v>
      </c>
      <c r="E4607" s="5" t="s">
        <v>185</v>
      </c>
      <c r="F4607" s="9">
        <v>95</v>
      </c>
      <c r="G4607" s="9">
        <v>1173</v>
      </c>
      <c r="H4607" s="5" t="s">
        <v>21</v>
      </c>
      <c r="I4607" s="5" t="s">
        <v>11294</v>
      </c>
      <c r="J4607" s="12" t="str">
        <f>HYPERLINK("https://www.boe.es/gazeta/dias/1802/11/23/pdfs/GMD-1802-95.pdf#page=9","Abrir facsímil")</f>
        <v>Abrir facsímil</v>
      </c>
      <c r="K4607" s="15" t="s">
        <v>23</v>
      </c>
    </row>
    <row r="4608" spans="1:11" ht="42" customHeight="1">
      <c r="A4608" s="4" t="s">
        <v>11295</v>
      </c>
      <c r="B4608" s="5" t="s">
        <v>11295</v>
      </c>
      <c r="C4608" s="5" t="s">
        <v>29</v>
      </c>
      <c r="D4608" s="5" t="s">
        <v>30</v>
      </c>
      <c r="E4608" s="5" t="s">
        <v>49</v>
      </c>
      <c r="F4608" s="9">
        <v>83</v>
      </c>
      <c r="G4608" s="9">
        <v>1020</v>
      </c>
      <c r="H4608" s="5" t="s">
        <v>21</v>
      </c>
      <c r="I4608" s="5" t="s">
        <v>11296</v>
      </c>
      <c r="J4608" s="12" t="str">
        <f>HYPERLINK("https://www.boe.es/gazeta/dias/1802/10/12/pdfs/GMD-1802-83.pdf#page=8","Abrir facsímil")</f>
        <v>Abrir facsímil</v>
      </c>
      <c r="K4608" s="15" t="s">
        <v>23</v>
      </c>
    </row>
    <row r="4609" spans="1:11" ht="42" customHeight="1">
      <c r="A4609" s="4" t="s">
        <v>11297</v>
      </c>
      <c r="B4609" s="5" t="s">
        <v>11298</v>
      </c>
      <c r="C4609" s="5" t="s">
        <v>42</v>
      </c>
      <c r="D4609" s="5" t="s">
        <v>43</v>
      </c>
      <c r="E4609" s="5" t="s">
        <v>44</v>
      </c>
      <c r="F4609" s="9">
        <v>99</v>
      </c>
      <c r="G4609" s="9" t="s">
        <v>45</v>
      </c>
      <c r="H4609" s="5" t="s">
        <v>21</v>
      </c>
      <c r="I4609" s="5" t="s">
        <v>11299</v>
      </c>
      <c r="J4609" s="12" t="str">
        <f>HYPERLINK("https://www.boe.es/gazeta/dias/1802/12/07/pdfs/GMD-D-1802-99.pdf#page=14","Abrir facsímil")</f>
        <v>Abrir facsímil</v>
      </c>
      <c r="K4609" s="15" t="s">
        <v>23</v>
      </c>
    </row>
    <row r="4610" spans="1:11" ht="42" customHeight="1">
      <c r="A4610" s="4" t="s">
        <v>11300</v>
      </c>
      <c r="B4610" s="5" t="s">
        <v>11300</v>
      </c>
      <c r="C4610" s="5" t="s">
        <v>18</v>
      </c>
      <c r="D4610" s="5" t="s">
        <v>19</v>
      </c>
      <c r="E4610" s="5" t="s">
        <v>826</v>
      </c>
      <c r="F4610" s="9">
        <v>67</v>
      </c>
      <c r="G4610" s="9">
        <v>819</v>
      </c>
      <c r="H4610" s="5" t="s">
        <v>21</v>
      </c>
      <c r="I4610" s="5" t="s">
        <v>11301</v>
      </c>
      <c r="J4610" s="12" t="str">
        <f>HYPERLINK("https://www.boe.es/gazeta/dias/1802/08/17/pdfs/GMD-1802-67.pdf#page=7","Abrir facsímil")</f>
        <v>Abrir facsímil</v>
      </c>
      <c r="K4610" s="15" t="s">
        <v>23</v>
      </c>
    </row>
    <row r="4611" spans="1:11" ht="42" customHeight="1">
      <c r="A4611" s="4" t="s">
        <v>11302</v>
      </c>
      <c r="B4611" s="5" t="s">
        <v>11302</v>
      </c>
      <c r="C4611" s="5" t="s">
        <v>42</v>
      </c>
      <c r="D4611" s="5" t="s">
        <v>43</v>
      </c>
      <c r="E4611" s="5" t="s">
        <v>44</v>
      </c>
      <c r="F4611" s="9">
        <v>99</v>
      </c>
      <c r="G4611" s="9" t="s">
        <v>322</v>
      </c>
      <c r="H4611" s="5" t="s">
        <v>21</v>
      </c>
      <c r="I4611" s="5" t="s">
        <v>11303</v>
      </c>
      <c r="J4611" s="12" t="str">
        <f>HYPERLINK("https://www.boe.es/gazeta/dias/1802/12/07/pdfs/GMD-D-1802-99.pdf#page=10","Abrir facsímil")</f>
        <v>Abrir facsímil</v>
      </c>
      <c r="K4611" s="15" t="s">
        <v>23</v>
      </c>
    </row>
    <row r="4612" spans="1:11" ht="42" customHeight="1">
      <c r="A4612" s="4" t="s">
        <v>11304</v>
      </c>
      <c r="B4612" s="5" t="s">
        <v>11305</v>
      </c>
      <c r="C4612" s="5" t="s">
        <v>90</v>
      </c>
      <c r="D4612" s="5" t="s">
        <v>91</v>
      </c>
      <c r="E4612" s="5" t="s">
        <v>332</v>
      </c>
      <c r="F4612" s="9">
        <v>24</v>
      </c>
      <c r="G4612" s="9">
        <v>268</v>
      </c>
      <c r="H4612" s="5" t="s">
        <v>21</v>
      </c>
      <c r="I4612" s="5" t="s">
        <v>11306</v>
      </c>
      <c r="J4612" s="12" t="str">
        <f>HYPERLINK("https://www.boe.es/gazeta/dias/1802/03/23/pdfs/GMD-1802-24.pdf#page=4","Abrir facsímil")</f>
        <v>Abrir facsímil</v>
      </c>
      <c r="K4612" s="15" t="s">
        <v>23</v>
      </c>
    </row>
    <row r="4613" spans="1:11" ht="42" customHeight="1">
      <c r="A4613" s="4" t="s">
        <v>11304</v>
      </c>
      <c r="B4613" s="5" t="s">
        <v>11305</v>
      </c>
      <c r="C4613" s="5" t="s">
        <v>35</v>
      </c>
      <c r="D4613" s="5" t="s">
        <v>36</v>
      </c>
      <c r="E4613" s="5" t="s">
        <v>1051</v>
      </c>
      <c r="F4613" s="9">
        <v>43</v>
      </c>
      <c r="G4613" s="9">
        <v>511</v>
      </c>
      <c r="H4613" s="5" t="s">
        <v>21</v>
      </c>
      <c r="I4613" s="5" t="s">
        <v>11307</v>
      </c>
      <c r="J4613" s="12" t="str">
        <f>HYPERLINK("https://www.boe.es/gazeta/dias/1802/05/28/pdfs/GMD-1802-43.pdf#page=3","Abrir facsímil")</f>
        <v>Abrir facsímil</v>
      </c>
      <c r="K4613" s="15" t="s">
        <v>23</v>
      </c>
    </row>
    <row r="4614" spans="1:11" ht="42" customHeight="1">
      <c r="A4614" s="4" t="s">
        <v>11304</v>
      </c>
      <c r="B4614" s="5" t="s">
        <v>11305</v>
      </c>
      <c r="C4614" s="5" t="s">
        <v>29</v>
      </c>
      <c r="D4614" s="5" t="s">
        <v>30</v>
      </c>
      <c r="E4614" s="5" t="s">
        <v>439</v>
      </c>
      <c r="F4614" s="9">
        <v>76</v>
      </c>
      <c r="G4614" s="9">
        <v>931</v>
      </c>
      <c r="H4614" s="5" t="s">
        <v>21</v>
      </c>
      <c r="I4614" s="5" t="s">
        <v>11308</v>
      </c>
      <c r="J4614" s="12" t="str">
        <f>HYPERLINK("https://www.boe.es/gazeta/dias/1802/09/17/pdfs/GMD-1802-76.pdf#page=3","Abrir facsímil")</f>
        <v>Abrir facsímil</v>
      </c>
      <c r="K4614" s="15" t="s">
        <v>23</v>
      </c>
    </row>
    <row r="4615" spans="1:11" ht="42" customHeight="1">
      <c r="A4615" s="4" t="s">
        <v>11309</v>
      </c>
      <c r="B4615" s="5" t="s">
        <v>11309</v>
      </c>
      <c r="C4615" s="5" t="s">
        <v>18</v>
      </c>
      <c r="D4615" s="5" t="s">
        <v>19</v>
      </c>
      <c r="E4615" s="5" t="s">
        <v>206</v>
      </c>
      <c r="F4615" s="9">
        <v>22</v>
      </c>
      <c r="G4615" s="9">
        <v>242</v>
      </c>
      <c r="H4615" s="5" t="s">
        <v>21</v>
      </c>
      <c r="I4615" s="5" t="s">
        <v>11310</v>
      </c>
      <c r="J4615" s="12" t="str">
        <f>HYPERLINK("https://www.boe.es/gazeta/dias/1802/03/16/pdfs/GMD-1802-22.pdf#page=10","Abrir facsímil")</f>
        <v>Abrir facsímil</v>
      </c>
      <c r="K4615" s="15" t="s">
        <v>23</v>
      </c>
    </row>
    <row r="4616" spans="1:11" ht="42" customHeight="1">
      <c r="A4616" s="4" t="s">
        <v>11311</v>
      </c>
      <c r="B4616" s="5" t="s">
        <v>11312</v>
      </c>
      <c r="C4616" s="5" t="s">
        <v>35</v>
      </c>
      <c r="D4616" s="5" t="s">
        <v>36</v>
      </c>
      <c r="E4616" s="5" t="s">
        <v>1264</v>
      </c>
      <c r="F4616" s="9">
        <v>105</v>
      </c>
      <c r="G4616" s="9">
        <v>1278</v>
      </c>
      <c r="H4616" s="5" t="s">
        <v>21</v>
      </c>
      <c r="I4616" s="5" t="s">
        <v>11313</v>
      </c>
      <c r="J4616" s="12" t="str">
        <f>HYPERLINK("https://www.boe.es/gazeta/dias/1802/12/28/pdfs/GMD-1802-105.pdf#page=2","Abrir facsímil")</f>
        <v>Abrir facsímil</v>
      </c>
      <c r="K4616" s="15" t="s">
        <v>23</v>
      </c>
    </row>
    <row r="4617" spans="1:11" ht="42" customHeight="1">
      <c r="A4617" s="4" t="s">
        <v>11314</v>
      </c>
      <c r="B4617" s="5" t="s">
        <v>11314</v>
      </c>
      <c r="C4617" s="5" t="s">
        <v>29</v>
      </c>
      <c r="D4617" s="5" t="s">
        <v>30</v>
      </c>
      <c r="E4617" s="5" t="s">
        <v>121</v>
      </c>
      <c r="F4617" s="9">
        <v>87</v>
      </c>
      <c r="G4617" s="9">
        <v>1081</v>
      </c>
      <c r="H4617" s="5" t="s">
        <v>21</v>
      </c>
      <c r="I4617" s="5" t="s">
        <v>11315</v>
      </c>
      <c r="J4617" s="12" t="str">
        <f>HYPERLINK("https://www.boe.es/gazeta/dias/1802/10/26/pdfs/GMD-1802-87.pdf#page=9","Abrir facsímil")</f>
        <v>Abrir facsímil</v>
      </c>
      <c r="K4617" s="15" t="s">
        <v>23</v>
      </c>
    </row>
    <row r="4618" spans="1:11" ht="42" customHeight="1">
      <c r="A4618" s="4" t="s">
        <v>11316</v>
      </c>
      <c r="B4618" s="5" t="s">
        <v>11317</v>
      </c>
      <c r="C4618" s="5" t="s">
        <v>29</v>
      </c>
      <c r="D4618" s="5" t="s">
        <v>30</v>
      </c>
      <c r="E4618" s="5" t="s">
        <v>181</v>
      </c>
      <c r="F4618" s="9">
        <v>55</v>
      </c>
      <c r="G4618" s="9">
        <v>658</v>
      </c>
      <c r="H4618" s="5" t="s">
        <v>21</v>
      </c>
      <c r="I4618" s="5" t="s">
        <v>11318</v>
      </c>
      <c r="J4618" s="12" t="str">
        <f>HYPERLINK("https://www.boe.es/gazeta/dias/1802/07/09/pdfs/GMD-1802-55.pdf#page=2","Abrir facsímil")</f>
        <v>Abrir facsímil</v>
      </c>
      <c r="K4618" s="15" t="s">
        <v>23</v>
      </c>
    </row>
    <row r="4619" spans="1:11" ht="42" customHeight="1">
      <c r="A4619" s="4" t="s">
        <v>11319</v>
      </c>
      <c r="B4619" s="5" t="s">
        <v>11320</v>
      </c>
      <c r="C4619" s="5" t="s">
        <v>18</v>
      </c>
      <c r="D4619" s="5" t="s">
        <v>19</v>
      </c>
      <c r="E4619" s="5" t="s">
        <v>1185</v>
      </c>
      <c r="F4619" s="9">
        <v>93</v>
      </c>
      <c r="G4619" s="9">
        <v>1148</v>
      </c>
      <c r="H4619" s="5" t="s">
        <v>21</v>
      </c>
      <c r="I4619" s="5" t="s">
        <v>11321</v>
      </c>
      <c r="J4619" s="12" t="str">
        <f>HYPERLINK("https://www.boe.es/gazeta/dias/1802/11/16/pdfs/GMD-1802-93.pdf#page=8","Abrir facsímil")</f>
        <v>Abrir facsímil</v>
      </c>
      <c r="K4619" s="15" t="s">
        <v>23</v>
      </c>
    </row>
    <row r="4620" spans="1:11" ht="42" customHeight="1">
      <c r="A4620" s="4" t="s">
        <v>11322</v>
      </c>
      <c r="B4620" s="5" t="s">
        <v>11323</v>
      </c>
      <c r="C4620" s="5" t="s">
        <v>18</v>
      </c>
      <c r="D4620" s="5" t="s">
        <v>19</v>
      </c>
      <c r="E4620" s="5" t="s">
        <v>49</v>
      </c>
      <c r="F4620" s="9">
        <v>83</v>
      </c>
      <c r="G4620" s="9">
        <v>1023</v>
      </c>
      <c r="H4620" s="5" t="s">
        <v>21</v>
      </c>
      <c r="I4620" s="5" t="s">
        <v>11324</v>
      </c>
      <c r="J4620" s="12" t="str">
        <f>HYPERLINK("https://www.boe.es/gazeta/dias/1802/10/12/pdfs/GMD-1802-83.pdf#page=11","Abrir facsímil")</f>
        <v>Abrir facsímil</v>
      </c>
      <c r="K4620" s="15" t="s">
        <v>23</v>
      </c>
    </row>
    <row r="4621" spans="1:11" ht="42" customHeight="1">
      <c r="A4621" s="4" t="s">
        <v>11325</v>
      </c>
      <c r="B4621" s="5" t="s">
        <v>11326</v>
      </c>
      <c r="C4621" s="5" t="s">
        <v>18</v>
      </c>
      <c r="D4621" s="5" t="s">
        <v>19</v>
      </c>
      <c r="E4621" s="5" t="s">
        <v>49</v>
      </c>
      <c r="F4621" s="9">
        <v>83</v>
      </c>
      <c r="G4621" s="9">
        <v>1022</v>
      </c>
      <c r="H4621" s="5" t="s">
        <v>21</v>
      </c>
      <c r="I4621" s="5" t="s">
        <v>11327</v>
      </c>
      <c r="J4621" s="12" t="str">
        <f>HYPERLINK("https://www.boe.es/gazeta/dias/1802/10/12/pdfs/GMD-1802-83.pdf#page=10","Abrir facsímil")</f>
        <v>Abrir facsímil</v>
      </c>
      <c r="K4621" s="15" t="s">
        <v>23</v>
      </c>
    </row>
    <row r="4622" spans="1:11" ht="42" customHeight="1">
      <c r="A4622" s="4" t="s">
        <v>11328</v>
      </c>
      <c r="B4622" s="5" t="s">
        <v>11329</v>
      </c>
      <c r="C4622" s="5" t="s">
        <v>18</v>
      </c>
      <c r="D4622" s="5" t="s">
        <v>19</v>
      </c>
      <c r="E4622" s="5" t="s">
        <v>49</v>
      </c>
      <c r="F4622" s="9">
        <v>83</v>
      </c>
      <c r="G4622" s="9">
        <v>1022</v>
      </c>
      <c r="H4622" s="5" t="s">
        <v>21</v>
      </c>
      <c r="I4622" s="5" t="s">
        <v>11330</v>
      </c>
      <c r="J4622" s="12" t="str">
        <f>HYPERLINK("https://www.boe.es/gazeta/dias/1802/10/12/pdfs/GMD-1802-83.pdf#page=10","Abrir facsímil")</f>
        <v>Abrir facsímil</v>
      </c>
      <c r="K4622" s="15" t="s">
        <v>23</v>
      </c>
    </row>
    <row r="4623" spans="1:11" ht="42" customHeight="1">
      <c r="A4623" s="4" t="s">
        <v>11331</v>
      </c>
      <c r="B4623" s="5" t="s">
        <v>11332</v>
      </c>
      <c r="C4623" s="5" t="s">
        <v>18</v>
      </c>
      <c r="D4623" s="5" t="s">
        <v>19</v>
      </c>
      <c r="E4623" s="5" t="s">
        <v>635</v>
      </c>
      <c r="F4623" s="9">
        <v>47</v>
      </c>
      <c r="G4623" s="9">
        <v>573</v>
      </c>
      <c r="H4623" s="5" t="s">
        <v>21</v>
      </c>
      <c r="I4623" s="5" t="s">
        <v>11333</v>
      </c>
      <c r="J4623" s="12" t="str">
        <f>HYPERLINK("https://www.boe.es/gazeta/dias/1802/06/11/pdfs/GMD-1802-47.pdf#page=9","Abrir facsímil")</f>
        <v>Abrir facsímil</v>
      </c>
      <c r="K4623" s="15" t="s">
        <v>23</v>
      </c>
    </row>
    <row r="4624" spans="1:11" ht="42" customHeight="1">
      <c r="A4624" s="4" t="s">
        <v>11334</v>
      </c>
      <c r="B4624" s="5" t="s">
        <v>11335</v>
      </c>
      <c r="C4624" s="5" t="s">
        <v>18</v>
      </c>
      <c r="D4624" s="5" t="s">
        <v>19</v>
      </c>
      <c r="E4624" s="5" t="s">
        <v>49</v>
      </c>
      <c r="F4624" s="9">
        <v>83</v>
      </c>
      <c r="G4624" s="9">
        <v>1024</v>
      </c>
      <c r="H4624" s="5" t="s">
        <v>21</v>
      </c>
      <c r="I4624" s="5" t="s">
        <v>11336</v>
      </c>
      <c r="J4624" s="12" t="str">
        <f>HYPERLINK("https://www.boe.es/gazeta/dias/1802/10/12/pdfs/GMD-1802-83.pdf#page=12","Abrir facsímil")</f>
        <v>Abrir facsímil</v>
      </c>
      <c r="K4624" s="15" t="s">
        <v>23</v>
      </c>
    </row>
    <row r="4625" spans="1:11" ht="42" customHeight="1">
      <c r="A4625" s="4" t="s">
        <v>11337</v>
      </c>
      <c r="B4625" s="5" t="s">
        <v>11338</v>
      </c>
      <c r="C4625" s="5" t="s">
        <v>35</v>
      </c>
      <c r="D4625" s="5" t="s">
        <v>36</v>
      </c>
      <c r="E4625" s="5" t="s">
        <v>165</v>
      </c>
      <c r="F4625" s="9">
        <v>3</v>
      </c>
      <c r="G4625" s="9">
        <v>23</v>
      </c>
      <c r="H4625" s="5" t="s">
        <v>21</v>
      </c>
      <c r="I4625" s="5" t="s">
        <v>11339</v>
      </c>
      <c r="J4625" s="12" t="str">
        <f>HYPERLINK("https://www.boe.es/gazeta/dias/1802/01/08/pdfs/GMD-1802-3.pdf#page=3","Abrir facsímil")</f>
        <v>Abrir facsímil</v>
      </c>
      <c r="K4625" s="15" t="s">
        <v>23</v>
      </c>
    </row>
    <row r="4626" spans="1:11" ht="42" customHeight="1">
      <c r="A4626" s="4" t="s">
        <v>11340</v>
      </c>
      <c r="B4626" s="5" t="s">
        <v>11341</v>
      </c>
      <c r="C4626" s="5" t="s">
        <v>90</v>
      </c>
      <c r="D4626" s="5" t="s">
        <v>91</v>
      </c>
      <c r="E4626" s="5" t="s">
        <v>133</v>
      </c>
      <c r="F4626" s="9">
        <v>33</v>
      </c>
      <c r="G4626" s="9">
        <v>384</v>
      </c>
      <c r="H4626" s="5" t="s">
        <v>21</v>
      </c>
      <c r="I4626" s="5" t="s">
        <v>11342</v>
      </c>
      <c r="J4626" s="12" t="str">
        <f>HYPERLINK("https://www.boe.es/gazeta/dias/1802/04/23/pdfs/GMD-1802-33.pdf#page=4","Abrir facsímil")</f>
        <v>Abrir facsímil</v>
      </c>
      <c r="K4626" s="15" t="s">
        <v>23</v>
      </c>
    </row>
    <row r="4627" spans="1:11" ht="42" customHeight="1">
      <c r="A4627" s="4" t="s">
        <v>11343</v>
      </c>
      <c r="B4627" s="5" t="s">
        <v>11344</v>
      </c>
      <c r="C4627" s="5" t="s">
        <v>35</v>
      </c>
      <c r="D4627" s="5" t="s">
        <v>36</v>
      </c>
      <c r="E4627" s="5" t="s">
        <v>292</v>
      </c>
      <c r="F4627" s="9">
        <v>62</v>
      </c>
      <c r="G4627" s="9">
        <v>750</v>
      </c>
      <c r="H4627" s="5" t="s">
        <v>21</v>
      </c>
      <c r="I4627" s="5" t="s">
        <v>11345</v>
      </c>
      <c r="J4627" s="12" t="str">
        <f>HYPERLINK("https://www.boe.es/gazeta/dias/1802/07/30/pdfs/GMD-1802-62.pdf#page=6","Abrir facsímil")</f>
        <v>Abrir facsímil</v>
      </c>
      <c r="K4627" s="15" t="s">
        <v>23</v>
      </c>
    </row>
    <row r="4628" spans="1:11" ht="42" customHeight="1">
      <c r="A4628" s="4" t="s">
        <v>11346</v>
      </c>
      <c r="B4628" s="5" t="s">
        <v>11347</v>
      </c>
      <c r="C4628" s="5" t="s">
        <v>18</v>
      </c>
      <c r="D4628" s="5" t="s">
        <v>19</v>
      </c>
      <c r="E4628" s="5" t="s">
        <v>49</v>
      </c>
      <c r="F4628" s="9">
        <v>83</v>
      </c>
      <c r="G4628" s="9">
        <v>1023</v>
      </c>
      <c r="H4628" s="5" t="s">
        <v>21</v>
      </c>
      <c r="I4628" s="5" t="s">
        <v>11348</v>
      </c>
      <c r="J4628" s="12" t="str">
        <f>HYPERLINK("https://www.boe.es/gazeta/dias/1802/10/12/pdfs/GMD-1802-83.pdf#page=11","Abrir facsímil")</f>
        <v>Abrir facsímil</v>
      </c>
      <c r="K4628" s="15" t="s">
        <v>23</v>
      </c>
    </row>
    <row r="4629" spans="1:11" ht="42" customHeight="1">
      <c r="A4629" s="4" t="s">
        <v>11349</v>
      </c>
      <c r="B4629" s="5" t="s">
        <v>11350</v>
      </c>
      <c r="C4629" s="5" t="s">
        <v>35</v>
      </c>
      <c r="D4629" s="5" t="s">
        <v>36</v>
      </c>
      <c r="E4629" s="5" t="s">
        <v>131</v>
      </c>
      <c r="F4629" s="9">
        <v>11</v>
      </c>
      <c r="G4629" s="9">
        <v>106</v>
      </c>
      <c r="H4629" s="5" t="s">
        <v>21</v>
      </c>
      <c r="I4629" s="5" t="s">
        <v>11351</v>
      </c>
      <c r="J4629" s="12" t="str">
        <f>HYPERLINK("https://www.boe.es/gazeta/dias/1802/02/05/pdfs/GMD-1802-11.pdf#page=2","Abrir facsímil")</f>
        <v>Abrir facsímil</v>
      </c>
      <c r="K4629" s="15" t="s">
        <v>23</v>
      </c>
    </row>
    <row r="4630" spans="1:11" ht="42" customHeight="1">
      <c r="A4630" s="4" t="s">
        <v>11349</v>
      </c>
      <c r="B4630" s="5" t="s">
        <v>11350</v>
      </c>
      <c r="C4630" s="5" t="s">
        <v>35</v>
      </c>
      <c r="D4630" s="5" t="s">
        <v>36</v>
      </c>
      <c r="E4630" s="5" t="s">
        <v>865</v>
      </c>
      <c r="F4630" s="9">
        <v>12</v>
      </c>
      <c r="G4630" s="9">
        <v>118</v>
      </c>
      <c r="H4630" s="5" t="s">
        <v>21</v>
      </c>
      <c r="I4630" s="5" t="s">
        <v>11352</v>
      </c>
      <c r="J4630" s="12" t="str">
        <f>HYPERLINK("https://www.boe.es/gazeta/dias/1802/02/09/pdfs/GMD-1802-12.pdf#page=2","Abrir facsímil")</f>
        <v>Abrir facsímil</v>
      </c>
      <c r="K4630" s="15" t="s">
        <v>23</v>
      </c>
    </row>
    <row r="4631" spans="1:11" ht="42" customHeight="1">
      <c r="A4631" s="4" t="s">
        <v>11349</v>
      </c>
      <c r="B4631" s="5" t="s">
        <v>11350</v>
      </c>
      <c r="C4631" s="5" t="s">
        <v>35</v>
      </c>
      <c r="D4631" s="5" t="s">
        <v>36</v>
      </c>
      <c r="E4631" s="5" t="s">
        <v>381</v>
      </c>
      <c r="F4631" s="9">
        <v>13</v>
      </c>
      <c r="G4631" s="9">
        <v>126</v>
      </c>
      <c r="H4631" s="5" t="s">
        <v>21</v>
      </c>
      <c r="I4631" s="5" t="s">
        <v>11353</v>
      </c>
      <c r="J4631" s="12" t="str">
        <f>HYPERLINK("https://www.boe.es/gazeta/dias/1802/02/12/pdfs/GMD-1802-13.pdf#page=2","Abrir facsímil")</f>
        <v>Abrir facsímil</v>
      </c>
      <c r="K4631" s="15" t="s">
        <v>23</v>
      </c>
    </row>
    <row r="4632" spans="1:11" ht="42" customHeight="1">
      <c r="A4632" s="4" t="s">
        <v>11349</v>
      </c>
      <c r="B4632" s="5" t="s">
        <v>11350</v>
      </c>
      <c r="C4632" s="5" t="s">
        <v>29</v>
      </c>
      <c r="D4632" s="5" t="s">
        <v>30</v>
      </c>
      <c r="E4632" s="5" t="s">
        <v>247</v>
      </c>
      <c r="F4632" s="9">
        <v>14</v>
      </c>
      <c r="G4632" s="9">
        <v>142</v>
      </c>
      <c r="H4632" s="5" t="s">
        <v>21</v>
      </c>
      <c r="I4632" s="5" t="s">
        <v>11354</v>
      </c>
      <c r="J4632" s="12" t="str">
        <f>HYPERLINK("https://www.boe.es/gazeta/dias/1802/02/16/pdfs/GMD-1802-14.pdf#page=6","Abrir facsímil")</f>
        <v>Abrir facsímil</v>
      </c>
      <c r="K4632" s="15" t="s">
        <v>23</v>
      </c>
    </row>
    <row r="4633" spans="1:11" ht="42" customHeight="1">
      <c r="A4633" s="4" t="s">
        <v>11349</v>
      </c>
      <c r="B4633" s="5" t="s">
        <v>11350</v>
      </c>
      <c r="C4633" s="5" t="s">
        <v>90</v>
      </c>
      <c r="D4633" s="5" t="s">
        <v>91</v>
      </c>
      <c r="E4633" s="5" t="s">
        <v>1588</v>
      </c>
      <c r="F4633" s="9">
        <v>18</v>
      </c>
      <c r="G4633" s="9">
        <v>194</v>
      </c>
      <c r="H4633" s="5" t="s">
        <v>21</v>
      </c>
      <c r="I4633" s="5" t="s">
        <v>11355</v>
      </c>
      <c r="J4633" s="12" t="str">
        <f>HYPERLINK("https://www.boe.es/gazeta/dias/1802/03/02/pdfs/GMD-1802-18.pdf#page=6","Abrir facsímil")</f>
        <v>Abrir facsímil</v>
      </c>
      <c r="K4633" s="15" t="s">
        <v>23</v>
      </c>
    </row>
    <row r="4634" spans="1:11" ht="42" customHeight="1">
      <c r="A4634" s="4" t="s">
        <v>11356</v>
      </c>
      <c r="B4634" s="5" t="s">
        <v>11357</v>
      </c>
      <c r="C4634" s="5" t="s">
        <v>35</v>
      </c>
      <c r="D4634" s="5" t="s">
        <v>36</v>
      </c>
      <c r="E4634" s="5" t="s">
        <v>133</v>
      </c>
      <c r="F4634" s="9">
        <v>33</v>
      </c>
      <c r="G4634" s="9">
        <v>384</v>
      </c>
      <c r="H4634" s="5" t="s">
        <v>21</v>
      </c>
      <c r="I4634" s="5" t="s">
        <v>11358</v>
      </c>
      <c r="J4634" s="12" t="str">
        <f>HYPERLINK("https://www.boe.es/gazeta/dias/1802/04/23/pdfs/GMD-1802-33.pdf#page=4","Abrir facsímil")</f>
        <v>Abrir facsímil</v>
      </c>
      <c r="K4634" s="15" t="s">
        <v>23</v>
      </c>
    </row>
    <row r="4635" spans="1:11" ht="42" customHeight="1">
      <c r="A4635" s="4" t="s">
        <v>11359</v>
      </c>
      <c r="B4635" s="5" t="s">
        <v>11360</v>
      </c>
      <c r="C4635" s="5" t="s">
        <v>90</v>
      </c>
      <c r="D4635" s="5" t="s">
        <v>91</v>
      </c>
      <c r="E4635" s="5" t="s">
        <v>1264</v>
      </c>
      <c r="F4635" s="9">
        <v>105</v>
      </c>
      <c r="G4635" s="9">
        <v>1288</v>
      </c>
      <c r="H4635" s="5" t="s">
        <v>21</v>
      </c>
      <c r="I4635" s="5" t="s">
        <v>11361</v>
      </c>
      <c r="J4635" s="12" t="str">
        <f>HYPERLINK("https://www.boe.es/gazeta/dias/1802/12/28/pdfs/GMD-1802-105.pdf#page=12","Abrir facsímil")</f>
        <v>Abrir facsímil</v>
      </c>
      <c r="K4635" s="15" t="s">
        <v>23</v>
      </c>
    </row>
    <row r="4636" spans="1:11" ht="42" customHeight="1">
      <c r="A4636" s="4" t="s">
        <v>11362</v>
      </c>
      <c r="B4636" s="5" t="s">
        <v>11363</v>
      </c>
      <c r="C4636" s="5" t="s">
        <v>29</v>
      </c>
      <c r="D4636" s="5" t="s">
        <v>30</v>
      </c>
      <c r="E4636" s="5" t="s">
        <v>491</v>
      </c>
      <c r="F4636" s="9">
        <v>57</v>
      </c>
      <c r="G4636" s="9">
        <v>689</v>
      </c>
      <c r="H4636" s="5" t="s">
        <v>21</v>
      </c>
      <c r="I4636" s="5" t="s">
        <v>11364</v>
      </c>
      <c r="J4636" s="12" t="str">
        <f>HYPERLINK("https://www.boe.es/gazeta/dias/1802/07/16/pdfs/GMD-1802-57.pdf#page=9","Abrir facsímil")</f>
        <v>Abrir facsímil</v>
      </c>
      <c r="K4636" s="15" t="s">
        <v>23</v>
      </c>
    </row>
    <row r="4637" spans="1:11" ht="42" customHeight="1">
      <c r="A4637" s="4" t="s">
        <v>11365</v>
      </c>
      <c r="B4637" s="5" t="s">
        <v>11366</v>
      </c>
      <c r="C4637" s="5" t="s">
        <v>18</v>
      </c>
      <c r="D4637" s="5" t="s">
        <v>19</v>
      </c>
      <c r="E4637" s="5" t="s">
        <v>1289</v>
      </c>
      <c r="F4637" s="9">
        <v>72</v>
      </c>
      <c r="G4637" s="9">
        <v>889</v>
      </c>
      <c r="H4637" s="5" t="s">
        <v>21</v>
      </c>
      <c r="I4637" s="5" t="s">
        <v>11367</v>
      </c>
      <c r="J4637" s="12" t="str">
        <f>HYPERLINK("https://www.boe.es/gazeta/dias/1802/09/03/pdfs/GMD-1802-72.pdf#page=9","Abrir facsímil")</f>
        <v>Abrir facsímil</v>
      </c>
      <c r="K4637" s="15" t="s">
        <v>23</v>
      </c>
    </row>
    <row r="4638" spans="1:11" ht="42" customHeight="1">
      <c r="A4638" s="4" t="s">
        <v>11368</v>
      </c>
      <c r="B4638" s="5" t="s">
        <v>11369</v>
      </c>
      <c r="C4638" s="5" t="s">
        <v>18</v>
      </c>
      <c r="D4638" s="5" t="s">
        <v>19</v>
      </c>
      <c r="E4638" s="5" t="s">
        <v>517</v>
      </c>
      <c r="F4638" s="9">
        <v>61</v>
      </c>
      <c r="G4638" s="9">
        <v>740</v>
      </c>
      <c r="H4638" s="5" t="s">
        <v>21</v>
      </c>
      <c r="I4638" s="5" t="s">
        <v>11370</v>
      </c>
      <c r="J4638" s="12" t="str">
        <f>HYPERLINK("https://www.boe.es/gazeta/dias/1802/07/27/pdfs/GMD-1802-61.pdf#page=8","Abrir facsímil")</f>
        <v>Abrir facsímil</v>
      </c>
      <c r="K4638" s="15" t="s">
        <v>23</v>
      </c>
    </row>
    <row r="4639" spans="1:11" ht="42" customHeight="1">
      <c r="A4639" s="4" t="s">
        <v>11371</v>
      </c>
      <c r="B4639" s="5" t="s">
        <v>11372</v>
      </c>
      <c r="C4639" s="5" t="s">
        <v>42</v>
      </c>
      <c r="D4639" s="5" t="s">
        <v>43</v>
      </c>
      <c r="E4639" s="5" t="s">
        <v>44</v>
      </c>
      <c r="F4639" s="9">
        <v>99</v>
      </c>
      <c r="G4639" s="9" t="s">
        <v>295</v>
      </c>
      <c r="H4639" s="5" t="s">
        <v>21</v>
      </c>
      <c r="I4639" s="5" t="s">
        <v>11373</v>
      </c>
      <c r="J4639" s="12" t="str">
        <f>HYPERLINK("https://www.boe.es/gazeta/dias/1802/12/07/pdfs/GMD-D-1802-99.pdf#page=7","Abrir facsímil")</f>
        <v>Abrir facsímil</v>
      </c>
      <c r="K4639" s="15" t="s">
        <v>23</v>
      </c>
    </row>
    <row r="4640" spans="1:11" ht="42" customHeight="1">
      <c r="A4640" s="4" t="s">
        <v>11374</v>
      </c>
      <c r="B4640" s="5" t="s">
        <v>11374</v>
      </c>
      <c r="C4640" s="5" t="s">
        <v>35</v>
      </c>
      <c r="D4640" s="5" t="s">
        <v>36</v>
      </c>
      <c r="E4640" s="5" t="s">
        <v>1289</v>
      </c>
      <c r="F4640" s="9">
        <v>72</v>
      </c>
      <c r="G4640" s="9">
        <v>884</v>
      </c>
      <c r="H4640" s="5" t="s">
        <v>21</v>
      </c>
      <c r="I4640" s="5" t="s">
        <v>11375</v>
      </c>
      <c r="J4640" s="12" t="str">
        <f>HYPERLINK("https://www.boe.es/gazeta/dias/1802/09/03/pdfs/GMD-1802-72.pdf#page=4","Abrir facsímil")</f>
        <v>Abrir facsímil</v>
      </c>
      <c r="K4640" s="15" t="s">
        <v>23</v>
      </c>
    </row>
    <row r="4641" spans="1:11" ht="42" customHeight="1">
      <c r="A4641" s="4" t="s">
        <v>11376</v>
      </c>
      <c r="B4641" s="5" t="s">
        <v>11376</v>
      </c>
      <c r="C4641" s="5" t="s">
        <v>55</v>
      </c>
      <c r="D4641" s="5" t="s">
        <v>56</v>
      </c>
      <c r="E4641" s="5" t="s">
        <v>635</v>
      </c>
      <c r="F4641" s="9">
        <v>47</v>
      </c>
      <c r="G4641" s="9">
        <v>576</v>
      </c>
      <c r="H4641" s="5" t="s">
        <v>21</v>
      </c>
      <c r="I4641" s="5" t="s">
        <v>11377</v>
      </c>
      <c r="J4641" s="12" t="str">
        <f>HYPERLINK("https://www.boe.es/gazeta/dias/1802/06/11/pdfs/GMD-1802-47.pdf#page=12","Abrir facsímil")</f>
        <v>Abrir facsímil</v>
      </c>
      <c r="K4641" s="15" t="s">
        <v>23</v>
      </c>
    </row>
    <row r="4642" spans="1:11" ht="42" customHeight="1">
      <c r="A4642" s="4" t="s">
        <v>11378</v>
      </c>
      <c r="B4642" s="5" t="s">
        <v>11378</v>
      </c>
      <c r="C4642" s="5" t="s">
        <v>18</v>
      </c>
      <c r="D4642" s="5" t="s">
        <v>19</v>
      </c>
      <c r="E4642" s="5" t="s">
        <v>635</v>
      </c>
      <c r="F4642" s="9">
        <v>47</v>
      </c>
      <c r="G4642" s="9">
        <v>573</v>
      </c>
      <c r="H4642" s="5" t="s">
        <v>21</v>
      </c>
      <c r="I4642" s="5" t="s">
        <v>11379</v>
      </c>
      <c r="J4642" s="12" t="str">
        <f>HYPERLINK("https://www.boe.es/gazeta/dias/1802/06/11/pdfs/GMD-1802-47.pdf#page=9","Abrir facsímil")</f>
        <v>Abrir facsímil</v>
      </c>
      <c r="K4642" s="15" t="s">
        <v>23</v>
      </c>
    </row>
    <row r="4643" spans="1:11" ht="42" customHeight="1">
      <c r="A4643" s="4" t="s">
        <v>11380</v>
      </c>
      <c r="B4643" s="5" t="s">
        <v>11380</v>
      </c>
      <c r="C4643" s="5" t="s">
        <v>18</v>
      </c>
      <c r="D4643" s="5" t="s">
        <v>19</v>
      </c>
      <c r="E4643" s="5" t="s">
        <v>20</v>
      </c>
      <c r="F4643" s="9">
        <v>84</v>
      </c>
      <c r="G4643" s="9">
        <v>1042</v>
      </c>
      <c r="H4643" s="5" t="s">
        <v>21</v>
      </c>
      <c r="I4643" s="5" t="s">
        <v>11381</v>
      </c>
      <c r="J4643" s="12" t="str">
        <f>HYPERLINK("https://www.boe.es/gazeta/dias/1802/10/15/pdfs/GMD-1802-84.pdf#page=10","Abrir facsímil")</f>
        <v>Abrir facsímil</v>
      </c>
      <c r="K4643" s="15" t="s">
        <v>23</v>
      </c>
    </row>
    <row r="4644" spans="1:11" ht="42" customHeight="1">
      <c r="A4644" s="4" t="s">
        <v>11382</v>
      </c>
      <c r="B4644" s="5" t="s">
        <v>11383</v>
      </c>
      <c r="C4644" s="5" t="s">
        <v>18</v>
      </c>
      <c r="D4644" s="5" t="s">
        <v>19</v>
      </c>
      <c r="E4644" s="5" t="s">
        <v>49</v>
      </c>
      <c r="F4644" s="9">
        <v>83</v>
      </c>
      <c r="G4644" s="9">
        <v>1023</v>
      </c>
      <c r="H4644" s="5" t="s">
        <v>21</v>
      </c>
      <c r="I4644" s="5" t="s">
        <v>11384</v>
      </c>
      <c r="J4644" s="12" t="str">
        <f>HYPERLINK("https://www.boe.es/gazeta/dias/1802/10/12/pdfs/GMD-1802-83.pdf#page=11","Abrir facsímil")</f>
        <v>Abrir facsímil</v>
      </c>
      <c r="K4644" s="15" t="s">
        <v>23</v>
      </c>
    </row>
    <row r="4645" spans="1:11" ht="42" customHeight="1">
      <c r="A4645" s="4" t="s">
        <v>11385</v>
      </c>
      <c r="B4645" s="5" t="s">
        <v>11386</v>
      </c>
      <c r="C4645" s="5" t="s">
        <v>18</v>
      </c>
      <c r="D4645" s="5" t="s">
        <v>19</v>
      </c>
      <c r="E4645" s="5" t="s">
        <v>389</v>
      </c>
      <c r="F4645" s="9">
        <v>96</v>
      </c>
      <c r="G4645" s="9">
        <v>1191</v>
      </c>
      <c r="H4645" s="5" t="s">
        <v>21</v>
      </c>
      <c r="I4645" s="5" t="s">
        <v>11387</v>
      </c>
      <c r="J4645" s="12" t="str">
        <f>HYPERLINK("https://www.boe.es/gazeta/dias/1802/11/26/pdfs/GMD-1802-96.pdf#page=11","Abrir facsímil")</f>
        <v>Abrir facsímil</v>
      </c>
      <c r="K4645" s="15" t="s">
        <v>23</v>
      </c>
    </row>
    <row r="4646" spans="1:11" ht="42" customHeight="1">
      <c r="A4646" s="4" t="s">
        <v>11388</v>
      </c>
      <c r="B4646" s="5" t="s">
        <v>11389</v>
      </c>
      <c r="C4646" s="5" t="s">
        <v>18</v>
      </c>
      <c r="D4646" s="5" t="s">
        <v>19</v>
      </c>
      <c r="E4646" s="5" t="s">
        <v>49</v>
      </c>
      <c r="F4646" s="9">
        <v>83</v>
      </c>
      <c r="G4646" s="9">
        <v>1023</v>
      </c>
      <c r="H4646" s="5" t="s">
        <v>21</v>
      </c>
      <c r="I4646" s="5" t="s">
        <v>11390</v>
      </c>
      <c r="J4646" s="12" t="str">
        <f>HYPERLINK("https://www.boe.es/gazeta/dias/1802/10/12/pdfs/GMD-1802-83.pdf#page=11","Abrir facsímil")</f>
        <v>Abrir facsímil</v>
      </c>
      <c r="K4646" s="15" t="s">
        <v>23</v>
      </c>
    </row>
    <row r="4647" spans="1:11" ht="42" customHeight="1">
      <c r="A4647" s="4" t="s">
        <v>11391</v>
      </c>
      <c r="B4647" s="5" t="s">
        <v>11392</v>
      </c>
      <c r="C4647" s="5" t="s">
        <v>29</v>
      </c>
      <c r="D4647" s="5" t="s">
        <v>30</v>
      </c>
      <c r="E4647" s="5" t="s">
        <v>443</v>
      </c>
      <c r="F4647" s="9">
        <v>78</v>
      </c>
      <c r="G4647" s="9">
        <v>963</v>
      </c>
      <c r="H4647" s="5" t="s">
        <v>21</v>
      </c>
      <c r="I4647" s="5" t="s">
        <v>11393</v>
      </c>
      <c r="J4647" s="12" t="str">
        <f>HYPERLINK("https://www.boe.es/gazeta/dias/1802/09/24/pdfs/GMD-1802-78.pdf#page=11","Abrir facsímil")</f>
        <v>Abrir facsímil</v>
      </c>
      <c r="K4647" s="15" t="s">
        <v>23</v>
      </c>
    </row>
    <row r="4648" spans="1:11" ht="42" customHeight="1">
      <c r="A4648" s="4" t="s">
        <v>11394</v>
      </c>
      <c r="B4648" s="5" t="s">
        <v>11395</v>
      </c>
      <c r="C4648" s="5" t="s">
        <v>42</v>
      </c>
      <c r="D4648" s="5" t="s">
        <v>43</v>
      </c>
      <c r="E4648" s="5" t="s">
        <v>44</v>
      </c>
      <c r="F4648" s="9">
        <v>99</v>
      </c>
      <c r="G4648" s="9" t="s">
        <v>295</v>
      </c>
      <c r="H4648" s="5" t="s">
        <v>21</v>
      </c>
      <c r="I4648" s="5" t="s">
        <v>11396</v>
      </c>
      <c r="J4648" s="12" t="str">
        <f>HYPERLINK("https://www.boe.es/gazeta/dias/1802/12/07/pdfs/GMD-D-1802-99.pdf#page=7","Abrir facsímil")</f>
        <v>Abrir facsímil</v>
      </c>
      <c r="K4648" s="15" t="s">
        <v>23</v>
      </c>
    </row>
    <row r="4649" spans="1:11" ht="42" customHeight="1">
      <c r="A4649" s="4" t="s">
        <v>11397</v>
      </c>
      <c r="B4649" s="5" t="s">
        <v>11397</v>
      </c>
      <c r="C4649" s="5" t="s">
        <v>90</v>
      </c>
      <c r="D4649" s="5" t="s">
        <v>91</v>
      </c>
      <c r="E4649" s="5" t="s">
        <v>574</v>
      </c>
      <c r="F4649" s="9" t="s">
        <v>575</v>
      </c>
      <c r="G4649" s="9">
        <v>714</v>
      </c>
      <c r="H4649" s="5" t="s">
        <v>21</v>
      </c>
      <c r="I4649" s="5" t="s">
        <v>11398</v>
      </c>
      <c r="J4649" s="12" t="str">
        <f>HYPERLINK("https://www.boe.es/gazeta/dias/1802/07/21/pdfs/GMD-1802-59E.pdf#page=10","Abrir facsímil")</f>
        <v>Abrir facsímil</v>
      </c>
      <c r="K4649" s="15" t="s">
        <v>23</v>
      </c>
    </row>
    <row r="4650" spans="1:11" ht="42" customHeight="1">
      <c r="A4650" s="4" t="s">
        <v>11399</v>
      </c>
      <c r="B4650" s="5" t="s">
        <v>11400</v>
      </c>
      <c r="C4650" s="5" t="s">
        <v>18</v>
      </c>
      <c r="D4650" s="5" t="s">
        <v>19</v>
      </c>
      <c r="E4650" s="5" t="s">
        <v>20</v>
      </c>
      <c r="F4650" s="9">
        <v>84</v>
      </c>
      <c r="G4650" s="9">
        <v>1044</v>
      </c>
      <c r="H4650" s="5" t="s">
        <v>21</v>
      </c>
      <c r="I4650" s="5" t="s">
        <v>11401</v>
      </c>
      <c r="J4650" s="12" t="str">
        <f>HYPERLINK("https://www.boe.es/gazeta/dias/1802/10/15/pdfs/GMD-1802-84.pdf#page=12","Abrir facsímil")</f>
        <v>Abrir facsímil</v>
      </c>
      <c r="K4650" s="15" t="s">
        <v>23</v>
      </c>
    </row>
    <row r="4651" spans="1:11" ht="42" customHeight="1">
      <c r="A4651" s="4" t="s">
        <v>11402</v>
      </c>
      <c r="B4651" s="5" t="s">
        <v>11402</v>
      </c>
      <c r="C4651" s="5" t="s">
        <v>29</v>
      </c>
      <c r="D4651" s="5" t="s">
        <v>30</v>
      </c>
      <c r="E4651" s="5" t="s">
        <v>1097</v>
      </c>
      <c r="F4651" s="9">
        <v>20</v>
      </c>
      <c r="G4651" s="9">
        <v>219</v>
      </c>
      <c r="H4651" s="5" t="s">
        <v>21</v>
      </c>
      <c r="I4651" s="5" t="s">
        <v>11403</v>
      </c>
      <c r="J4651" s="12" t="str">
        <f>HYPERLINK("https://www.boe.es/gazeta/dias/1802/03/09/pdfs/GMD-1802-20.pdf#page=7","Abrir facsímil")</f>
        <v>Abrir facsímil</v>
      </c>
      <c r="K4651" s="15" t="s">
        <v>23</v>
      </c>
    </row>
    <row r="4652" spans="1:11" ht="42" customHeight="1">
      <c r="A4652" s="4" t="s">
        <v>11404</v>
      </c>
      <c r="B4652" s="5" t="s">
        <v>11405</v>
      </c>
      <c r="C4652" s="5" t="s">
        <v>18</v>
      </c>
      <c r="D4652" s="5" t="s">
        <v>19</v>
      </c>
      <c r="E4652" s="5" t="s">
        <v>49</v>
      </c>
      <c r="F4652" s="9">
        <v>83</v>
      </c>
      <c r="G4652" s="9">
        <v>1022</v>
      </c>
      <c r="H4652" s="5" t="s">
        <v>21</v>
      </c>
      <c r="I4652" s="5" t="s">
        <v>11406</v>
      </c>
      <c r="J4652" s="12" t="str">
        <f>HYPERLINK("https://www.boe.es/gazeta/dias/1802/10/12/pdfs/GMD-1802-83.pdf#page=10","Abrir facsímil")</f>
        <v>Abrir facsímil</v>
      </c>
      <c r="K4652" s="15" t="s">
        <v>23</v>
      </c>
    </row>
    <row r="4653" spans="1:11" ht="42" customHeight="1">
      <c r="A4653" s="4" t="s">
        <v>11407</v>
      </c>
      <c r="B4653" s="5" t="s">
        <v>11408</v>
      </c>
      <c r="C4653" s="5" t="s">
        <v>35</v>
      </c>
      <c r="D4653" s="5" t="s">
        <v>36</v>
      </c>
      <c r="E4653" s="5" t="s">
        <v>339</v>
      </c>
      <c r="F4653" s="9">
        <v>39</v>
      </c>
      <c r="G4653" s="9">
        <v>465</v>
      </c>
      <c r="H4653" s="5" t="s">
        <v>21</v>
      </c>
      <c r="I4653" s="5" t="s">
        <v>11409</v>
      </c>
      <c r="J4653" s="12" t="str">
        <f>HYPERLINK("https://www.boe.es/gazeta/dias/1802/05/14/pdfs/GMD-1802-39.pdf#page=9","Abrir facsímil")</f>
        <v>Abrir facsímil</v>
      </c>
      <c r="K4653" s="15" t="s">
        <v>23</v>
      </c>
    </row>
    <row r="4654" spans="1:11" ht="42" customHeight="1">
      <c r="A4654" s="4" t="s">
        <v>11407</v>
      </c>
      <c r="B4654" s="5" t="s">
        <v>11408</v>
      </c>
      <c r="C4654" s="5" t="s">
        <v>35</v>
      </c>
      <c r="D4654" s="5" t="s">
        <v>36</v>
      </c>
      <c r="E4654" s="5" t="s">
        <v>142</v>
      </c>
      <c r="F4654" s="9">
        <v>64</v>
      </c>
      <c r="G4654" s="9">
        <v>778</v>
      </c>
      <c r="H4654" s="5" t="s">
        <v>21</v>
      </c>
      <c r="I4654" s="5" t="s">
        <v>11410</v>
      </c>
      <c r="J4654" s="12" t="str">
        <f>HYPERLINK("https://www.boe.es/gazeta/dias/1802/08/06/pdfs/GMD-1802-64.pdf#page=6","Abrir facsímil")</f>
        <v>Abrir facsímil</v>
      </c>
      <c r="K4654" s="15" t="s">
        <v>23</v>
      </c>
    </row>
    <row r="4655" spans="1:11" ht="42" customHeight="1">
      <c r="A4655" s="4" t="s">
        <v>11411</v>
      </c>
      <c r="B4655" s="5" t="s">
        <v>11412</v>
      </c>
      <c r="C4655" s="5" t="s">
        <v>18</v>
      </c>
      <c r="D4655" s="5" t="s">
        <v>19</v>
      </c>
      <c r="E4655" s="5" t="s">
        <v>170</v>
      </c>
      <c r="F4655" s="9">
        <v>28</v>
      </c>
      <c r="G4655" s="9">
        <v>326</v>
      </c>
      <c r="H4655" s="5" t="s">
        <v>21</v>
      </c>
      <c r="I4655" s="5" t="s">
        <v>11413</v>
      </c>
      <c r="J4655" s="12" t="str">
        <f>HYPERLINK("https://www.boe.es/gazeta/dias/1802/04/06/pdfs/GMD-1802-28.pdf#page=6","Abrir facsímil")</f>
        <v>Abrir facsímil</v>
      </c>
      <c r="K4655" s="15" t="s">
        <v>23</v>
      </c>
    </row>
    <row r="4656" spans="1:11" ht="42" customHeight="1">
      <c r="A4656" s="4" t="s">
        <v>11411</v>
      </c>
      <c r="B4656" s="5" t="s">
        <v>11412</v>
      </c>
      <c r="C4656" s="5" t="s">
        <v>35</v>
      </c>
      <c r="D4656" s="5" t="s">
        <v>36</v>
      </c>
      <c r="E4656" s="5" t="s">
        <v>92</v>
      </c>
      <c r="F4656" s="9">
        <v>29</v>
      </c>
      <c r="G4656" s="9">
        <v>339</v>
      </c>
      <c r="H4656" s="5" t="s">
        <v>21</v>
      </c>
      <c r="I4656" s="5" t="s">
        <v>11414</v>
      </c>
      <c r="J4656" s="12" t="str">
        <f>HYPERLINK("https://www.boe.es/gazeta/dias/1802/04/09/pdfs/GMD-1802-29.pdf#page=7","Abrir facsímil")</f>
        <v>Abrir facsímil</v>
      </c>
      <c r="K4656" s="15" t="s">
        <v>23</v>
      </c>
    </row>
    <row r="4657" spans="1:11" ht="42" customHeight="1">
      <c r="A4657" s="4" t="s">
        <v>11411</v>
      </c>
      <c r="B4657" s="5" t="s">
        <v>11412</v>
      </c>
      <c r="C4657" s="5" t="s">
        <v>35</v>
      </c>
      <c r="D4657" s="5" t="s">
        <v>36</v>
      </c>
      <c r="E4657" s="5" t="s">
        <v>92</v>
      </c>
      <c r="F4657" s="9">
        <v>29</v>
      </c>
      <c r="G4657" s="9">
        <v>340</v>
      </c>
      <c r="H4657" s="5" t="s">
        <v>21</v>
      </c>
      <c r="I4657" s="5" t="s">
        <v>11415</v>
      </c>
      <c r="J4657" s="12" t="str">
        <f>HYPERLINK("https://www.boe.es/gazeta/dias/1802/04/09/pdfs/GMD-1802-29.pdf#page=8","Abrir facsímil")</f>
        <v>Abrir facsímil</v>
      </c>
      <c r="K4657" s="15" t="s">
        <v>23</v>
      </c>
    </row>
    <row r="4658" spans="1:11" ht="42" customHeight="1">
      <c r="A4658" s="4" t="s">
        <v>11416</v>
      </c>
      <c r="B4658" s="5" t="s">
        <v>11417</v>
      </c>
      <c r="C4658" s="5" t="s">
        <v>35</v>
      </c>
      <c r="D4658" s="5" t="s">
        <v>36</v>
      </c>
      <c r="E4658" s="5" t="s">
        <v>92</v>
      </c>
      <c r="F4658" s="9">
        <v>29</v>
      </c>
      <c r="G4658" s="9">
        <v>339</v>
      </c>
      <c r="H4658" s="5" t="s">
        <v>21</v>
      </c>
      <c r="I4658" s="5" t="s">
        <v>11418</v>
      </c>
      <c r="J4658" s="12" t="str">
        <f>HYPERLINK("https://www.boe.es/gazeta/dias/1802/04/09/pdfs/GMD-1802-29.pdf#page=7","Abrir facsímil")</f>
        <v>Abrir facsímil</v>
      </c>
      <c r="K4658" s="15" t="s">
        <v>23</v>
      </c>
    </row>
    <row r="4659" spans="1:11" ht="42" customHeight="1">
      <c r="A4659" s="4" t="s">
        <v>11419</v>
      </c>
      <c r="B4659" s="5" t="s">
        <v>11420</v>
      </c>
      <c r="C4659" s="5" t="s">
        <v>18</v>
      </c>
      <c r="D4659" s="5" t="s">
        <v>19</v>
      </c>
      <c r="E4659" s="5" t="s">
        <v>530</v>
      </c>
      <c r="F4659" s="9">
        <v>48</v>
      </c>
      <c r="G4659" s="9">
        <v>583</v>
      </c>
      <c r="H4659" s="5" t="s">
        <v>21</v>
      </c>
      <c r="I4659" s="5" t="s">
        <v>11421</v>
      </c>
      <c r="J4659" s="12" t="str">
        <f>HYPERLINK("https://www.boe.es/gazeta/dias/1802/06/15/pdfs/GMD-1802-48.pdf#page=7","Abrir facsímil")</f>
        <v>Abrir facsímil</v>
      </c>
      <c r="K4659" s="15" t="s">
        <v>23</v>
      </c>
    </row>
    <row r="4660" spans="1:11" ht="42" customHeight="1">
      <c r="A4660" s="4" t="s">
        <v>11422</v>
      </c>
      <c r="B4660" s="5" t="s">
        <v>11423</v>
      </c>
      <c r="C4660" s="5" t="s">
        <v>18</v>
      </c>
      <c r="D4660" s="5" t="s">
        <v>19</v>
      </c>
      <c r="E4660" s="5" t="s">
        <v>49</v>
      </c>
      <c r="F4660" s="9">
        <v>83</v>
      </c>
      <c r="G4660" s="9">
        <v>1025</v>
      </c>
      <c r="H4660" s="5" t="s">
        <v>21</v>
      </c>
      <c r="I4660" s="5" t="s">
        <v>11424</v>
      </c>
      <c r="J4660" s="12" t="str">
        <f>HYPERLINK("https://www.boe.es/gazeta/dias/1802/10/12/pdfs/GMD-1802-83.pdf#page=13","Abrir facsímil")</f>
        <v>Abrir facsímil</v>
      </c>
      <c r="K4660" s="15" t="s">
        <v>23</v>
      </c>
    </row>
    <row r="4661" spans="1:11" ht="42" customHeight="1">
      <c r="A4661" s="4" t="s">
        <v>11425</v>
      </c>
      <c r="B4661" s="5" t="s">
        <v>11426</v>
      </c>
      <c r="C4661" s="5" t="s">
        <v>18</v>
      </c>
      <c r="D4661" s="5" t="s">
        <v>19</v>
      </c>
      <c r="E4661" s="5" t="s">
        <v>20</v>
      </c>
      <c r="F4661" s="9">
        <v>84</v>
      </c>
      <c r="G4661" s="9">
        <v>1046</v>
      </c>
      <c r="H4661" s="5" t="s">
        <v>21</v>
      </c>
      <c r="I4661" s="5" t="s">
        <v>11427</v>
      </c>
      <c r="J4661" s="12" t="str">
        <f>HYPERLINK("https://www.boe.es/gazeta/dias/1802/10/15/pdfs/GMD-1802-84.pdf#page=14","Abrir facsímil")</f>
        <v>Abrir facsímil</v>
      </c>
      <c r="K4661" s="15" t="s">
        <v>23</v>
      </c>
    </row>
    <row r="4662" spans="1:11" ht="42" customHeight="1">
      <c r="A4662" s="4" t="s">
        <v>11428</v>
      </c>
      <c r="B4662" s="5" t="s">
        <v>11429</v>
      </c>
      <c r="C4662" s="5" t="s">
        <v>160</v>
      </c>
      <c r="D4662" s="5" t="s">
        <v>91</v>
      </c>
      <c r="E4662" s="5" t="s">
        <v>710</v>
      </c>
      <c r="F4662" s="9">
        <v>85</v>
      </c>
      <c r="G4662" s="9">
        <v>1058</v>
      </c>
      <c r="H4662" s="5" t="s">
        <v>21</v>
      </c>
      <c r="I4662" s="5" t="s">
        <v>11430</v>
      </c>
      <c r="J4662" s="12" t="str">
        <f>HYPERLINK("https://www.boe.es/gazeta/dias/1802/10/19/pdfs/GMD-1802-85.pdf#page=10","Abrir facsímil")</f>
        <v>Abrir facsímil</v>
      </c>
      <c r="K4662" s="15" t="s">
        <v>23</v>
      </c>
    </row>
    <row r="4663" spans="1:11" ht="42" customHeight="1">
      <c r="A4663" s="4" t="s">
        <v>11431</v>
      </c>
      <c r="B4663" s="5" t="s">
        <v>11431</v>
      </c>
      <c r="C4663" s="5" t="s">
        <v>18</v>
      </c>
      <c r="D4663" s="5" t="s">
        <v>19</v>
      </c>
      <c r="E4663" s="5" t="s">
        <v>20</v>
      </c>
      <c r="F4663" s="9">
        <v>84</v>
      </c>
      <c r="G4663" s="9">
        <v>1041</v>
      </c>
      <c r="H4663" s="5" t="s">
        <v>21</v>
      </c>
      <c r="I4663" s="5" t="s">
        <v>11432</v>
      </c>
      <c r="J4663" s="12" t="str">
        <f>HYPERLINK("https://www.boe.es/gazeta/dias/1802/10/15/pdfs/GMD-1802-84.pdf#page=9","Abrir facsímil")</f>
        <v>Abrir facsímil</v>
      </c>
      <c r="K4663" s="15" t="s">
        <v>23</v>
      </c>
    </row>
    <row r="4664" spans="1:11" ht="42" customHeight="1">
      <c r="A4664" s="4" t="s">
        <v>11433</v>
      </c>
      <c r="B4664" s="5" t="s">
        <v>11433</v>
      </c>
      <c r="C4664" s="5" t="s">
        <v>35</v>
      </c>
      <c r="D4664" s="5" t="s">
        <v>36</v>
      </c>
      <c r="E4664" s="5" t="s">
        <v>185</v>
      </c>
      <c r="F4664" s="9">
        <v>95</v>
      </c>
      <c r="G4664" s="9">
        <v>1175</v>
      </c>
      <c r="H4664" s="5" t="s">
        <v>21</v>
      </c>
      <c r="I4664" s="5" t="s">
        <v>11434</v>
      </c>
      <c r="J4664" s="12" t="str">
        <f>HYPERLINK("https://www.boe.es/gazeta/dias/1802/11/23/pdfs/GMD-1802-95.pdf#page=11","Abrir facsímil")</f>
        <v>Abrir facsímil</v>
      </c>
      <c r="K4664" s="15" t="s">
        <v>23</v>
      </c>
    </row>
    <row r="4665" spans="1:11" ht="42" customHeight="1">
      <c r="A4665" s="4" t="s">
        <v>11435</v>
      </c>
      <c r="B4665" s="5" t="s">
        <v>11436</v>
      </c>
      <c r="C4665" s="5" t="s">
        <v>18</v>
      </c>
      <c r="D4665" s="5" t="s">
        <v>19</v>
      </c>
      <c r="E4665" s="5" t="s">
        <v>20</v>
      </c>
      <c r="F4665" s="9">
        <v>84</v>
      </c>
      <c r="G4665" s="9">
        <v>1040</v>
      </c>
      <c r="H4665" s="5" t="s">
        <v>21</v>
      </c>
      <c r="I4665" s="5" t="s">
        <v>11437</v>
      </c>
      <c r="J4665" s="12" t="str">
        <f>HYPERLINK("https://www.boe.es/gazeta/dias/1802/10/15/pdfs/GMD-1802-84.pdf#page=8","Abrir facsímil")</f>
        <v>Abrir facsímil</v>
      </c>
      <c r="K4665" s="15" t="s">
        <v>23</v>
      </c>
    </row>
    <row r="4666" spans="1:11" ht="42" customHeight="1">
      <c r="A4666" s="4" t="s">
        <v>11438</v>
      </c>
      <c r="B4666" s="5" t="s">
        <v>11438</v>
      </c>
      <c r="C4666" s="5" t="s">
        <v>29</v>
      </c>
      <c r="D4666" s="5" t="s">
        <v>30</v>
      </c>
      <c r="E4666" s="5" t="s">
        <v>611</v>
      </c>
      <c r="F4666" s="9">
        <v>68</v>
      </c>
      <c r="G4666" s="9">
        <v>834</v>
      </c>
      <c r="H4666" s="5" t="s">
        <v>21</v>
      </c>
      <c r="I4666" s="5" t="s">
        <v>11439</v>
      </c>
      <c r="J4666" s="12" t="str">
        <f>HYPERLINK("https://www.boe.es/gazeta/dias/1802/08/20/pdfs/GMD-1802-68.pdf#page=10","Abrir facsímil")</f>
        <v>Abrir facsímil</v>
      </c>
      <c r="K4666" s="15" t="s">
        <v>23</v>
      </c>
    </row>
    <row r="4667" spans="1:11" ht="42" customHeight="1">
      <c r="A4667" s="4" t="s">
        <v>11440</v>
      </c>
      <c r="B4667" s="5" t="s">
        <v>11441</v>
      </c>
      <c r="C4667" s="5" t="s">
        <v>35</v>
      </c>
      <c r="D4667" s="5" t="s">
        <v>36</v>
      </c>
      <c r="E4667" s="5" t="s">
        <v>670</v>
      </c>
      <c r="F4667" s="9">
        <v>40</v>
      </c>
      <c r="G4667" s="9">
        <v>474</v>
      </c>
      <c r="H4667" s="5" t="s">
        <v>21</v>
      </c>
      <c r="I4667" s="5" t="s">
        <v>11442</v>
      </c>
      <c r="J4667" s="12" t="str">
        <f>HYPERLINK("https://www.boe.es/gazeta/dias/1802/05/18/pdfs/GMD-1802-40.pdf#page=2","Abrir facsímil")</f>
        <v>Abrir facsímil</v>
      </c>
      <c r="K4667" s="15" t="s">
        <v>23</v>
      </c>
    </row>
    <row r="4668" spans="1:11" ht="42" customHeight="1">
      <c r="A4668" s="4" t="s">
        <v>11443</v>
      </c>
      <c r="B4668" s="5" t="s">
        <v>11444</v>
      </c>
      <c r="C4668" s="5" t="s">
        <v>35</v>
      </c>
      <c r="D4668" s="5" t="s">
        <v>36</v>
      </c>
      <c r="E4668" s="5" t="s">
        <v>99</v>
      </c>
      <c r="F4668" s="9">
        <v>86</v>
      </c>
      <c r="G4668" s="9">
        <v>1064</v>
      </c>
      <c r="H4668" s="5" t="s">
        <v>21</v>
      </c>
      <c r="I4668" s="5" t="s">
        <v>11445</v>
      </c>
      <c r="J4668" s="12" t="str">
        <f>HYPERLINK("https://www.boe.es/gazeta/dias/1802/10/22/pdfs/GMD-1802-86.pdf#page=4","Abrir facsímil")</f>
        <v>Abrir facsímil</v>
      </c>
      <c r="K4668" s="15" t="s">
        <v>23</v>
      </c>
    </row>
    <row r="4669" spans="1:11" ht="42" customHeight="1">
      <c r="A4669" s="4" t="s">
        <v>11446</v>
      </c>
      <c r="B4669" s="5" t="s">
        <v>11447</v>
      </c>
      <c r="C4669" s="5" t="s">
        <v>18</v>
      </c>
      <c r="D4669" s="5" t="s">
        <v>19</v>
      </c>
      <c r="E4669" s="5" t="s">
        <v>49</v>
      </c>
      <c r="F4669" s="9">
        <v>83</v>
      </c>
      <c r="G4669" s="9">
        <v>1025</v>
      </c>
      <c r="H4669" s="5" t="s">
        <v>21</v>
      </c>
      <c r="I4669" s="5" t="s">
        <v>11448</v>
      </c>
      <c r="J4669" s="12" t="str">
        <f>HYPERLINK("https://www.boe.es/gazeta/dias/1802/10/12/pdfs/GMD-1802-83.pdf#page=13","Abrir facsímil")</f>
        <v>Abrir facsímil</v>
      </c>
      <c r="K4669" s="15" t="s">
        <v>23</v>
      </c>
    </row>
    <row r="4670" spans="1:11" ht="42" customHeight="1">
      <c r="A4670" s="4" t="s">
        <v>11449</v>
      </c>
      <c r="B4670" s="5" t="s">
        <v>11450</v>
      </c>
      <c r="C4670" s="5" t="s">
        <v>29</v>
      </c>
      <c r="D4670" s="5" t="s">
        <v>30</v>
      </c>
      <c r="E4670" s="5" t="s">
        <v>49</v>
      </c>
      <c r="F4670" s="9">
        <v>83</v>
      </c>
      <c r="G4670" s="9">
        <v>1021</v>
      </c>
      <c r="H4670" s="5" t="s">
        <v>21</v>
      </c>
      <c r="I4670" s="5" t="s">
        <v>11451</v>
      </c>
      <c r="J4670" s="12" t="str">
        <f>HYPERLINK("https://www.boe.es/gazeta/dias/1802/10/12/pdfs/GMD-1802-83.pdf#page=9","Abrir facsímil")</f>
        <v>Abrir facsímil</v>
      </c>
      <c r="K4670" s="15" t="s">
        <v>23</v>
      </c>
    </row>
    <row r="4671" spans="1:11" ht="42" customHeight="1">
      <c r="A4671" s="4" t="s">
        <v>11452</v>
      </c>
      <c r="B4671" s="5" t="s">
        <v>11453</v>
      </c>
      <c r="C4671" s="5" t="s">
        <v>29</v>
      </c>
      <c r="D4671" s="5" t="s">
        <v>30</v>
      </c>
      <c r="E4671" s="5" t="s">
        <v>192</v>
      </c>
      <c r="F4671" s="9">
        <v>53</v>
      </c>
      <c r="G4671" s="9">
        <v>636</v>
      </c>
      <c r="H4671" s="5" t="s">
        <v>21</v>
      </c>
      <c r="I4671" s="5" t="s">
        <v>11454</v>
      </c>
      <c r="J4671" s="12" t="str">
        <f>HYPERLINK("https://www.boe.es/gazeta/dias/1802/07/02/pdfs/GMD-1802-53.pdf#page=4","Abrir facsímil")</f>
        <v>Abrir facsímil</v>
      </c>
      <c r="K4671" s="15" t="s">
        <v>23</v>
      </c>
    </row>
    <row r="4672" spans="1:11" ht="42" customHeight="1">
      <c r="A4672" s="4" t="s">
        <v>11455</v>
      </c>
      <c r="B4672" s="5" t="s">
        <v>11456</v>
      </c>
      <c r="C4672" s="5" t="s">
        <v>90</v>
      </c>
      <c r="D4672" s="5" t="s">
        <v>91</v>
      </c>
      <c r="E4672" s="5" t="s">
        <v>163</v>
      </c>
      <c r="F4672" s="9">
        <v>1</v>
      </c>
      <c r="G4672" s="9">
        <v>4</v>
      </c>
      <c r="H4672" s="5" t="s">
        <v>21</v>
      </c>
      <c r="I4672" s="5" t="s">
        <v>11457</v>
      </c>
      <c r="J4672" s="12" t="str">
        <f>HYPERLINK("https://www.boe.es/gazeta/dias/1802/01/01/pdfs/GMD-1802-1.pdf#page=4","Abrir facsímil")</f>
        <v>Abrir facsímil</v>
      </c>
      <c r="K4672" s="15" t="s">
        <v>23</v>
      </c>
    </row>
    <row r="4673" spans="1:11" ht="42" customHeight="1">
      <c r="A4673" s="4" t="s">
        <v>11458</v>
      </c>
      <c r="B4673" s="5" t="s">
        <v>11459</v>
      </c>
      <c r="C4673" s="5" t="s">
        <v>42</v>
      </c>
      <c r="D4673" s="5" t="s">
        <v>43</v>
      </c>
      <c r="E4673" s="5" t="s">
        <v>44</v>
      </c>
      <c r="F4673" s="9">
        <v>99</v>
      </c>
      <c r="G4673" s="9" t="s">
        <v>78</v>
      </c>
      <c r="H4673" s="5" t="s">
        <v>21</v>
      </c>
      <c r="I4673" s="5" t="s">
        <v>11460</v>
      </c>
      <c r="J4673" s="12" t="str">
        <f>HYPERLINK("https://www.boe.es/gazeta/dias/1802/12/07/pdfs/GMD-D-1802-99.pdf#page=15","Abrir facsímil")</f>
        <v>Abrir facsímil</v>
      </c>
      <c r="K4673" s="15" t="s">
        <v>23</v>
      </c>
    </row>
    <row r="4674" spans="1:11" ht="42" customHeight="1">
      <c r="A4674" s="4" t="s">
        <v>11461</v>
      </c>
      <c r="B4674" s="5" t="s">
        <v>11462</v>
      </c>
      <c r="C4674" s="5" t="s">
        <v>29</v>
      </c>
      <c r="D4674" s="5" t="s">
        <v>30</v>
      </c>
      <c r="E4674" s="5" t="s">
        <v>389</v>
      </c>
      <c r="F4674" s="9">
        <v>96</v>
      </c>
      <c r="G4674" s="9">
        <v>1189</v>
      </c>
      <c r="H4674" s="5" t="s">
        <v>21</v>
      </c>
      <c r="I4674" s="5" t="s">
        <v>11463</v>
      </c>
      <c r="J4674" s="12" t="str">
        <f>HYPERLINK("https://www.boe.es/gazeta/dias/1802/11/26/pdfs/GMD-1802-96.pdf#page=9","Abrir facsímil")</f>
        <v>Abrir facsímil</v>
      </c>
      <c r="K4674" s="15" t="s">
        <v>23</v>
      </c>
    </row>
    <row r="4675" spans="1:11" ht="42" customHeight="1">
      <c r="A4675" s="4" t="s">
        <v>11464</v>
      </c>
      <c r="B4675" s="5" t="s">
        <v>11465</v>
      </c>
      <c r="C4675" s="5" t="s">
        <v>18</v>
      </c>
      <c r="D4675" s="5" t="s">
        <v>19</v>
      </c>
      <c r="E4675" s="5" t="s">
        <v>749</v>
      </c>
      <c r="F4675" s="9">
        <v>97</v>
      </c>
      <c r="G4675" s="9">
        <v>1201</v>
      </c>
      <c r="H4675" s="5" t="s">
        <v>21</v>
      </c>
      <c r="I4675" s="5" t="s">
        <v>11466</v>
      </c>
      <c r="J4675" s="12" t="str">
        <f>HYPERLINK("https://www.boe.es/gazeta/dias/1802/11/30/pdfs/GMD-1802-97.pdf#page=9","Abrir facsímil")</f>
        <v>Abrir facsímil</v>
      </c>
      <c r="K4675" s="15" t="s">
        <v>23</v>
      </c>
    </row>
    <row r="4676" spans="1:11" ht="42" customHeight="1">
      <c r="A4676" s="4" t="s">
        <v>11467</v>
      </c>
      <c r="B4676" s="5" t="s">
        <v>11467</v>
      </c>
      <c r="C4676" s="5" t="s">
        <v>55</v>
      </c>
      <c r="D4676" s="5" t="s">
        <v>56</v>
      </c>
      <c r="E4676" s="5" t="s">
        <v>73</v>
      </c>
      <c r="F4676" s="9">
        <v>102</v>
      </c>
      <c r="G4676" s="9">
        <v>1255</v>
      </c>
      <c r="H4676" s="5" t="s">
        <v>21</v>
      </c>
      <c r="I4676" s="5" t="s">
        <v>11468</v>
      </c>
      <c r="J4676" s="12" t="str">
        <f>HYPERLINK("https://www.boe.es/gazeta/dias/1802/12/17/pdfs/GMD-1802-102.pdf#page=11","Abrir facsímil")</f>
        <v>Abrir facsímil</v>
      </c>
      <c r="K4676" s="15" t="s">
        <v>23</v>
      </c>
    </row>
    <row r="4677" spans="1:11" ht="42" customHeight="1">
      <c r="A4677" s="4" t="s">
        <v>11469</v>
      </c>
      <c r="B4677" s="5" t="s">
        <v>11469</v>
      </c>
      <c r="C4677" s="5" t="s">
        <v>35</v>
      </c>
      <c r="D4677" s="5" t="s">
        <v>36</v>
      </c>
      <c r="E4677" s="5" t="s">
        <v>611</v>
      </c>
      <c r="F4677" s="9">
        <v>68</v>
      </c>
      <c r="G4677" s="9">
        <v>831</v>
      </c>
      <c r="H4677" s="5" t="s">
        <v>21</v>
      </c>
      <c r="I4677" s="5" t="s">
        <v>11470</v>
      </c>
      <c r="J4677" s="12" t="str">
        <f>HYPERLINK("https://www.boe.es/gazeta/dias/1802/08/20/pdfs/GMD-1802-68.pdf#page=7","Abrir facsímil")</f>
        <v>Abrir facsímil</v>
      </c>
      <c r="K4677" s="15" t="s">
        <v>23</v>
      </c>
    </row>
    <row r="4678" spans="1:11" ht="42" customHeight="1">
      <c r="A4678" s="4" t="s">
        <v>11471</v>
      </c>
      <c r="B4678" s="5" t="s">
        <v>11472</v>
      </c>
      <c r="C4678" s="5" t="s">
        <v>29</v>
      </c>
      <c r="D4678" s="5" t="s">
        <v>30</v>
      </c>
      <c r="E4678" s="5" t="s">
        <v>146</v>
      </c>
      <c r="F4678" s="9">
        <v>42</v>
      </c>
      <c r="G4678" s="9">
        <v>505</v>
      </c>
      <c r="H4678" s="5" t="s">
        <v>21</v>
      </c>
      <c r="I4678" s="5" t="s">
        <v>11473</v>
      </c>
      <c r="J4678" s="12" t="str">
        <f>HYPERLINK("https://www.boe.es/gazeta/dias/1802/05/25/pdfs/GMD-1802-42.pdf#page=9","Abrir facsímil")</f>
        <v>Abrir facsímil</v>
      </c>
      <c r="K4678" s="15" t="s">
        <v>23</v>
      </c>
    </row>
    <row r="4679" spans="1:11" ht="42" customHeight="1">
      <c r="A4679" s="4" t="s">
        <v>11474</v>
      </c>
      <c r="B4679" s="5" t="s">
        <v>11475</v>
      </c>
      <c r="C4679" s="5" t="s">
        <v>90</v>
      </c>
      <c r="D4679" s="5" t="s">
        <v>91</v>
      </c>
      <c r="E4679" s="5" t="s">
        <v>635</v>
      </c>
      <c r="F4679" s="9">
        <v>47</v>
      </c>
      <c r="G4679" s="9">
        <v>573</v>
      </c>
      <c r="H4679" s="5" t="s">
        <v>21</v>
      </c>
      <c r="I4679" s="5" t="s">
        <v>11476</v>
      </c>
      <c r="J4679" s="12" t="str">
        <f>HYPERLINK("https://www.boe.es/gazeta/dias/1802/06/11/pdfs/GMD-1802-47.pdf#page=9","Abrir facsímil")</f>
        <v>Abrir facsímil</v>
      </c>
      <c r="K4679" s="15" t="s">
        <v>23</v>
      </c>
    </row>
    <row r="4680" spans="1:11" ht="42" customHeight="1">
      <c r="A4680" s="4" t="s">
        <v>11477</v>
      </c>
      <c r="B4680" s="5" t="s">
        <v>11478</v>
      </c>
      <c r="C4680" s="5" t="s">
        <v>29</v>
      </c>
      <c r="D4680" s="5" t="s">
        <v>30</v>
      </c>
      <c r="E4680" s="5" t="s">
        <v>299</v>
      </c>
      <c r="F4680" s="9">
        <v>19</v>
      </c>
      <c r="G4680" s="9">
        <v>210</v>
      </c>
      <c r="H4680" s="5" t="s">
        <v>21</v>
      </c>
      <c r="I4680" s="5" t="s">
        <v>11479</v>
      </c>
      <c r="J4680" s="12" t="str">
        <f>HYPERLINK("https://www.boe.es/gazeta/dias/1802/03/05/pdfs/GMD-1802-19.pdf#page=10","Abrir facsímil")</f>
        <v>Abrir facsímil</v>
      </c>
      <c r="K4680" s="15" t="s">
        <v>23</v>
      </c>
    </row>
    <row r="4681" spans="1:11" ht="42" customHeight="1">
      <c r="A4681" s="4" t="s">
        <v>11480</v>
      </c>
      <c r="B4681" s="5" t="s">
        <v>11481</v>
      </c>
      <c r="C4681" s="5" t="s">
        <v>29</v>
      </c>
      <c r="D4681" s="5" t="s">
        <v>30</v>
      </c>
      <c r="E4681" s="5" t="s">
        <v>25</v>
      </c>
      <c r="F4681" s="9">
        <v>44</v>
      </c>
      <c r="G4681" s="9">
        <v>533</v>
      </c>
      <c r="H4681" s="5" t="s">
        <v>21</v>
      </c>
      <c r="I4681" s="5" t="s">
        <v>11482</v>
      </c>
      <c r="J4681" s="12" t="str">
        <f>HYPERLINK("https://www.boe.es/gazeta/dias/1802/06/01/pdfs/GMD-1802-44.pdf#page=9","Abrir facsímil")</f>
        <v>Abrir facsímil</v>
      </c>
      <c r="K4681" s="15" t="s">
        <v>23</v>
      </c>
    </row>
    <row r="4682" spans="1:11" ht="42" customHeight="1">
      <c r="A4682" s="4" t="s">
        <v>11483</v>
      </c>
      <c r="B4682" s="5" t="s">
        <v>11483</v>
      </c>
      <c r="C4682" s="5" t="s">
        <v>160</v>
      </c>
      <c r="D4682" s="5" t="s">
        <v>91</v>
      </c>
      <c r="E4682" s="5" t="s">
        <v>481</v>
      </c>
      <c r="F4682" s="9">
        <v>79</v>
      </c>
      <c r="G4682" s="9">
        <v>975</v>
      </c>
      <c r="H4682" s="5" t="s">
        <v>21</v>
      </c>
      <c r="I4682" s="5" t="s">
        <v>11484</v>
      </c>
      <c r="J4682" s="12" t="str">
        <f>HYPERLINK("https://www.boe.es/gazeta/dias/1802/09/28/pdfs/GMD-1802-79.pdf#page=11","Abrir facsímil")</f>
        <v>Abrir facsímil</v>
      </c>
      <c r="K4682" s="15" t="s">
        <v>23</v>
      </c>
    </row>
    <row r="4683" spans="1:11" ht="42" customHeight="1">
      <c r="A4683" s="4" t="s">
        <v>11485</v>
      </c>
      <c r="B4683" s="5" t="s">
        <v>11485</v>
      </c>
      <c r="C4683" s="5" t="s">
        <v>29</v>
      </c>
      <c r="D4683" s="5" t="s">
        <v>30</v>
      </c>
      <c r="E4683" s="5" t="s">
        <v>491</v>
      </c>
      <c r="F4683" s="9">
        <v>57</v>
      </c>
      <c r="G4683" s="9">
        <v>690</v>
      </c>
      <c r="H4683" s="5" t="s">
        <v>21</v>
      </c>
      <c r="I4683" s="5" t="s">
        <v>11486</v>
      </c>
      <c r="J4683" s="12" t="str">
        <f>HYPERLINK("https://www.boe.es/gazeta/dias/1802/07/16/pdfs/GMD-1802-57.pdf#page=10","Abrir facsímil")</f>
        <v>Abrir facsímil</v>
      </c>
      <c r="K4683" s="15" t="s">
        <v>23</v>
      </c>
    </row>
    <row r="4684" spans="1:11" ht="42" customHeight="1">
      <c r="A4684" s="4" t="s">
        <v>11487</v>
      </c>
      <c r="B4684" s="5" t="s">
        <v>11488</v>
      </c>
      <c r="C4684" s="5" t="s">
        <v>18</v>
      </c>
      <c r="D4684" s="5" t="s">
        <v>19</v>
      </c>
      <c r="E4684" s="5" t="s">
        <v>49</v>
      </c>
      <c r="F4684" s="9">
        <v>83</v>
      </c>
      <c r="G4684" s="9">
        <v>1025</v>
      </c>
      <c r="H4684" s="5" t="s">
        <v>21</v>
      </c>
      <c r="I4684" s="5" t="s">
        <v>11489</v>
      </c>
      <c r="J4684" s="12" t="str">
        <f>HYPERLINK("https://www.boe.es/gazeta/dias/1802/10/12/pdfs/GMD-1802-83.pdf#page=13","Abrir facsímil")</f>
        <v>Abrir facsímil</v>
      </c>
      <c r="K4684" s="15" t="s">
        <v>23</v>
      </c>
    </row>
    <row r="4685" spans="1:11" ht="42" customHeight="1">
      <c r="A4685" s="4" t="s">
        <v>11490</v>
      </c>
      <c r="B4685" s="5" t="s">
        <v>11491</v>
      </c>
      <c r="C4685" s="5" t="s">
        <v>18</v>
      </c>
      <c r="D4685" s="5" t="s">
        <v>19</v>
      </c>
      <c r="E4685" s="5" t="s">
        <v>20</v>
      </c>
      <c r="F4685" s="9">
        <v>84</v>
      </c>
      <c r="G4685" s="9">
        <v>1039</v>
      </c>
      <c r="H4685" s="5" t="s">
        <v>21</v>
      </c>
      <c r="I4685" s="5" t="s">
        <v>11492</v>
      </c>
      <c r="J4685" s="12" t="str">
        <f>HYPERLINK("https://www.boe.es/gazeta/dias/1802/10/15/pdfs/GMD-1802-84.pdf#page=7","Abrir facsímil")</f>
        <v>Abrir facsímil</v>
      </c>
      <c r="K4685" s="15" t="s">
        <v>23</v>
      </c>
    </row>
    <row r="4686" spans="1:11" ht="42" customHeight="1">
      <c r="A4686" s="4" t="s">
        <v>11493</v>
      </c>
      <c r="B4686" s="5" t="s">
        <v>11494</v>
      </c>
      <c r="C4686" s="5" t="s">
        <v>29</v>
      </c>
      <c r="D4686" s="5" t="s">
        <v>30</v>
      </c>
      <c r="E4686" s="5" t="s">
        <v>655</v>
      </c>
      <c r="F4686" s="9">
        <v>46</v>
      </c>
      <c r="G4686" s="9">
        <v>558</v>
      </c>
      <c r="H4686" s="5" t="s">
        <v>21</v>
      </c>
      <c r="I4686" s="5" t="s">
        <v>11495</v>
      </c>
      <c r="J4686" s="12" t="str">
        <f>HYPERLINK("https://www.boe.es/gazeta/dias/1802/06/08/pdfs/GMD-1802-46.pdf#page=10","Abrir facsímil")</f>
        <v>Abrir facsímil</v>
      </c>
      <c r="K4686" s="15" t="s">
        <v>23</v>
      </c>
    </row>
    <row r="4687" spans="1:11" ht="42" customHeight="1">
      <c r="A4687" s="4" t="s">
        <v>11496</v>
      </c>
      <c r="B4687" s="5" t="s">
        <v>11497</v>
      </c>
      <c r="C4687" s="5" t="s">
        <v>29</v>
      </c>
      <c r="D4687" s="5" t="s">
        <v>30</v>
      </c>
      <c r="E4687" s="5" t="s">
        <v>299</v>
      </c>
      <c r="F4687" s="9">
        <v>19</v>
      </c>
      <c r="G4687" s="9">
        <v>210</v>
      </c>
      <c r="H4687" s="5" t="s">
        <v>21</v>
      </c>
      <c r="I4687" s="5" t="s">
        <v>11498</v>
      </c>
      <c r="J4687" s="12" t="str">
        <f>HYPERLINK("https://www.boe.es/gazeta/dias/1802/03/05/pdfs/GMD-1802-19.pdf#page=10","Abrir facsímil")</f>
        <v>Abrir facsímil</v>
      </c>
      <c r="K4687" s="15" t="s">
        <v>23</v>
      </c>
    </row>
    <row r="4688" spans="1:11" ht="42" customHeight="1">
      <c r="A4688" s="4" t="s">
        <v>11499</v>
      </c>
      <c r="B4688" s="5" t="s">
        <v>11500</v>
      </c>
      <c r="C4688" s="5" t="s">
        <v>90</v>
      </c>
      <c r="D4688" s="5" t="s">
        <v>91</v>
      </c>
      <c r="E4688" s="5" t="s">
        <v>99</v>
      </c>
      <c r="F4688" s="9">
        <v>86</v>
      </c>
      <c r="G4688" s="9">
        <v>1069</v>
      </c>
      <c r="H4688" s="5" t="s">
        <v>21</v>
      </c>
      <c r="I4688" s="5" t="s">
        <v>11501</v>
      </c>
      <c r="J4688" s="12" t="str">
        <f>HYPERLINK("https://www.boe.es/gazeta/dias/1802/10/22/pdfs/GMD-1802-86.pdf#page=9","Abrir facsímil")</f>
        <v>Abrir facsímil</v>
      </c>
      <c r="K4688" s="15" t="s">
        <v>23</v>
      </c>
    </row>
    <row r="4689" spans="1:11" ht="42" customHeight="1">
      <c r="A4689" s="4" t="s">
        <v>11502</v>
      </c>
      <c r="B4689" s="5" t="s">
        <v>11503</v>
      </c>
      <c r="C4689" s="5" t="s">
        <v>29</v>
      </c>
      <c r="D4689" s="5" t="s">
        <v>30</v>
      </c>
      <c r="E4689" s="5" t="s">
        <v>1051</v>
      </c>
      <c r="F4689" s="9">
        <v>43</v>
      </c>
      <c r="G4689" s="9">
        <v>518</v>
      </c>
      <c r="H4689" s="5" t="s">
        <v>21</v>
      </c>
      <c r="I4689" s="5" t="s">
        <v>11504</v>
      </c>
      <c r="J4689" s="12" t="str">
        <f>HYPERLINK("https://www.boe.es/gazeta/dias/1802/05/28/pdfs/GMD-1802-43.pdf#page=10","Abrir facsímil")</f>
        <v>Abrir facsímil</v>
      </c>
      <c r="K4689" s="15" t="s">
        <v>23</v>
      </c>
    </row>
    <row r="4690" spans="1:11" ht="42" customHeight="1">
      <c r="A4690" s="4" t="s">
        <v>11505</v>
      </c>
      <c r="B4690" s="5" t="s">
        <v>11506</v>
      </c>
      <c r="C4690" s="5" t="s">
        <v>29</v>
      </c>
      <c r="D4690" s="5" t="s">
        <v>30</v>
      </c>
      <c r="E4690" s="5" t="s">
        <v>1113</v>
      </c>
      <c r="F4690" s="9">
        <v>6</v>
      </c>
      <c r="G4690" s="9">
        <v>53</v>
      </c>
      <c r="H4690" s="5" t="s">
        <v>21</v>
      </c>
      <c r="I4690" s="5" t="s">
        <v>11507</v>
      </c>
      <c r="J4690" s="12" t="str">
        <f>HYPERLINK("https://www.boe.es/gazeta/dias/1802/01/19/pdfs/GMD-1802-6.pdf#page=1","Abrir facsímil")</f>
        <v>Abrir facsímil</v>
      </c>
      <c r="K4690" s="15" t="s">
        <v>23</v>
      </c>
    </row>
    <row r="4691" spans="1:11" ht="42" customHeight="1">
      <c r="A4691" s="4" t="s">
        <v>11508</v>
      </c>
      <c r="B4691" s="5" t="s">
        <v>11509</v>
      </c>
      <c r="C4691" s="5" t="s">
        <v>18</v>
      </c>
      <c r="D4691" s="5" t="s">
        <v>19</v>
      </c>
      <c r="E4691" s="5" t="s">
        <v>20</v>
      </c>
      <c r="F4691" s="9">
        <v>84</v>
      </c>
      <c r="G4691" s="9">
        <v>1044</v>
      </c>
      <c r="H4691" s="5" t="s">
        <v>21</v>
      </c>
      <c r="I4691" s="5" t="s">
        <v>11510</v>
      </c>
      <c r="J4691" s="12" t="str">
        <f>HYPERLINK("https://www.boe.es/gazeta/dias/1802/10/15/pdfs/GMD-1802-84.pdf#page=12","Abrir facsímil")</f>
        <v>Abrir facsímil</v>
      </c>
      <c r="K4691" s="15" t="s">
        <v>23</v>
      </c>
    </row>
    <row r="4692" spans="1:11" ht="42" customHeight="1">
      <c r="A4692" s="4" t="s">
        <v>11511</v>
      </c>
      <c r="B4692" s="5" t="s">
        <v>11512</v>
      </c>
      <c r="C4692" s="5" t="s">
        <v>29</v>
      </c>
      <c r="D4692" s="5" t="s">
        <v>30</v>
      </c>
      <c r="E4692" s="5" t="s">
        <v>530</v>
      </c>
      <c r="F4692" s="9">
        <v>48</v>
      </c>
      <c r="G4692" s="9">
        <v>586</v>
      </c>
      <c r="H4692" s="5" t="s">
        <v>21</v>
      </c>
      <c r="I4692" s="5" t="s">
        <v>11513</v>
      </c>
      <c r="J4692" s="12" t="str">
        <f>HYPERLINK("https://www.boe.es/gazeta/dias/1802/06/15/pdfs/GMD-1802-48.pdf#page=10","Abrir facsímil")</f>
        <v>Abrir facsímil</v>
      </c>
      <c r="K4692" s="15" t="s">
        <v>23</v>
      </c>
    </row>
    <row r="4693" spans="1:11" ht="42" customHeight="1">
      <c r="A4693" s="4" t="s">
        <v>11511</v>
      </c>
      <c r="B4693" s="5" t="s">
        <v>11512</v>
      </c>
      <c r="C4693" s="5" t="s">
        <v>29</v>
      </c>
      <c r="D4693" s="5" t="s">
        <v>30</v>
      </c>
      <c r="E4693" s="5" t="s">
        <v>183</v>
      </c>
      <c r="F4693" s="9">
        <v>56</v>
      </c>
      <c r="G4693" s="9">
        <v>678</v>
      </c>
      <c r="H4693" s="5" t="s">
        <v>21</v>
      </c>
      <c r="I4693" s="5" t="s">
        <v>11514</v>
      </c>
      <c r="J4693" s="12" t="str">
        <f>HYPERLINK("https://www.boe.es/gazeta/dias/1802/07/13/pdfs/GMD-1802-56.pdf#page=10","Abrir facsímil")</f>
        <v>Abrir facsímil</v>
      </c>
      <c r="K4693" s="15" t="s">
        <v>23</v>
      </c>
    </row>
    <row r="4694" spans="1:11" ht="42" customHeight="1">
      <c r="A4694" s="4" t="s">
        <v>11515</v>
      </c>
      <c r="B4694" s="5" t="s">
        <v>11516</v>
      </c>
      <c r="C4694" s="5" t="s">
        <v>29</v>
      </c>
      <c r="D4694" s="5" t="s">
        <v>30</v>
      </c>
      <c r="E4694" s="5" t="s">
        <v>86</v>
      </c>
      <c r="F4694" s="9">
        <v>26</v>
      </c>
      <c r="G4694" s="9">
        <v>298</v>
      </c>
      <c r="H4694" s="5" t="s">
        <v>21</v>
      </c>
      <c r="I4694" s="5" t="s">
        <v>11517</v>
      </c>
      <c r="J4694" s="12" t="str">
        <f>HYPERLINK("https://www.boe.es/gazeta/dias/1802/03/30/pdfs/GMD-1802-26.pdf#page=10","Abrir facsímil")</f>
        <v>Abrir facsímil</v>
      </c>
      <c r="K4694" s="15" t="s">
        <v>23</v>
      </c>
    </row>
    <row r="4695" spans="1:11" ht="42" customHeight="1">
      <c r="A4695" s="4" t="s">
        <v>11518</v>
      </c>
      <c r="B4695" s="5" t="s">
        <v>11518</v>
      </c>
      <c r="C4695" s="5" t="s">
        <v>18</v>
      </c>
      <c r="D4695" s="5" t="s">
        <v>19</v>
      </c>
      <c r="E4695" s="5" t="s">
        <v>49</v>
      </c>
      <c r="F4695" s="9">
        <v>83</v>
      </c>
      <c r="G4695" s="9">
        <v>1022</v>
      </c>
      <c r="H4695" s="5" t="s">
        <v>21</v>
      </c>
      <c r="I4695" s="5" t="s">
        <v>11519</v>
      </c>
      <c r="J4695" s="12" t="str">
        <f>HYPERLINK("https://www.boe.es/gazeta/dias/1802/10/12/pdfs/GMD-1802-83.pdf#page=10","Abrir facsímil")</f>
        <v>Abrir facsímil</v>
      </c>
      <c r="K4695" s="15" t="s">
        <v>23</v>
      </c>
    </row>
    <row r="4696" spans="1:11" ht="42" customHeight="1">
      <c r="A4696" s="4" t="s">
        <v>11520</v>
      </c>
      <c r="B4696" s="5" t="s">
        <v>11520</v>
      </c>
      <c r="C4696" s="5" t="s">
        <v>160</v>
      </c>
      <c r="D4696" s="5" t="s">
        <v>91</v>
      </c>
      <c r="E4696" s="5" t="s">
        <v>1959</v>
      </c>
      <c r="F4696" s="9">
        <v>34</v>
      </c>
      <c r="G4696" s="9">
        <v>392</v>
      </c>
      <c r="H4696" s="5" t="s">
        <v>21</v>
      </c>
      <c r="I4696" s="5" t="s">
        <v>11521</v>
      </c>
      <c r="J4696" s="12" t="str">
        <f>HYPERLINK("https://www.boe.es/gazeta/dias/1802/04/27/pdfs/GMD-1802-34.pdf#page=4","Abrir facsímil")</f>
        <v>Abrir facsímil</v>
      </c>
      <c r="K4696" s="15" t="s">
        <v>23</v>
      </c>
    </row>
    <row r="4697" spans="1:11" ht="42" customHeight="1">
      <c r="A4697" s="4" t="s">
        <v>11522</v>
      </c>
      <c r="B4697" s="5" t="s">
        <v>11523</v>
      </c>
      <c r="C4697" s="5" t="s">
        <v>18</v>
      </c>
      <c r="D4697" s="5" t="s">
        <v>19</v>
      </c>
      <c r="E4697" s="5" t="s">
        <v>206</v>
      </c>
      <c r="F4697" s="9">
        <v>22</v>
      </c>
      <c r="G4697" s="9">
        <v>240</v>
      </c>
      <c r="H4697" s="5" t="s">
        <v>21</v>
      </c>
      <c r="I4697" s="5" t="s">
        <v>11524</v>
      </c>
      <c r="J4697" s="12" t="str">
        <f>HYPERLINK("https://www.boe.es/gazeta/dias/1802/03/16/pdfs/GMD-1802-22.pdf#page=8","Abrir facsímil")</f>
        <v>Abrir facsímil</v>
      </c>
      <c r="K4697" s="15" t="s">
        <v>23</v>
      </c>
    </row>
    <row r="4698" spans="1:11" ht="42" customHeight="1">
      <c r="A4698" s="4" t="s">
        <v>11525</v>
      </c>
      <c r="B4698" s="5" t="s">
        <v>11526</v>
      </c>
      <c r="C4698" s="5" t="s">
        <v>29</v>
      </c>
      <c r="D4698" s="5" t="s">
        <v>30</v>
      </c>
      <c r="E4698" s="5" t="s">
        <v>247</v>
      </c>
      <c r="F4698" s="9">
        <v>14</v>
      </c>
      <c r="G4698" s="9">
        <v>145</v>
      </c>
      <c r="H4698" s="5" t="s">
        <v>21</v>
      </c>
      <c r="I4698" s="5" t="s">
        <v>11527</v>
      </c>
      <c r="J4698" s="12" t="str">
        <f>HYPERLINK("https://www.boe.es/gazeta/dias/1802/02/16/pdfs/GMD-1802-14.pdf#page=9","Abrir facsímil")</f>
        <v>Abrir facsímil</v>
      </c>
      <c r="K4698" s="15" t="s">
        <v>23</v>
      </c>
    </row>
    <row r="4699" spans="1:11" ht="42" customHeight="1">
      <c r="A4699" s="4" t="s">
        <v>11528</v>
      </c>
      <c r="B4699" s="5" t="s">
        <v>11529</v>
      </c>
      <c r="C4699" s="5" t="s">
        <v>29</v>
      </c>
      <c r="D4699" s="5" t="s">
        <v>30</v>
      </c>
      <c r="E4699" s="5" t="s">
        <v>900</v>
      </c>
      <c r="F4699" s="9">
        <v>16</v>
      </c>
      <c r="G4699" s="9">
        <v>169</v>
      </c>
      <c r="H4699" s="5" t="s">
        <v>21</v>
      </c>
      <c r="I4699" s="5" t="s">
        <v>11530</v>
      </c>
      <c r="J4699" s="12" t="str">
        <f>HYPERLINK("https://www.boe.es/gazeta/dias/1802/02/23/pdfs/GMD-1802-16.pdf#page=9","Abrir facsímil")</f>
        <v>Abrir facsímil</v>
      </c>
      <c r="K4699" s="15" t="s">
        <v>23</v>
      </c>
    </row>
    <row r="4700" spans="1:11" ht="42" customHeight="1">
      <c r="A4700" s="4" t="s">
        <v>11531</v>
      </c>
      <c r="B4700" s="5" t="s">
        <v>11532</v>
      </c>
      <c r="C4700" s="5" t="s">
        <v>29</v>
      </c>
      <c r="D4700" s="5" t="s">
        <v>30</v>
      </c>
      <c r="E4700" s="5" t="s">
        <v>517</v>
      </c>
      <c r="F4700" s="9">
        <v>61</v>
      </c>
      <c r="G4700" s="9">
        <v>740</v>
      </c>
      <c r="H4700" s="5" t="s">
        <v>21</v>
      </c>
      <c r="I4700" s="5" t="s">
        <v>11533</v>
      </c>
      <c r="J4700" s="12" t="str">
        <f>HYPERLINK("https://www.boe.es/gazeta/dias/1802/07/27/pdfs/GMD-1802-61.pdf#page=8","Abrir facsímil")</f>
        <v>Abrir facsímil</v>
      </c>
      <c r="K4700" s="15" t="s">
        <v>23</v>
      </c>
    </row>
    <row r="4701" spans="1:11" ht="42" customHeight="1">
      <c r="A4701" s="4" t="s">
        <v>11534</v>
      </c>
      <c r="B4701" s="5" t="s">
        <v>11535</v>
      </c>
      <c r="C4701" s="5" t="s">
        <v>42</v>
      </c>
      <c r="D4701" s="5" t="s">
        <v>43</v>
      </c>
      <c r="E4701" s="5" t="s">
        <v>44</v>
      </c>
      <c r="F4701" s="9">
        <v>99</v>
      </c>
      <c r="G4701" s="9" t="s">
        <v>262</v>
      </c>
      <c r="H4701" s="5" t="s">
        <v>21</v>
      </c>
      <c r="I4701" s="5" t="s">
        <v>11536</v>
      </c>
      <c r="J4701" s="12" t="str">
        <f>HYPERLINK("https://www.boe.es/gazeta/dias/1802/12/07/pdfs/GMD-D-1802-99.pdf#page=8","Abrir facsímil")</f>
        <v>Abrir facsímil</v>
      </c>
      <c r="K4701" s="15" t="s">
        <v>23</v>
      </c>
    </row>
    <row r="4702" spans="1:11" ht="42" customHeight="1">
      <c r="A4702" s="4" t="s">
        <v>11537</v>
      </c>
      <c r="B4702" s="5" t="s">
        <v>11538</v>
      </c>
      <c r="C4702" s="5" t="s">
        <v>29</v>
      </c>
      <c r="D4702" s="5" t="s">
        <v>30</v>
      </c>
      <c r="E4702" s="5" t="s">
        <v>900</v>
      </c>
      <c r="F4702" s="9">
        <v>16</v>
      </c>
      <c r="G4702" s="9">
        <v>170</v>
      </c>
      <c r="H4702" s="5" t="s">
        <v>21</v>
      </c>
      <c r="I4702" s="5" t="s">
        <v>11539</v>
      </c>
      <c r="J4702" s="12" t="str">
        <f>HYPERLINK("https://www.boe.es/gazeta/dias/1802/02/23/pdfs/GMD-1802-16.pdf#page=10","Abrir facsímil")</f>
        <v>Abrir facsímil</v>
      </c>
      <c r="K4702" s="15" t="s">
        <v>23</v>
      </c>
    </row>
    <row r="4703" spans="1:11" ht="42" customHeight="1">
      <c r="A4703" s="4" t="s">
        <v>11540</v>
      </c>
      <c r="B4703" s="5" t="s">
        <v>11541</v>
      </c>
      <c r="C4703" s="5" t="s">
        <v>18</v>
      </c>
      <c r="D4703" s="5" t="s">
        <v>19</v>
      </c>
      <c r="E4703" s="5" t="s">
        <v>128</v>
      </c>
      <c r="F4703" s="9">
        <v>9</v>
      </c>
      <c r="G4703" s="9">
        <v>89</v>
      </c>
      <c r="H4703" s="5" t="s">
        <v>21</v>
      </c>
      <c r="I4703" s="5" t="s">
        <v>11542</v>
      </c>
      <c r="J4703" s="12" t="str">
        <f>HYPERLINK("https://www.boe.es/gazeta/dias/1802/01/29/pdfs/GMD-1802-9.pdf#page=9","Abrir facsímil")</f>
        <v>Abrir facsímil</v>
      </c>
      <c r="K4703" s="15" t="s">
        <v>23</v>
      </c>
    </row>
    <row r="4704" spans="1:11" ht="42" customHeight="1">
      <c r="A4704" s="4" t="s">
        <v>11543</v>
      </c>
      <c r="B4704" s="5" t="s">
        <v>11544</v>
      </c>
      <c r="C4704" s="5" t="s">
        <v>42</v>
      </c>
      <c r="D4704" s="5" t="s">
        <v>43</v>
      </c>
      <c r="E4704" s="5" t="s">
        <v>44</v>
      </c>
      <c r="F4704" s="9">
        <v>99</v>
      </c>
      <c r="G4704" s="9" t="s">
        <v>322</v>
      </c>
      <c r="H4704" s="5" t="s">
        <v>21</v>
      </c>
      <c r="I4704" s="5" t="s">
        <v>11545</v>
      </c>
      <c r="J4704" s="12" t="str">
        <f>HYPERLINK("https://www.boe.es/gazeta/dias/1802/12/07/pdfs/GMD-D-1802-99.pdf#page=10","Abrir facsímil")</f>
        <v>Abrir facsímil</v>
      </c>
      <c r="K4704" s="15" t="s">
        <v>23</v>
      </c>
    </row>
    <row r="4705" spans="1:11" ht="42" customHeight="1">
      <c r="A4705" s="4" t="s">
        <v>11546</v>
      </c>
      <c r="B4705" s="5" t="s">
        <v>11547</v>
      </c>
      <c r="C4705" s="5" t="s">
        <v>42</v>
      </c>
      <c r="D4705" s="5" t="s">
        <v>43</v>
      </c>
      <c r="E4705" s="5" t="s">
        <v>44</v>
      </c>
      <c r="F4705" s="9">
        <v>99</v>
      </c>
      <c r="G4705" s="9" t="s">
        <v>322</v>
      </c>
      <c r="H4705" s="5" t="s">
        <v>21</v>
      </c>
      <c r="I4705" s="5" t="s">
        <v>11548</v>
      </c>
      <c r="J4705" s="12" t="str">
        <f>HYPERLINK("https://www.boe.es/gazeta/dias/1802/12/07/pdfs/GMD-D-1802-99.pdf#page=10","Abrir facsímil")</f>
        <v>Abrir facsímil</v>
      </c>
      <c r="K4705" s="15" t="s">
        <v>23</v>
      </c>
    </row>
    <row r="4706" spans="1:11" ht="42" customHeight="1">
      <c r="A4706" s="4" t="s">
        <v>11549</v>
      </c>
      <c r="B4706" s="5" t="s">
        <v>11550</v>
      </c>
      <c r="C4706" s="5" t="s">
        <v>55</v>
      </c>
      <c r="D4706" s="5" t="s">
        <v>56</v>
      </c>
      <c r="E4706" s="5" t="s">
        <v>170</v>
      </c>
      <c r="F4706" s="9">
        <v>28</v>
      </c>
      <c r="G4706" s="9">
        <v>331</v>
      </c>
      <c r="H4706" s="5" t="s">
        <v>21</v>
      </c>
      <c r="I4706" s="5" t="s">
        <v>11551</v>
      </c>
      <c r="J4706" s="12" t="str">
        <f>HYPERLINK("https://www.boe.es/gazeta/dias/1802/04/06/pdfs/GMD-1802-28.pdf#page=11","Abrir facsímil")</f>
        <v>Abrir facsímil</v>
      </c>
      <c r="K4706" s="15" t="s">
        <v>23</v>
      </c>
    </row>
    <row r="4707" spans="1:11" ht="42" customHeight="1">
      <c r="A4707" s="4" t="s">
        <v>11552</v>
      </c>
      <c r="B4707" s="5" t="s">
        <v>11552</v>
      </c>
      <c r="C4707" s="5" t="s">
        <v>160</v>
      </c>
      <c r="D4707" s="5" t="s">
        <v>91</v>
      </c>
      <c r="E4707" s="5" t="s">
        <v>167</v>
      </c>
      <c r="F4707" s="9">
        <v>23</v>
      </c>
      <c r="G4707" s="9">
        <v>263</v>
      </c>
      <c r="H4707" s="5" t="s">
        <v>21</v>
      </c>
      <c r="I4707" s="5" t="s">
        <v>11553</v>
      </c>
      <c r="J4707" s="12" t="str">
        <f>HYPERLINK("https://www.boe.es/gazeta/dias/1802/03/19/pdfs/GMD-1802-23.pdf#page=11","Abrir facsímil")</f>
        <v>Abrir facsímil</v>
      </c>
      <c r="K4707" s="15" t="s">
        <v>23</v>
      </c>
    </row>
    <row r="4708" spans="1:11" ht="42" customHeight="1">
      <c r="A4708" s="4" t="s">
        <v>11554</v>
      </c>
      <c r="B4708" s="5" t="s">
        <v>11554</v>
      </c>
      <c r="C4708" s="5" t="s">
        <v>18</v>
      </c>
      <c r="D4708" s="5" t="s">
        <v>19</v>
      </c>
      <c r="E4708" s="5" t="s">
        <v>49</v>
      </c>
      <c r="F4708" s="9">
        <v>83</v>
      </c>
      <c r="G4708" s="9">
        <v>1024</v>
      </c>
      <c r="H4708" s="5" t="s">
        <v>21</v>
      </c>
      <c r="I4708" s="5" t="s">
        <v>11555</v>
      </c>
      <c r="J4708" s="12" t="str">
        <f>HYPERLINK("https://www.boe.es/gazeta/dias/1802/10/12/pdfs/GMD-1802-83.pdf#page=12","Abrir facsímil")</f>
        <v>Abrir facsímil</v>
      </c>
      <c r="K4708" s="15" t="s">
        <v>23</v>
      </c>
    </row>
    <row r="4709" spans="1:11" ht="42" customHeight="1">
      <c r="A4709" s="4" t="s">
        <v>11554</v>
      </c>
      <c r="B4709" s="5" t="s">
        <v>11554</v>
      </c>
      <c r="C4709" s="5" t="s">
        <v>18</v>
      </c>
      <c r="D4709" s="5" t="s">
        <v>19</v>
      </c>
      <c r="E4709" s="5" t="s">
        <v>20</v>
      </c>
      <c r="F4709" s="9">
        <v>84</v>
      </c>
      <c r="G4709" s="9">
        <v>1042</v>
      </c>
      <c r="H4709" s="5" t="s">
        <v>21</v>
      </c>
      <c r="I4709" s="5" t="s">
        <v>11556</v>
      </c>
      <c r="J4709" s="12" t="str">
        <f>HYPERLINK("https://www.boe.es/gazeta/dias/1802/10/15/pdfs/GMD-1802-84.pdf#page=10","Abrir facsímil")</f>
        <v>Abrir facsímil</v>
      </c>
      <c r="K4709" s="15" t="s">
        <v>23</v>
      </c>
    </row>
    <row r="4710" spans="1:11" ht="42" customHeight="1">
      <c r="A4710" s="4" t="s">
        <v>11557</v>
      </c>
      <c r="B4710" s="5" t="s">
        <v>11557</v>
      </c>
      <c r="C4710" s="5" t="s">
        <v>29</v>
      </c>
      <c r="D4710" s="5" t="s">
        <v>30</v>
      </c>
      <c r="E4710" s="5" t="s">
        <v>92</v>
      </c>
      <c r="F4710" s="9">
        <v>29</v>
      </c>
      <c r="G4710" s="9">
        <v>343</v>
      </c>
      <c r="H4710" s="5" t="s">
        <v>21</v>
      </c>
      <c r="I4710" s="5" t="s">
        <v>11558</v>
      </c>
      <c r="J4710" s="12" t="str">
        <f>HYPERLINK("https://www.boe.es/gazeta/dias/1802/04/09/pdfs/GMD-1802-29.pdf#page=11","Abrir facsímil")</f>
        <v>Abrir facsímil</v>
      </c>
      <c r="K4710" s="15" t="s">
        <v>23</v>
      </c>
    </row>
    <row r="4711" spans="1:11" ht="42" customHeight="1">
      <c r="A4711" s="4" t="s">
        <v>11559</v>
      </c>
      <c r="B4711" s="5" t="s">
        <v>11559</v>
      </c>
      <c r="C4711" s="5" t="s">
        <v>42</v>
      </c>
      <c r="D4711" s="5" t="s">
        <v>43</v>
      </c>
      <c r="E4711" s="5" t="s">
        <v>44</v>
      </c>
      <c r="F4711" s="9">
        <v>99</v>
      </c>
      <c r="G4711" s="9" t="s">
        <v>548</v>
      </c>
      <c r="H4711" s="5" t="s">
        <v>21</v>
      </c>
      <c r="I4711" s="5" t="s">
        <v>11560</v>
      </c>
      <c r="J4711" s="12" t="str">
        <f>HYPERLINK("https://www.boe.es/gazeta/dias/1802/12/07/pdfs/GMD-D-1802-99.pdf#page=12","Abrir facsímil")</f>
        <v>Abrir facsímil</v>
      </c>
      <c r="K4711" s="15" t="s">
        <v>23</v>
      </c>
    </row>
    <row r="4712" spans="1:11" ht="42" customHeight="1">
      <c r="A4712" s="4" t="s">
        <v>11559</v>
      </c>
      <c r="B4712" s="5" t="s">
        <v>11559</v>
      </c>
      <c r="C4712" s="5" t="s">
        <v>42</v>
      </c>
      <c r="D4712" s="5" t="s">
        <v>43</v>
      </c>
      <c r="E4712" s="5" t="s">
        <v>44</v>
      </c>
      <c r="F4712" s="9">
        <v>99</v>
      </c>
      <c r="G4712" s="9" t="s">
        <v>45</v>
      </c>
      <c r="H4712" s="5" t="s">
        <v>21</v>
      </c>
      <c r="I4712" s="5" t="s">
        <v>11561</v>
      </c>
      <c r="J4712" s="12" t="str">
        <f>HYPERLINK("https://www.boe.es/gazeta/dias/1802/12/07/pdfs/GMD-D-1802-99.pdf#page=14","Abrir facsímil")</f>
        <v>Abrir facsímil</v>
      </c>
      <c r="K4712" s="15" t="s">
        <v>23</v>
      </c>
    </row>
    <row r="4713" spans="1:11" ht="42" customHeight="1">
      <c r="A4713" s="4" t="s">
        <v>11562</v>
      </c>
      <c r="B4713" s="5" t="s">
        <v>11562</v>
      </c>
      <c r="C4713" s="5" t="s">
        <v>42</v>
      </c>
      <c r="D4713" s="5" t="s">
        <v>43</v>
      </c>
      <c r="E4713" s="5" t="s">
        <v>44</v>
      </c>
      <c r="F4713" s="9">
        <v>99</v>
      </c>
      <c r="G4713" s="9" t="s">
        <v>544</v>
      </c>
      <c r="H4713" s="5" t="s">
        <v>21</v>
      </c>
      <c r="I4713" s="5" t="s">
        <v>11563</v>
      </c>
      <c r="J4713" s="12" t="str">
        <f>HYPERLINK("https://www.boe.es/gazeta/dias/1802/12/07/pdfs/GMD-D-1802-99.pdf#page=11","Abrir facsímil")</f>
        <v>Abrir facsímil</v>
      </c>
      <c r="K4713" s="15" t="s">
        <v>23</v>
      </c>
    </row>
    <row r="4714" spans="1:11" ht="42" customHeight="1">
      <c r="A4714" s="4" t="s">
        <v>11564</v>
      </c>
      <c r="B4714" s="5" t="s">
        <v>11564</v>
      </c>
      <c r="C4714" s="5" t="s">
        <v>42</v>
      </c>
      <c r="D4714" s="5" t="s">
        <v>43</v>
      </c>
      <c r="E4714" s="5" t="s">
        <v>44</v>
      </c>
      <c r="F4714" s="9">
        <v>99</v>
      </c>
      <c r="G4714" s="9" t="s">
        <v>251</v>
      </c>
      <c r="H4714" s="5" t="s">
        <v>21</v>
      </c>
      <c r="I4714" s="5" t="s">
        <v>11565</v>
      </c>
      <c r="J4714" s="12" t="str">
        <f>HYPERLINK("https://www.boe.es/gazeta/dias/1802/12/07/pdfs/GMD-D-1802-99.pdf#page=6","Abrir facsímil")</f>
        <v>Abrir facsímil</v>
      </c>
      <c r="K4714" s="15" t="s">
        <v>23</v>
      </c>
    </row>
    <row r="4715" spans="1:11" ht="42" customHeight="1">
      <c r="A4715" s="4" t="s">
        <v>11566</v>
      </c>
      <c r="B4715" s="5" t="s">
        <v>11566</v>
      </c>
      <c r="C4715" s="5" t="s">
        <v>90</v>
      </c>
      <c r="D4715" s="5" t="s">
        <v>91</v>
      </c>
      <c r="E4715" s="5" t="s">
        <v>1381</v>
      </c>
      <c r="F4715" s="9">
        <v>17</v>
      </c>
      <c r="G4715" s="9">
        <v>185</v>
      </c>
      <c r="H4715" s="5" t="s">
        <v>21</v>
      </c>
      <c r="I4715" s="5" t="s">
        <v>11567</v>
      </c>
      <c r="J4715" s="12" t="str">
        <f>HYPERLINK("https://www.boe.es/gazeta/dias/1802/02/26/pdfs/GMD-1802-17.pdf#page=9","Abrir facsímil")</f>
        <v>Abrir facsímil</v>
      </c>
      <c r="K4715" s="15" t="s">
        <v>23</v>
      </c>
    </row>
    <row r="4716" spans="1:11" ht="42" customHeight="1">
      <c r="A4716" s="4" t="s">
        <v>11568</v>
      </c>
      <c r="B4716" s="5" t="s">
        <v>11568</v>
      </c>
      <c r="C4716" s="5" t="s">
        <v>18</v>
      </c>
      <c r="D4716" s="5" t="s">
        <v>19</v>
      </c>
      <c r="E4716" s="5" t="s">
        <v>20</v>
      </c>
      <c r="F4716" s="9">
        <v>84</v>
      </c>
      <c r="G4716" s="9">
        <v>1043</v>
      </c>
      <c r="H4716" s="5" t="s">
        <v>21</v>
      </c>
      <c r="I4716" s="5" t="s">
        <v>11569</v>
      </c>
      <c r="J4716" s="12" t="str">
        <f>HYPERLINK("https://www.boe.es/gazeta/dias/1802/10/15/pdfs/GMD-1802-84.pdf#page=11","Abrir facsímil")</f>
        <v>Abrir facsímil</v>
      </c>
      <c r="K4716" s="15" t="s">
        <v>23</v>
      </c>
    </row>
    <row r="4717" spans="1:11" ht="42" customHeight="1">
      <c r="A4717" s="4" t="s">
        <v>11570</v>
      </c>
      <c r="B4717" s="5" t="s">
        <v>11570</v>
      </c>
      <c r="C4717" s="5" t="s">
        <v>18</v>
      </c>
      <c r="D4717" s="5" t="s">
        <v>19</v>
      </c>
      <c r="E4717" s="5" t="s">
        <v>1407</v>
      </c>
      <c r="F4717" s="9">
        <v>8</v>
      </c>
      <c r="G4717" s="9">
        <v>79</v>
      </c>
      <c r="H4717" s="5" t="s">
        <v>21</v>
      </c>
      <c r="I4717" s="5" t="s">
        <v>11571</v>
      </c>
      <c r="J4717" s="12" t="str">
        <f>HYPERLINK("https://www.boe.es/gazeta/dias/1802/01/26/pdfs/GMD-1802-8.pdf#page=7","Abrir facsímil")</f>
        <v>Abrir facsímil</v>
      </c>
      <c r="K4717" s="15" t="s">
        <v>23</v>
      </c>
    </row>
    <row r="4718" spans="1:11" ht="42" customHeight="1">
      <c r="A4718" s="4" t="s">
        <v>11572</v>
      </c>
      <c r="B4718" s="5" t="s">
        <v>11572</v>
      </c>
      <c r="C4718" s="5" t="s">
        <v>18</v>
      </c>
      <c r="D4718" s="5" t="s">
        <v>19</v>
      </c>
      <c r="E4718" s="5" t="s">
        <v>1407</v>
      </c>
      <c r="F4718" s="9">
        <v>8</v>
      </c>
      <c r="G4718" s="9">
        <v>79</v>
      </c>
      <c r="H4718" s="5" t="s">
        <v>21</v>
      </c>
      <c r="I4718" s="5" t="s">
        <v>11573</v>
      </c>
      <c r="J4718" s="12" t="str">
        <f>HYPERLINK("https://www.boe.es/gazeta/dias/1802/01/26/pdfs/GMD-1802-8.pdf#page=7","Abrir facsímil")</f>
        <v>Abrir facsímil</v>
      </c>
      <c r="K4718" s="15" t="s">
        <v>23</v>
      </c>
    </row>
    <row r="4719" spans="1:11" ht="42" customHeight="1">
      <c r="A4719" s="4" t="s">
        <v>11574</v>
      </c>
      <c r="B4719" s="5" t="s">
        <v>11574</v>
      </c>
      <c r="C4719" s="5" t="s">
        <v>29</v>
      </c>
      <c r="D4719" s="5" t="s">
        <v>30</v>
      </c>
      <c r="E4719" s="5" t="s">
        <v>102</v>
      </c>
      <c r="F4719" s="9">
        <v>73</v>
      </c>
      <c r="G4719" s="9">
        <v>901</v>
      </c>
      <c r="H4719" s="5" t="s">
        <v>21</v>
      </c>
      <c r="I4719" s="5" t="s">
        <v>11575</v>
      </c>
      <c r="J4719" s="12" t="str">
        <f>HYPERLINK("https://www.boe.es/gazeta/dias/1802/09/07/pdfs/GMD-1802-73.pdf#page=9","Abrir facsímil")</f>
        <v>Abrir facsímil</v>
      </c>
      <c r="K4719" s="15" t="s">
        <v>23</v>
      </c>
    </row>
    <row r="4720" spans="1:11" ht="42" customHeight="1">
      <c r="A4720" s="4" t="s">
        <v>11576</v>
      </c>
      <c r="B4720" s="5" t="s">
        <v>11576</v>
      </c>
      <c r="C4720" s="5" t="s">
        <v>160</v>
      </c>
      <c r="D4720" s="5" t="s">
        <v>91</v>
      </c>
      <c r="E4720" s="5" t="s">
        <v>907</v>
      </c>
      <c r="F4720" s="9">
        <v>77</v>
      </c>
      <c r="G4720" s="9">
        <v>950</v>
      </c>
      <c r="H4720" s="5" t="s">
        <v>21</v>
      </c>
      <c r="I4720" s="5" t="s">
        <v>11577</v>
      </c>
      <c r="J4720" s="12" t="str">
        <f>HYPERLINK("https://www.boe.es/gazeta/dias/1802/09/21/pdfs/GMD-1802-77.pdf#page=10","Abrir facsímil")</f>
        <v>Abrir facsímil</v>
      </c>
      <c r="K4720" s="15" t="s">
        <v>23</v>
      </c>
    </row>
    <row r="4721" spans="1:11" ht="42" customHeight="1">
      <c r="A4721" s="4" t="s">
        <v>11578</v>
      </c>
      <c r="B4721" s="5" t="s">
        <v>11579</v>
      </c>
      <c r="C4721" s="5" t="s">
        <v>18</v>
      </c>
      <c r="D4721" s="5" t="s">
        <v>19</v>
      </c>
      <c r="E4721" s="5" t="s">
        <v>49</v>
      </c>
      <c r="F4721" s="9">
        <v>83</v>
      </c>
      <c r="G4721" s="9">
        <v>1024</v>
      </c>
      <c r="H4721" s="5" t="s">
        <v>21</v>
      </c>
      <c r="I4721" s="5" t="s">
        <v>11580</v>
      </c>
      <c r="J4721" s="12" t="str">
        <f>HYPERLINK("https://www.boe.es/gazeta/dias/1802/10/12/pdfs/GMD-1802-83.pdf#page=12","Abrir facsímil")</f>
        <v>Abrir facsímil</v>
      </c>
      <c r="K4721" s="15" t="s">
        <v>23</v>
      </c>
    </row>
    <row r="4722" spans="1:11" ht="42" customHeight="1">
      <c r="A4722" s="4" t="s">
        <v>11581</v>
      </c>
      <c r="B4722" s="5" t="s">
        <v>11582</v>
      </c>
      <c r="C4722" s="5" t="s">
        <v>29</v>
      </c>
      <c r="D4722" s="5" t="s">
        <v>30</v>
      </c>
      <c r="E4722" s="5" t="s">
        <v>655</v>
      </c>
      <c r="F4722" s="9">
        <v>46</v>
      </c>
      <c r="G4722" s="9">
        <v>558</v>
      </c>
      <c r="H4722" s="5" t="s">
        <v>21</v>
      </c>
      <c r="I4722" s="5" t="s">
        <v>11583</v>
      </c>
      <c r="J4722" s="12" t="str">
        <f>HYPERLINK("https://www.boe.es/gazeta/dias/1802/06/08/pdfs/GMD-1802-46.pdf#page=10","Abrir facsímil")</f>
        <v>Abrir facsímil</v>
      </c>
      <c r="K4722" s="15" t="s">
        <v>23</v>
      </c>
    </row>
    <row r="4723" spans="1:11" ht="42" customHeight="1">
      <c r="A4723" s="4" t="s">
        <v>11584</v>
      </c>
      <c r="B4723" s="5" t="s">
        <v>11585</v>
      </c>
      <c r="C4723" s="5" t="s">
        <v>29</v>
      </c>
      <c r="D4723" s="5" t="s">
        <v>30</v>
      </c>
      <c r="E4723" s="5" t="s">
        <v>167</v>
      </c>
      <c r="F4723" s="9">
        <v>23</v>
      </c>
      <c r="G4723" s="9">
        <v>259</v>
      </c>
      <c r="H4723" s="5" t="s">
        <v>21</v>
      </c>
      <c r="I4723" s="5" t="s">
        <v>11586</v>
      </c>
      <c r="J4723" s="12" t="str">
        <f>HYPERLINK("https://www.boe.es/gazeta/dias/1802/03/19/pdfs/GMD-1802-23.pdf#page=7","Abrir facsímil")</f>
        <v>Abrir facsímil</v>
      </c>
      <c r="K4723" s="15" t="s">
        <v>23</v>
      </c>
    </row>
    <row r="4724" spans="1:11" ht="42" customHeight="1">
      <c r="A4724" s="4" t="s">
        <v>11584</v>
      </c>
      <c r="B4724" s="5" t="s">
        <v>11585</v>
      </c>
      <c r="C4724" s="5" t="s">
        <v>29</v>
      </c>
      <c r="D4724" s="5" t="s">
        <v>30</v>
      </c>
      <c r="E4724" s="5" t="s">
        <v>1051</v>
      </c>
      <c r="F4724" s="9">
        <v>43</v>
      </c>
      <c r="G4724" s="9">
        <v>518</v>
      </c>
      <c r="H4724" s="5" t="s">
        <v>21</v>
      </c>
      <c r="I4724" s="5" t="s">
        <v>11587</v>
      </c>
      <c r="J4724" s="12" t="str">
        <f>HYPERLINK("https://www.boe.es/gazeta/dias/1802/05/28/pdfs/GMD-1802-43.pdf#page=10","Abrir facsímil")</f>
        <v>Abrir facsímil</v>
      </c>
      <c r="K4724" s="15" t="s">
        <v>23</v>
      </c>
    </row>
    <row r="4725" spans="1:11" ht="42" customHeight="1">
      <c r="A4725" s="4" t="s">
        <v>11588</v>
      </c>
      <c r="B4725" s="5" t="s">
        <v>11589</v>
      </c>
      <c r="C4725" s="5" t="s">
        <v>29</v>
      </c>
      <c r="D4725" s="5" t="s">
        <v>30</v>
      </c>
      <c r="E4725" s="5" t="s">
        <v>181</v>
      </c>
      <c r="F4725" s="9">
        <v>55</v>
      </c>
      <c r="G4725" s="9">
        <v>668</v>
      </c>
      <c r="H4725" s="5" t="s">
        <v>21</v>
      </c>
      <c r="I4725" s="5" t="s">
        <v>11590</v>
      </c>
      <c r="J4725" s="12" t="str">
        <f>HYPERLINK("https://www.boe.es/gazeta/dias/1802/07/09/pdfs/GMD-1802-55.pdf#page=12","Abrir facsímil")</f>
        <v>Abrir facsímil</v>
      </c>
      <c r="K4725" s="15" t="s">
        <v>23</v>
      </c>
    </row>
    <row r="4726" spans="1:11" ht="42" customHeight="1">
      <c r="A4726" s="4" t="s">
        <v>11591</v>
      </c>
      <c r="B4726" s="5" t="s">
        <v>11592</v>
      </c>
      <c r="C4726" s="5" t="s">
        <v>18</v>
      </c>
      <c r="D4726" s="5" t="s">
        <v>19</v>
      </c>
      <c r="E4726" s="5" t="s">
        <v>152</v>
      </c>
      <c r="F4726" s="9">
        <v>25</v>
      </c>
      <c r="G4726" s="9">
        <v>284</v>
      </c>
      <c r="H4726" s="5" t="s">
        <v>21</v>
      </c>
      <c r="I4726" s="5" t="s">
        <v>11593</v>
      </c>
      <c r="J4726" s="12" t="str">
        <f>HYPERLINK("https://www.boe.es/gazeta/dias/1802/03/26/pdfs/GMD-1802-25.pdf#page=8","Abrir facsímil")</f>
        <v>Abrir facsímil</v>
      </c>
      <c r="K4726" s="15" t="s">
        <v>23</v>
      </c>
    </row>
    <row r="4727" spans="1:11" ht="42" customHeight="1">
      <c r="A4727" s="4" t="s">
        <v>11594</v>
      </c>
      <c r="B4727" s="5" t="s">
        <v>11595</v>
      </c>
      <c r="C4727" s="5" t="s">
        <v>29</v>
      </c>
      <c r="D4727" s="5" t="s">
        <v>30</v>
      </c>
      <c r="E4727" s="5" t="s">
        <v>172</v>
      </c>
      <c r="F4727" s="9">
        <v>35</v>
      </c>
      <c r="G4727" s="9">
        <v>413</v>
      </c>
      <c r="H4727" s="5" t="s">
        <v>21</v>
      </c>
      <c r="I4727" s="5" t="s">
        <v>11596</v>
      </c>
      <c r="J4727" s="12" t="str">
        <f>HYPERLINK("https://www.boe.es/gazeta/dias/1802/04/30/pdfs/GMD-1802-35.pdf#page=13","Abrir facsímil")</f>
        <v>Abrir facsímil</v>
      </c>
      <c r="K4727" s="15" t="s">
        <v>23</v>
      </c>
    </row>
    <row r="4728" spans="1:11" ht="42" customHeight="1">
      <c r="A4728" s="4" t="s">
        <v>11597</v>
      </c>
      <c r="B4728" s="5" t="s">
        <v>11598</v>
      </c>
      <c r="C4728" s="5" t="s">
        <v>18</v>
      </c>
      <c r="D4728" s="5" t="s">
        <v>19</v>
      </c>
      <c r="E4728" s="5" t="s">
        <v>49</v>
      </c>
      <c r="F4728" s="9">
        <v>83</v>
      </c>
      <c r="G4728" s="9">
        <v>1024</v>
      </c>
      <c r="H4728" s="5" t="s">
        <v>21</v>
      </c>
      <c r="I4728" s="5" t="s">
        <v>11599</v>
      </c>
      <c r="J4728" s="12" t="str">
        <f>HYPERLINK("https://www.boe.es/gazeta/dias/1802/10/12/pdfs/GMD-1802-83.pdf#page=12","Abrir facsímil")</f>
        <v>Abrir facsímil</v>
      </c>
      <c r="K4728" s="15" t="s">
        <v>23</v>
      </c>
    </row>
    <row r="4729" spans="1:11" ht="42" customHeight="1">
      <c r="A4729" s="4" t="s">
        <v>11600</v>
      </c>
      <c r="B4729" s="5" t="s">
        <v>11600</v>
      </c>
      <c r="C4729" s="5" t="s">
        <v>42</v>
      </c>
      <c r="D4729" s="5" t="s">
        <v>43</v>
      </c>
      <c r="E4729" s="5" t="s">
        <v>44</v>
      </c>
      <c r="F4729" s="9">
        <v>99</v>
      </c>
      <c r="G4729" s="9" t="s">
        <v>222</v>
      </c>
      <c r="H4729" s="5" t="s">
        <v>21</v>
      </c>
      <c r="I4729" s="5" t="s">
        <v>11601</v>
      </c>
      <c r="J4729" s="12" t="str">
        <f>HYPERLINK("https://www.boe.es/gazeta/dias/1802/12/07/pdfs/GMD-D-1802-99.pdf#page=5","Abrir facsímil")</f>
        <v>Abrir facsímil</v>
      </c>
      <c r="K4729" s="15" t="s">
        <v>23</v>
      </c>
    </row>
    <row r="4730" spans="1:11" ht="42" customHeight="1">
      <c r="A4730" s="4" t="s">
        <v>11602</v>
      </c>
      <c r="B4730" s="5" t="s">
        <v>11602</v>
      </c>
      <c r="C4730" s="5" t="s">
        <v>18</v>
      </c>
      <c r="D4730" s="5" t="s">
        <v>19</v>
      </c>
      <c r="E4730" s="5" t="s">
        <v>20</v>
      </c>
      <c r="F4730" s="9">
        <v>84</v>
      </c>
      <c r="G4730" s="9">
        <v>1043</v>
      </c>
      <c r="H4730" s="5" t="s">
        <v>21</v>
      </c>
      <c r="I4730" s="5" t="s">
        <v>11603</v>
      </c>
      <c r="J4730" s="12" t="str">
        <f>HYPERLINK("https://www.boe.es/gazeta/dias/1802/10/15/pdfs/GMD-1802-84.pdf#page=11","Abrir facsímil")</f>
        <v>Abrir facsímil</v>
      </c>
      <c r="K4730" s="15" t="s">
        <v>23</v>
      </c>
    </row>
    <row r="4731" spans="1:11" ht="42" customHeight="1">
      <c r="A4731" s="4" t="s">
        <v>11604</v>
      </c>
      <c r="B4731" s="5" t="s">
        <v>11604</v>
      </c>
      <c r="C4731" s="5" t="s">
        <v>90</v>
      </c>
      <c r="D4731" s="5" t="s">
        <v>91</v>
      </c>
      <c r="E4731" s="5" t="s">
        <v>530</v>
      </c>
      <c r="F4731" s="9">
        <v>48</v>
      </c>
      <c r="G4731" s="9">
        <v>586</v>
      </c>
      <c r="H4731" s="5" t="s">
        <v>21</v>
      </c>
      <c r="I4731" s="5" t="s">
        <v>11605</v>
      </c>
      <c r="J4731" s="12" t="str">
        <f>HYPERLINK("https://www.boe.es/gazeta/dias/1802/06/15/pdfs/GMD-1802-48.pdf#page=10","Abrir facsímil")</f>
        <v>Abrir facsímil</v>
      </c>
      <c r="K4731" s="15" t="s">
        <v>23</v>
      </c>
    </row>
    <row r="4732" spans="1:11" ht="42" customHeight="1">
      <c r="A4732" s="4" t="s">
        <v>11606</v>
      </c>
      <c r="B4732" s="5" t="s">
        <v>11606</v>
      </c>
      <c r="C4732" s="5" t="s">
        <v>35</v>
      </c>
      <c r="D4732" s="5" t="s">
        <v>36</v>
      </c>
      <c r="E4732" s="5" t="s">
        <v>611</v>
      </c>
      <c r="F4732" s="9">
        <v>68</v>
      </c>
      <c r="G4732" s="9">
        <v>832</v>
      </c>
      <c r="H4732" s="5" t="s">
        <v>21</v>
      </c>
      <c r="I4732" s="5" t="s">
        <v>11607</v>
      </c>
      <c r="J4732" s="12" t="str">
        <f>HYPERLINK("https://www.boe.es/gazeta/dias/1802/08/20/pdfs/GMD-1802-68.pdf#page=8","Abrir facsímil")</f>
        <v>Abrir facsímil</v>
      </c>
      <c r="K4732" s="15" t="s">
        <v>23</v>
      </c>
    </row>
    <row r="4733" spans="1:11" ht="42" customHeight="1">
      <c r="A4733" s="4" t="s">
        <v>11608</v>
      </c>
      <c r="B4733" s="5" t="s">
        <v>11608</v>
      </c>
      <c r="C4733" s="5" t="s">
        <v>42</v>
      </c>
      <c r="D4733" s="5" t="s">
        <v>43</v>
      </c>
      <c r="E4733" s="5" t="s">
        <v>44</v>
      </c>
      <c r="F4733" s="9">
        <v>99</v>
      </c>
      <c r="G4733" s="9" t="s">
        <v>251</v>
      </c>
      <c r="H4733" s="5" t="s">
        <v>21</v>
      </c>
      <c r="I4733" s="5" t="s">
        <v>11609</v>
      </c>
      <c r="J4733" s="12" t="str">
        <f>HYPERLINK("https://www.boe.es/gazeta/dias/1802/12/07/pdfs/GMD-D-1802-99.pdf#page=6","Abrir facsímil")</f>
        <v>Abrir facsímil</v>
      </c>
      <c r="K4733" s="15" t="s">
        <v>23</v>
      </c>
    </row>
    <row r="4734" spans="1:11" ht="42" customHeight="1">
      <c r="A4734" s="4" t="s">
        <v>11610</v>
      </c>
      <c r="B4734" s="5" t="s">
        <v>11610</v>
      </c>
      <c r="C4734" s="5" t="s">
        <v>29</v>
      </c>
      <c r="D4734" s="5" t="s">
        <v>30</v>
      </c>
      <c r="E4734" s="5" t="s">
        <v>219</v>
      </c>
      <c r="F4734" s="9">
        <v>81</v>
      </c>
      <c r="G4734" s="9">
        <v>999</v>
      </c>
      <c r="H4734" s="5" t="s">
        <v>21</v>
      </c>
      <c r="I4734" s="5" t="s">
        <v>11611</v>
      </c>
      <c r="J4734" s="12" t="str">
        <f>HYPERLINK("https://www.boe.es/gazeta/dias/1802/10/05/pdfs/GMD-1802-81.pdf#page=11","Abrir facsímil")</f>
        <v>Abrir facsímil</v>
      </c>
      <c r="K4734" s="15" t="s">
        <v>23</v>
      </c>
    </row>
    <row r="4735" spans="1:11" ht="42" customHeight="1">
      <c r="A4735" s="4" t="s">
        <v>11612</v>
      </c>
      <c r="B4735" s="5" t="s">
        <v>11612</v>
      </c>
      <c r="C4735" s="5" t="s">
        <v>160</v>
      </c>
      <c r="D4735" s="5" t="s">
        <v>91</v>
      </c>
      <c r="E4735" s="5" t="s">
        <v>20</v>
      </c>
      <c r="F4735" s="9">
        <v>84</v>
      </c>
      <c r="G4735" s="9">
        <v>1042</v>
      </c>
      <c r="H4735" s="5" t="s">
        <v>21</v>
      </c>
      <c r="I4735" s="5" t="s">
        <v>11613</v>
      </c>
      <c r="J4735" s="12" t="str">
        <f>HYPERLINK("https://www.boe.es/gazeta/dias/1802/10/15/pdfs/GMD-1802-84.pdf#page=10","Abrir facsímil")</f>
        <v>Abrir facsímil</v>
      </c>
      <c r="K4735" s="15" t="s">
        <v>23</v>
      </c>
    </row>
    <row r="4736" spans="1:11" ht="42" customHeight="1">
      <c r="A4736" s="4" t="s">
        <v>11614</v>
      </c>
      <c r="B4736" s="5" t="s">
        <v>11614</v>
      </c>
      <c r="C4736" s="5" t="s">
        <v>18</v>
      </c>
      <c r="D4736" s="5" t="s">
        <v>19</v>
      </c>
      <c r="E4736" s="5" t="s">
        <v>49</v>
      </c>
      <c r="F4736" s="9">
        <v>83</v>
      </c>
      <c r="G4736" s="9">
        <v>1022</v>
      </c>
      <c r="H4736" s="5" t="s">
        <v>21</v>
      </c>
      <c r="I4736" s="5" t="s">
        <v>11615</v>
      </c>
      <c r="J4736" s="12" t="str">
        <f>HYPERLINK("https://www.boe.es/gazeta/dias/1802/10/12/pdfs/GMD-1802-83.pdf#page=10","Abrir facsímil")</f>
        <v>Abrir facsímil</v>
      </c>
      <c r="K4736" s="15" t="s">
        <v>23</v>
      </c>
    </row>
    <row r="4737" spans="1:11" ht="42" customHeight="1">
      <c r="A4737" s="4" t="s">
        <v>11616</v>
      </c>
      <c r="B4737" s="5" t="s">
        <v>11617</v>
      </c>
      <c r="C4737" s="5" t="s">
        <v>18</v>
      </c>
      <c r="D4737" s="5" t="s">
        <v>19</v>
      </c>
      <c r="E4737" s="5" t="s">
        <v>1381</v>
      </c>
      <c r="F4737" s="9">
        <v>17</v>
      </c>
      <c r="G4737" s="9">
        <v>184</v>
      </c>
      <c r="H4737" s="5" t="s">
        <v>21</v>
      </c>
      <c r="I4737" s="5" t="s">
        <v>11618</v>
      </c>
      <c r="J4737" s="12" t="str">
        <f>HYPERLINK("https://www.boe.es/gazeta/dias/1802/02/26/pdfs/GMD-1802-17.pdf#page=8","Abrir facsímil")</f>
        <v>Abrir facsímil</v>
      </c>
      <c r="K4737" s="15" t="s">
        <v>23</v>
      </c>
    </row>
    <row r="4738" spans="1:11" ht="42" customHeight="1">
      <c r="A4738" s="4" t="s">
        <v>11619</v>
      </c>
      <c r="B4738" s="5" t="s">
        <v>11620</v>
      </c>
      <c r="C4738" s="5" t="s">
        <v>18</v>
      </c>
      <c r="D4738" s="5" t="s">
        <v>19</v>
      </c>
      <c r="E4738" s="5" t="s">
        <v>49</v>
      </c>
      <c r="F4738" s="9">
        <v>83</v>
      </c>
      <c r="G4738" s="9">
        <v>1024</v>
      </c>
      <c r="H4738" s="5" t="s">
        <v>21</v>
      </c>
      <c r="I4738" s="5" t="s">
        <v>11621</v>
      </c>
      <c r="J4738" s="12" t="str">
        <f>HYPERLINK("https://www.boe.es/gazeta/dias/1802/10/12/pdfs/GMD-1802-83.pdf#page=12","Abrir facsímil")</f>
        <v>Abrir facsímil</v>
      </c>
      <c r="K4738" s="15" t="s">
        <v>23</v>
      </c>
    </row>
    <row r="4739" spans="1:11" ht="42" customHeight="1">
      <c r="A4739" s="4" t="s">
        <v>11622</v>
      </c>
      <c r="B4739" s="5" t="s">
        <v>11623</v>
      </c>
      <c r="C4739" s="5" t="s">
        <v>29</v>
      </c>
      <c r="D4739" s="5" t="s">
        <v>30</v>
      </c>
      <c r="E4739" s="5" t="s">
        <v>49</v>
      </c>
      <c r="F4739" s="9">
        <v>83</v>
      </c>
      <c r="G4739" s="9">
        <v>1021</v>
      </c>
      <c r="H4739" s="5" t="s">
        <v>21</v>
      </c>
      <c r="I4739" s="5" t="s">
        <v>11624</v>
      </c>
      <c r="J4739" s="12" t="str">
        <f>HYPERLINK("https://www.boe.es/gazeta/dias/1802/10/12/pdfs/GMD-1802-83.pdf#page=9","Abrir facsímil")</f>
        <v>Abrir facsímil</v>
      </c>
      <c r="K4739" s="15" t="s">
        <v>23</v>
      </c>
    </row>
    <row r="4740" spans="1:11" ht="42" customHeight="1">
      <c r="A4740" s="4" t="s">
        <v>11625</v>
      </c>
      <c r="B4740" s="5" t="s">
        <v>11626</v>
      </c>
      <c r="C4740" s="5" t="s">
        <v>18</v>
      </c>
      <c r="D4740" s="5" t="s">
        <v>19</v>
      </c>
      <c r="E4740" s="5" t="s">
        <v>49</v>
      </c>
      <c r="F4740" s="9">
        <v>83</v>
      </c>
      <c r="G4740" s="9">
        <v>1024</v>
      </c>
      <c r="H4740" s="5" t="s">
        <v>21</v>
      </c>
      <c r="I4740" s="5" t="s">
        <v>11627</v>
      </c>
      <c r="J4740" s="12" t="str">
        <f>HYPERLINK("https://www.boe.es/gazeta/dias/1802/10/12/pdfs/GMD-1802-83.pdf#page=12","Abrir facsímil")</f>
        <v>Abrir facsímil</v>
      </c>
      <c r="K4740" s="15" t="s">
        <v>23</v>
      </c>
    </row>
    <row r="4741" spans="1:11" ht="42" customHeight="1">
      <c r="A4741" s="4" t="s">
        <v>11628</v>
      </c>
      <c r="B4741" s="5" t="s">
        <v>11628</v>
      </c>
      <c r="C4741" s="5" t="s">
        <v>18</v>
      </c>
      <c r="D4741" s="5" t="s">
        <v>19</v>
      </c>
      <c r="E4741" s="5" t="s">
        <v>82</v>
      </c>
      <c r="F4741" s="9">
        <v>74</v>
      </c>
      <c r="G4741" s="9">
        <v>912</v>
      </c>
      <c r="H4741" s="5" t="s">
        <v>21</v>
      </c>
      <c r="I4741" s="5" t="s">
        <v>11629</v>
      </c>
      <c r="J4741" s="12" t="str">
        <f>HYPERLINK("https://www.boe.es/gazeta/dias/1802/09/10/pdfs/GMD-1802-74.pdf#page=8","Abrir facsímil")</f>
        <v>Abrir facsímil</v>
      </c>
      <c r="K4741" s="15" t="s">
        <v>23</v>
      </c>
    </row>
    <row r="4742" spans="1:11" ht="42" customHeight="1">
      <c r="A4742" s="4" t="s">
        <v>11630</v>
      </c>
      <c r="B4742" s="5" t="s">
        <v>11630</v>
      </c>
      <c r="C4742" s="5" t="s">
        <v>18</v>
      </c>
      <c r="D4742" s="5" t="s">
        <v>19</v>
      </c>
      <c r="E4742" s="5" t="s">
        <v>710</v>
      </c>
      <c r="F4742" s="9">
        <v>85</v>
      </c>
      <c r="G4742" s="9">
        <v>1055</v>
      </c>
      <c r="H4742" s="5" t="s">
        <v>21</v>
      </c>
      <c r="I4742" s="5" t="s">
        <v>11631</v>
      </c>
      <c r="J4742" s="12" t="str">
        <f>HYPERLINK("https://www.boe.es/gazeta/dias/1802/10/19/pdfs/GMD-1802-85.pdf#page=7","Abrir facsímil")</f>
        <v>Abrir facsímil</v>
      </c>
      <c r="K4742" s="15" t="s">
        <v>23</v>
      </c>
    </row>
    <row r="4743" spans="1:11" ht="42" customHeight="1">
      <c r="A4743" s="4" t="s">
        <v>11632</v>
      </c>
      <c r="B4743" s="5" t="s">
        <v>11633</v>
      </c>
      <c r="C4743" s="5" t="s">
        <v>18</v>
      </c>
      <c r="D4743" s="5" t="s">
        <v>19</v>
      </c>
      <c r="E4743" s="5" t="s">
        <v>146</v>
      </c>
      <c r="F4743" s="9">
        <v>42</v>
      </c>
      <c r="G4743" s="9">
        <v>508</v>
      </c>
      <c r="H4743" s="5" t="s">
        <v>21</v>
      </c>
      <c r="I4743" s="5" t="s">
        <v>11634</v>
      </c>
      <c r="J4743" s="12" t="str">
        <f>HYPERLINK("https://www.boe.es/gazeta/dias/1802/05/25/pdfs/GMD-1802-42.pdf#page=12","Abrir facsímil")</f>
        <v>Abrir facsímil</v>
      </c>
      <c r="K4743" s="15" t="s">
        <v>23</v>
      </c>
    </row>
    <row r="4744" spans="1:11" ht="42" customHeight="1">
      <c r="A4744" s="4" t="s">
        <v>11635</v>
      </c>
      <c r="B4744" s="5" t="s">
        <v>11635</v>
      </c>
      <c r="C4744" s="5" t="s">
        <v>35</v>
      </c>
      <c r="D4744" s="5" t="s">
        <v>36</v>
      </c>
      <c r="E4744" s="5" t="s">
        <v>865</v>
      </c>
      <c r="F4744" s="9">
        <v>12</v>
      </c>
      <c r="G4744" s="9">
        <v>119</v>
      </c>
      <c r="H4744" s="5" t="s">
        <v>21</v>
      </c>
      <c r="I4744" s="5" t="s">
        <v>11636</v>
      </c>
      <c r="J4744" s="12" t="str">
        <f>HYPERLINK("https://www.boe.es/gazeta/dias/1802/02/09/pdfs/GMD-1802-12.pdf#page=3","Abrir facsímil")</f>
        <v>Abrir facsímil</v>
      </c>
      <c r="K4744" s="15" t="s">
        <v>23</v>
      </c>
    </row>
    <row r="4745" spans="1:11" ht="42" customHeight="1">
      <c r="A4745" s="4" t="s">
        <v>11637</v>
      </c>
      <c r="B4745" s="5" t="s">
        <v>11637</v>
      </c>
      <c r="C4745" s="5" t="s">
        <v>18</v>
      </c>
      <c r="D4745" s="5" t="s">
        <v>19</v>
      </c>
      <c r="E4745" s="5" t="s">
        <v>170</v>
      </c>
      <c r="F4745" s="9">
        <v>28</v>
      </c>
      <c r="G4745" s="9">
        <v>325</v>
      </c>
      <c r="H4745" s="5" t="s">
        <v>21</v>
      </c>
      <c r="I4745" s="5" t="s">
        <v>11638</v>
      </c>
      <c r="J4745" s="12" t="str">
        <f>HYPERLINK("https://www.boe.es/gazeta/dias/1802/04/06/pdfs/GMD-1802-28.pdf#page=5","Abrir facsímil")</f>
        <v>Abrir facsímil</v>
      </c>
      <c r="K4745" s="15" t="s">
        <v>23</v>
      </c>
    </row>
    <row r="4746" spans="1:11" ht="42" customHeight="1">
      <c r="A4746" s="4" t="s">
        <v>11637</v>
      </c>
      <c r="B4746" s="5" t="s">
        <v>11637</v>
      </c>
      <c r="C4746" s="5" t="s">
        <v>18</v>
      </c>
      <c r="D4746" s="5" t="s">
        <v>19</v>
      </c>
      <c r="E4746" s="5" t="s">
        <v>1749</v>
      </c>
      <c r="F4746" s="9">
        <v>60</v>
      </c>
      <c r="G4746" s="9">
        <v>725</v>
      </c>
      <c r="H4746" s="5" t="s">
        <v>21</v>
      </c>
      <c r="I4746" s="5" t="s">
        <v>11639</v>
      </c>
      <c r="J4746" s="12" t="str">
        <f>HYPERLINK("https://www.boe.es/gazeta/dias/1802/07/23/pdfs/GMD-1802-60.pdf#page=9","Abrir facsímil")</f>
        <v>Abrir facsímil</v>
      </c>
      <c r="K4746" s="15" t="s">
        <v>23</v>
      </c>
    </row>
    <row r="4747" spans="1:11" ht="42" customHeight="1">
      <c r="A4747" s="4" t="s">
        <v>11640</v>
      </c>
      <c r="B4747" s="5" t="s">
        <v>11641</v>
      </c>
      <c r="C4747" s="5" t="s">
        <v>18</v>
      </c>
      <c r="D4747" s="5" t="s">
        <v>19</v>
      </c>
      <c r="E4747" s="5" t="s">
        <v>20</v>
      </c>
      <c r="F4747" s="9">
        <v>84</v>
      </c>
      <c r="G4747" s="9">
        <v>1043</v>
      </c>
      <c r="H4747" s="5" t="s">
        <v>21</v>
      </c>
      <c r="I4747" s="5" t="s">
        <v>11642</v>
      </c>
      <c r="J4747" s="12" t="str">
        <f>HYPERLINK("https://www.boe.es/gazeta/dias/1802/10/15/pdfs/GMD-1802-84.pdf#page=11","Abrir facsímil")</f>
        <v>Abrir facsímil</v>
      </c>
      <c r="K4747" s="15" t="s">
        <v>23</v>
      </c>
    </row>
    <row r="4748" spans="1:11" ht="42" customHeight="1">
      <c r="A4748" s="4" t="s">
        <v>11643</v>
      </c>
      <c r="B4748" s="5" t="s">
        <v>11643</v>
      </c>
      <c r="C4748" s="5" t="s">
        <v>18</v>
      </c>
      <c r="D4748" s="5" t="s">
        <v>19</v>
      </c>
      <c r="E4748" s="5" t="s">
        <v>219</v>
      </c>
      <c r="F4748" s="9">
        <v>81</v>
      </c>
      <c r="G4748" s="9">
        <v>999</v>
      </c>
      <c r="H4748" s="5" t="s">
        <v>21</v>
      </c>
      <c r="I4748" s="5" t="s">
        <v>11644</v>
      </c>
      <c r="J4748" s="12" t="str">
        <f>HYPERLINK("https://www.boe.es/gazeta/dias/1802/10/05/pdfs/GMD-1802-81.pdf#page=11","Abrir facsímil")</f>
        <v>Abrir facsímil</v>
      </c>
      <c r="K4748" s="15" t="s">
        <v>23</v>
      </c>
    </row>
    <row r="4749" spans="1:11" ht="42" customHeight="1">
      <c r="A4749" s="4" t="s">
        <v>11645</v>
      </c>
      <c r="B4749" s="5" t="s">
        <v>11646</v>
      </c>
      <c r="C4749" s="5" t="s">
        <v>35</v>
      </c>
      <c r="D4749" s="5" t="s">
        <v>36</v>
      </c>
      <c r="E4749" s="5" t="s">
        <v>385</v>
      </c>
      <c r="F4749" s="9">
        <v>70</v>
      </c>
      <c r="G4749" s="9">
        <v>854</v>
      </c>
      <c r="H4749" s="5" t="s">
        <v>21</v>
      </c>
      <c r="I4749" s="5" t="s">
        <v>11647</v>
      </c>
      <c r="J4749" s="12" t="str">
        <f>HYPERLINK("https://www.boe.es/gazeta/dias/1802/08/27/pdfs/GMD-1802-70.pdf#page=2","Abrir facsímil")</f>
        <v>Abrir facsímil</v>
      </c>
      <c r="K4749" s="15" t="s">
        <v>23</v>
      </c>
    </row>
    <row r="4750" spans="1:11" ht="42" customHeight="1">
      <c r="A4750" s="4" t="s">
        <v>11648</v>
      </c>
      <c r="B4750" s="5" t="s">
        <v>11648</v>
      </c>
      <c r="C4750" s="5" t="s">
        <v>18</v>
      </c>
      <c r="D4750" s="5" t="s">
        <v>19</v>
      </c>
      <c r="E4750" s="5" t="s">
        <v>439</v>
      </c>
      <c r="F4750" s="9">
        <v>76</v>
      </c>
      <c r="G4750" s="9">
        <v>938</v>
      </c>
      <c r="H4750" s="5" t="s">
        <v>21</v>
      </c>
      <c r="I4750" s="5" t="s">
        <v>11649</v>
      </c>
      <c r="J4750" s="12" t="str">
        <f>HYPERLINK("https://www.boe.es/gazeta/dias/1802/09/17/pdfs/GMD-1802-76.pdf#page=10","Abrir facsímil")</f>
        <v>Abrir facsímil</v>
      </c>
      <c r="K4750" s="15" t="s">
        <v>23</v>
      </c>
    </row>
    <row r="4751" spans="1:11" ht="42" customHeight="1">
      <c r="A4751" s="4" t="s">
        <v>11650</v>
      </c>
      <c r="B4751" s="5" t="s">
        <v>11650</v>
      </c>
      <c r="C4751" s="5" t="s">
        <v>42</v>
      </c>
      <c r="D4751" s="5" t="s">
        <v>43</v>
      </c>
      <c r="E4751" s="5" t="s">
        <v>44</v>
      </c>
      <c r="F4751" s="9">
        <v>99</v>
      </c>
      <c r="G4751" s="9" t="s">
        <v>272</v>
      </c>
      <c r="H4751" s="5" t="s">
        <v>21</v>
      </c>
      <c r="I4751" s="5" t="s">
        <v>11651</v>
      </c>
      <c r="J4751" s="12" t="str">
        <f>HYPERLINK("https://www.boe.es/gazeta/dias/1802/12/07/pdfs/GMD-D-1802-99.pdf#page=3","Abrir facsímil")</f>
        <v>Abrir facsímil</v>
      </c>
      <c r="K4751" s="15" t="s">
        <v>23</v>
      </c>
    </row>
    <row r="4752" spans="1:11" ht="42" customHeight="1">
      <c r="A4752" s="4" t="s">
        <v>11652</v>
      </c>
      <c r="B4752" s="5" t="s">
        <v>11652</v>
      </c>
      <c r="C4752" s="5" t="s">
        <v>55</v>
      </c>
      <c r="D4752" s="5" t="s">
        <v>56</v>
      </c>
      <c r="E4752" s="5" t="s">
        <v>232</v>
      </c>
      <c r="F4752" s="9">
        <v>30</v>
      </c>
      <c r="G4752" s="9">
        <v>351</v>
      </c>
      <c r="H4752" s="5" t="s">
        <v>21</v>
      </c>
      <c r="I4752" s="5" t="s">
        <v>11653</v>
      </c>
      <c r="J4752" s="12" t="str">
        <f>HYPERLINK("https://www.boe.es/gazeta/dias/1802/04/13/pdfs/GMD-1802-30.pdf#page=7","Abrir facsímil")</f>
        <v>Abrir facsímil</v>
      </c>
      <c r="K4752" s="15" t="s">
        <v>23</v>
      </c>
    </row>
    <row r="4753" spans="1:11" ht="42" customHeight="1">
      <c r="A4753" s="4" t="s">
        <v>11654</v>
      </c>
      <c r="B4753" s="5" t="s">
        <v>11654</v>
      </c>
      <c r="C4753" s="5" t="s">
        <v>29</v>
      </c>
      <c r="D4753" s="5" t="s">
        <v>30</v>
      </c>
      <c r="E4753" s="5" t="s">
        <v>754</v>
      </c>
      <c r="F4753" s="9">
        <v>101</v>
      </c>
      <c r="G4753" s="9">
        <v>1242</v>
      </c>
      <c r="H4753" s="5" t="s">
        <v>21</v>
      </c>
      <c r="I4753" s="5" t="s">
        <v>11655</v>
      </c>
      <c r="J4753" s="12" t="str">
        <f>HYPERLINK("https://www.boe.es/gazeta/dias/1802/12/14/pdfs/GMD-1802-101.pdf#page=6","Abrir facsímil")</f>
        <v>Abrir facsímil</v>
      </c>
      <c r="K4753" s="15" t="s">
        <v>23</v>
      </c>
    </row>
    <row r="4754" spans="1:11" ht="42" customHeight="1">
      <c r="A4754" s="4" t="s">
        <v>11656</v>
      </c>
      <c r="B4754" s="5" t="s">
        <v>11656</v>
      </c>
      <c r="C4754" s="5" t="s">
        <v>18</v>
      </c>
      <c r="D4754" s="5" t="s">
        <v>19</v>
      </c>
      <c r="E4754" s="5" t="s">
        <v>49</v>
      </c>
      <c r="F4754" s="9">
        <v>83</v>
      </c>
      <c r="G4754" s="9">
        <v>1025</v>
      </c>
      <c r="H4754" s="5" t="s">
        <v>21</v>
      </c>
      <c r="I4754" s="5" t="s">
        <v>11657</v>
      </c>
      <c r="J4754" s="12" t="str">
        <f>HYPERLINK("https://www.boe.es/gazeta/dias/1802/10/12/pdfs/GMD-1802-83.pdf#page=13","Abrir facsímil")</f>
        <v>Abrir facsímil</v>
      </c>
      <c r="K4754" s="15" t="s">
        <v>23</v>
      </c>
    </row>
    <row r="4755" spans="1:11" ht="42" customHeight="1">
      <c r="A4755" s="4" t="s">
        <v>11658</v>
      </c>
      <c r="B4755" s="5" t="s">
        <v>11658</v>
      </c>
      <c r="C4755" s="5" t="s">
        <v>18</v>
      </c>
      <c r="D4755" s="5" t="s">
        <v>19</v>
      </c>
      <c r="E4755" s="5" t="s">
        <v>20</v>
      </c>
      <c r="F4755" s="9">
        <v>84</v>
      </c>
      <c r="G4755" s="9">
        <v>1047</v>
      </c>
      <c r="H4755" s="5" t="s">
        <v>21</v>
      </c>
      <c r="I4755" s="5" t="s">
        <v>11659</v>
      </c>
      <c r="J4755" s="12" t="str">
        <f>HYPERLINK("https://www.boe.es/gazeta/dias/1802/10/15/pdfs/GMD-1802-84.pdf#page=15","Abrir facsímil")</f>
        <v>Abrir facsímil</v>
      </c>
      <c r="K4755" s="15" t="s">
        <v>23</v>
      </c>
    </row>
    <row r="4756" spans="1:11" ht="42" customHeight="1">
      <c r="A4756" s="4" t="s">
        <v>11660</v>
      </c>
      <c r="B4756" s="5" t="s">
        <v>11661</v>
      </c>
      <c r="C4756" s="5" t="s">
        <v>90</v>
      </c>
      <c r="D4756" s="5" t="s">
        <v>91</v>
      </c>
      <c r="E4756" s="5" t="s">
        <v>1749</v>
      </c>
      <c r="F4756" s="9">
        <v>60</v>
      </c>
      <c r="G4756" s="9">
        <v>727</v>
      </c>
      <c r="H4756" s="5" t="s">
        <v>21</v>
      </c>
      <c r="I4756" s="5" t="s">
        <v>11662</v>
      </c>
      <c r="J4756" s="12" t="str">
        <f>HYPERLINK("https://www.boe.es/gazeta/dias/1802/07/23/pdfs/GMD-1802-60.pdf#page=11","Abrir facsímil")</f>
        <v>Abrir facsímil</v>
      </c>
      <c r="K4756" s="15" t="s">
        <v>23</v>
      </c>
    </row>
    <row r="4757" spans="1:11" ht="42" customHeight="1">
      <c r="A4757" s="4" t="s">
        <v>11660</v>
      </c>
      <c r="B4757" s="5" t="s">
        <v>11661</v>
      </c>
      <c r="C4757" s="5" t="s">
        <v>29</v>
      </c>
      <c r="D4757" s="5" t="s">
        <v>30</v>
      </c>
      <c r="E4757" s="5" t="s">
        <v>754</v>
      </c>
      <c r="F4757" s="9">
        <v>101</v>
      </c>
      <c r="G4757" s="9">
        <v>1242</v>
      </c>
      <c r="H4757" s="5" t="s">
        <v>21</v>
      </c>
      <c r="I4757" s="5" t="s">
        <v>11663</v>
      </c>
      <c r="J4757" s="12" t="str">
        <f>HYPERLINK("https://www.boe.es/gazeta/dias/1802/12/14/pdfs/GMD-1802-101.pdf#page=6","Abrir facsímil")</f>
        <v>Abrir facsímil</v>
      </c>
      <c r="K4757" s="15" t="s">
        <v>23</v>
      </c>
    </row>
    <row r="4758" spans="1:11" ht="42" customHeight="1">
      <c r="A4758" s="4" t="s">
        <v>11664</v>
      </c>
      <c r="B4758" s="5" t="s">
        <v>11664</v>
      </c>
      <c r="C4758" s="5" t="s">
        <v>90</v>
      </c>
      <c r="D4758" s="5" t="s">
        <v>91</v>
      </c>
      <c r="E4758" s="5" t="s">
        <v>60</v>
      </c>
      <c r="F4758" s="9">
        <v>5</v>
      </c>
      <c r="G4758" s="9">
        <v>50</v>
      </c>
      <c r="H4758" s="5" t="s">
        <v>21</v>
      </c>
      <c r="I4758" s="5" t="s">
        <v>11665</v>
      </c>
      <c r="J4758" s="12" t="str">
        <f>HYPERLINK("https://www.boe.es/gazeta/dias/1802/01/15/pdfs/GMD-1802-5.pdf#page=6","Abrir facsímil")</f>
        <v>Abrir facsímil</v>
      </c>
      <c r="K4758" s="15" t="s">
        <v>23</v>
      </c>
    </row>
    <row r="4759" spans="1:11" ht="42" customHeight="1">
      <c r="A4759" s="4" t="s">
        <v>11666</v>
      </c>
      <c r="B4759" s="5" t="s">
        <v>11666</v>
      </c>
      <c r="C4759" s="5" t="s">
        <v>29</v>
      </c>
      <c r="D4759" s="5" t="s">
        <v>30</v>
      </c>
      <c r="E4759" s="5" t="s">
        <v>181</v>
      </c>
      <c r="F4759" s="9">
        <v>55</v>
      </c>
      <c r="G4759" s="9">
        <v>667</v>
      </c>
      <c r="H4759" s="5" t="s">
        <v>21</v>
      </c>
      <c r="I4759" s="5" t="s">
        <v>11667</v>
      </c>
      <c r="J4759" s="12" t="str">
        <f>HYPERLINK("https://www.boe.es/gazeta/dias/1802/07/09/pdfs/GMD-1802-55.pdf#page=11","Abrir facsímil")</f>
        <v>Abrir facsímil</v>
      </c>
      <c r="K4759" s="15" t="s">
        <v>23</v>
      </c>
    </row>
    <row r="4760" spans="1:11" ht="42" customHeight="1">
      <c r="A4760" s="4" t="s">
        <v>11668</v>
      </c>
      <c r="B4760" s="5" t="s">
        <v>11668</v>
      </c>
      <c r="C4760" s="5" t="s">
        <v>29</v>
      </c>
      <c r="D4760" s="5" t="s">
        <v>30</v>
      </c>
      <c r="E4760" s="5" t="s">
        <v>1185</v>
      </c>
      <c r="F4760" s="9">
        <v>93</v>
      </c>
      <c r="G4760" s="9">
        <v>1148</v>
      </c>
      <c r="H4760" s="5" t="s">
        <v>21</v>
      </c>
      <c r="I4760" s="5" t="s">
        <v>11669</v>
      </c>
      <c r="J4760" s="12" t="str">
        <f>HYPERLINK("https://www.boe.es/gazeta/dias/1802/11/16/pdfs/GMD-1802-93.pdf#page=8","Abrir facsímil")</f>
        <v>Abrir facsímil</v>
      </c>
      <c r="K4760" s="15" t="s">
        <v>23</v>
      </c>
    </row>
    <row r="4761" spans="1:11" ht="42" customHeight="1">
      <c r="A4761" s="4" t="s">
        <v>11670</v>
      </c>
      <c r="B4761" s="5" t="s">
        <v>11670</v>
      </c>
      <c r="C4761" s="5" t="s">
        <v>29</v>
      </c>
      <c r="D4761" s="5" t="s">
        <v>30</v>
      </c>
      <c r="E4761" s="5" t="s">
        <v>71</v>
      </c>
      <c r="F4761" s="9">
        <v>21</v>
      </c>
      <c r="G4761" s="9">
        <v>233</v>
      </c>
      <c r="H4761" s="5" t="s">
        <v>21</v>
      </c>
      <c r="I4761" s="5" t="s">
        <v>11671</v>
      </c>
      <c r="J4761" s="12" t="str">
        <f>HYPERLINK("https://www.boe.es/gazeta/dias/1802/03/12/pdfs/GMD-1802-21.pdf#page=9","Abrir facsímil")</f>
        <v>Abrir facsímil</v>
      </c>
      <c r="K4761" s="15" t="s">
        <v>23</v>
      </c>
    </row>
    <row r="4762" spans="1:11" ht="42" customHeight="1">
      <c r="A4762" s="4" t="s">
        <v>11672</v>
      </c>
      <c r="B4762" s="5" t="s">
        <v>11672</v>
      </c>
      <c r="C4762" s="5" t="s">
        <v>29</v>
      </c>
      <c r="D4762" s="5" t="s">
        <v>30</v>
      </c>
      <c r="E4762" s="5" t="s">
        <v>328</v>
      </c>
      <c r="F4762" s="9">
        <v>45</v>
      </c>
      <c r="G4762" s="9">
        <v>545</v>
      </c>
      <c r="H4762" s="5" t="s">
        <v>21</v>
      </c>
      <c r="I4762" s="5" t="s">
        <v>11673</v>
      </c>
      <c r="J4762" s="12" t="str">
        <f>HYPERLINK("https://www.boe.es/gazeta/dias/1802/06/04/pdfs/GMD-1802-45.pdf#page=9","Abrir facsímil")</f>
        <v>Abrir facsímil</v>
      </c>
      <c r="K4762" s="15" t="s">
        <v>23</v>
      </c>
    </row>
    <row r="4763" spans="1:11" ht="42" customHeight="1">
      <c r="A4763" s="4" t="s">
        <v>11674</v>
      </c>
      <c r="B4763" s="5" t="s">
        <v>11674</v>
      </c>
      <c r="C4763" s="5" t="s">
        <v>18</v>
      </c>
      <c r="D4763" s="5" t="s">
        <v>19</v>
      </c>
      <c r="E4763" s="5" t="s">
        <v>31</v>
      </c>
      <c r="F4763" s="9">
        <v>27</v>
      </c>
      <c r="G4763" s="9">
        <v>318</v>
      </c>
      <c r="H4763" s="5" t="s">
        <v>21</v>
      </c>
      <c r="I4763" s="5" t="s">
        <v>11675</v>
      </c>
      <c r="J4763" s="12" t="str">
        <f>HYPERLINK("https://www.boe.es/gazeta/dias/1802/04/02/pdfs/GMD-1802-27.pdf#page=14","Abrir facsímil")</f>
        <v>Abrir facsímil</v>
      </c>
      <c r="K4763" s="15" t="s">
        <v>23</v>
      </c>
    </row>
    <row r="4764" spans="1:11" ht="42" customHeight="1">
      <c r="A4764" s="4" t="s">
        <v>11676</v>
      </c>
      <c r="B4764" s="5" t="s">
        <v>11676</v>
      </c>
      <c r="C4764" s="5" t="s">
        <v>90</v>
      </c>
      <c r="D4764" s="5" t="s">
        <v>91</v>
      </c>
      <c r="E4764" s="5" t="s">
        <v>232</v>
      </c>
      <c r="F4764" s="9">
        <v>30</v>
      </c>
      <c r="G4764" s="9">
        <v>350</v>
      </c>
      <c r="H4764" s="5" t="s">
        <v>21</v>
      </c>
      <c r="I4764" s="5" t="s">
        <v>11677</v>
      </c>
      <c r="J4764" s="12" t="str">
        <f>HYPERLINK("https://www.boe.es/gazeta/dias/1802/04/13/pdfs/GMD-1802-30.pdf#page=6","Abrir facsímil")</f>
        <v>Abrir facsímil</v>
      </c>
      <c r="K4764" s="15" t="s">
        <v>23</v>
      </c>
    </row>
    <row r="4765" spans="1:11" ht="42" customHeight="1">
      <c r="A4765" s="4" t="s">
        <v>11678</v>
      </c>
      <c r="B4765" s="5" t="s">
        <v>11678</v>
      </c>
      <c r="C4765" s="5" t="s">
        <v>90</v>
      </c>
      <c r="D4765" s="5" t="s">
        <v>91</v>
      </c>
      <c r="E4765" s="5" t="s">
        <v>749</v>
      </c>
      <c r="F4765" s="9">
        <v>97</v>
      </c>
      <c r="G4765" s="9">
        <v>1203</v>
      </c>
      <c r="H4765" s="5" t="s">
        <v>21</v>
      </c>
      <c r="I4765" s="5" t="s">
        <v>11679</v>
      </c>
      <c r="J4765" s="12" t="str">
        <f>HYPERLINK("https://www.boe.es/gazeta/dias/1802/11/30/pdfs/GMD-1802-97.pdf#page=11","Abrir facsímil")</f>
        <v>Abrir facsímil</v>
      </c>
      <c r="K4765" s="15" t="s">
        <v>23</v>
      </c>
    </row>
    <row r="4766" spans="1:11" ht="42" customHeight="1">
      <c r="A4766" s="4" t="s">
        <v>11680</v>
      </c>
      <c r="B4766" s="5" t="s">
        <v>11680</v>
      </c>
      <c r="C4766" s="5" t="s">
        <v>29</v>
      </c>
      <c r="D4766" s="5" t="s">
        <v>30</v>
      </c>
      <c r="E4766" s="5" t="s">
        <v>886</v>
      </c>
      <c r="F4766" s="9">
        <v>7</v>
      </c>
      <c r="G4766" s="9">
        <v>68</v>
      </c>
      <c r="H4766" s="5" t="s">
        <v>21</v>
      </c>
      <c r="I4766" s="5" t="s">
        <v>11681</v>
      </c>
      <c r="J4766" s="12" t="str">
        <f>HYPERLINK("https://www.boe.es/gazeta/dias/1802/01/22/pdfs/GMD-1802-7.pdf#page=8","Abrir facsímil")</f>
        <v>Abrir facsímil</v>
      </c>
      <c r="K4766" s="15" t="s">
        <v>23</v>
      </c>
    </row>
    <row r="4767" spans="1:11" ht="42" customHeight="1">
      <c r="A4767" s="4" t="s">
        <v>11682</v>
      </c>
      <c r="B4767" s="5" t="s">
        <v>11682</v>
      </c>
      <c r="C4767" s="5" t="s">
        <v>18</v>
      </c>
      <c r="D4767" s="5" t="s">
        <v>19</v>
      </c>
      <c r="E4767" s="5" t="s">
        <v>20</v>
      </c>
      <c r="F4767" s="9">
        <v>84</v>
      </c>
      <c r="G4767" s="9">
        <v>1047</v>
      </c>
      <c r="H4767" s="5" t="s">
        <v>21</v>
      </c>
      <c r="I4767" s="5" t="s">
        <v>11683</v>
      </c>
      <c r="J4767" s="12" t="str">
        <f>HYPERLINK("https://www.boe.es/gazeta/dias/1802/10/15/pdfs/GMD-1802-84.pdf#page=15","Abrir facsímil")</f>
        <v>Abrir facsímil</v>
      </c>
      <c r="K4767" s="15" t="s">
        <v>23</v>
      </c>
    </row>
    <row r="4768" spans="1:11" ht="42" customHeight="1">
      <c r="A4768" s="4" t="s">
        <v>11684</v>
      </c>
      <c r="B4768" s="5" t="s">
        <v>11684</v>
      </c>
      <c r="C4768" s="5" t="s">
        <v>18</v>
      </c>
      <c r="D4768" s="5" t="s">
        <v>19</v>
      </c>
      <c r="E4768" s="5" t="s">
        <v>49</v>
      </c>
      <c r="F4768" s="9">
        <v>83</v>
      </c>
      <c r="G4768" s="9">
        <v>1024</v>
      </c>
      <c r="H4768" s="5" t="s">
        <v>21</v>
      </c>
      <c r="I4768" s="5" t="s">
        <v>11685</v>
      </c>
      <c r="J4768" s="12" t="str">
        <f>HYPERLINK("https://www.boe.es/gazeta/dias/1802/10/12/pdfs/GMD-1802-83.pdf#page=12","Abrir facsímil")</f>
        <v>Abrir facsímil</v>
      </c>
      <c r="K4768" s="15" t="s">
        <v>23</v>
      </c>
    </row>
    <row r="4769" spans="1:11" ht="42" customHeight="1">
      <c r="A4769" s="4" t="s">
        <v>11686</v>
      </c>
      <c r="B4769" s="5" t="s">
        <v>11686</v>
      </c>
      <c r="C4769" s="5" t="s">
        <v>29</v>
      </c>
      <c r="D4769" s="5" t="s">
        <v>30</v>
      </c>
      <c r="E4769" s="5" t="s">
        <v>814</v>
      </c>
      <c r="F4769" s="9">
        <v>41</v>
      </c>
      <c r="G4769" s="9">
        <v>494</v>
      </c>
      <c r="H4769" s="5" t="s">
        <v>21</v>
      </c>
      <c r="I4769" s="5" t="s">
        <v>11687</v>
      </c>
      <c r="J4769" s="12" t="str">
        <f>HYPERLINK("https://www.boe.es/gazeta/dias/1802/05/21/pdfs/GMD-1802-41.pdf#page=10","Abrir facsímil")</f>
        <v>Abrir facsímil</v>
      </c>
      <c r="K4769" s="15" t="s">
        <v>23</v>
      </c>
    </row>
    <row r="4770" spans="1:11" ht="42" customHeight="1">
      <c r="A4770" s="4" t="s">
        <v>11688</v>
      </c>
      <c r="B4770" s="5" t="s">
        <v>11689</v>
      </c>
      <c r="C4770" s="5" t="s">
        <v>18</v>
      </c>
      <c r="D4770" s="5" t="s">
        <v>19</v>
      </c>
      <c r="E4770" s="5" t="s">
        <v>71</v>
      </c>
      <c r="F4770" s="9">
        <v>21</v>
      </c>
      <c r="G4770" s="9">
        <v>235</v>
      </c>
      <c r="H4770" s="5" t="s">
        <v>21</v>
      </c>
      <c r="I4770" s="5" t="s">
        <v>11690</v>
      </c>
      <c r="J4770" s="12" t="str">
        <f>HYPERLINK("https://www.boe.es/gazeta/dias/1802/03/12/pdfs/GMD-1802-21.pdf#page=11","Abrir facsímil")</f>
        <v>Abrir facsímil</v>
      </c>
      <c r="K4770" s="15" t="s">
        <v>23</v>
      </c>
    </row>
    <row r="4771" spans="1:11" ht="42" customHeight="1">
      <c r="A4771" s="4" t="s">
        <v>11688</v>
      </c>
      <c r="B4771" s="5" t="s">
        <v>11689</v>
      </c>
      <c r="C4771" s="5" t="s">
        <v>90</v>
      </c>
      <c r="D4771" s="5" t="s">
        <v>91</v>
      </c>
      <c r="E4771" s="5" t="s">
        <v>206</v>
      </c>
      <c r="F4771" s="9">
        <v>22</v>
      </c>
      <c r="G4771" s="9">
        <v>244</v>
      </c>
      <c r="H4771" s="5" t="s">
        <v>21</v>
      </c>
      <c r="I4771" s="5" t="s">
        <v>11691</v>
      </c>
      <c r="J4771" s="12" t="str">
        <f>HYPERLINK("https://www.boe.es/gazeta/dias/1802/03/16/pdfs/GMD-1802-22.pdf#page=12","Abrir facsímil")</f>
        <v>Abrir facsímil</v>
      </c>
      <c r="K4771" s="15" t="s">
        <v>23</v>
      </c>
    </row>
    <row r="4772" spans="1:11" ht="42" customHeight="1">
      <c r="A4772" s="4" t="s">
        <v>11692</v>
      </c>
      <c r="B4772" s="5" t="s">
        <v>11692</v>
      </c>
      <c r="C4772" s="5" t="s">
        <v>29</v>
      </c>
      <c r="D4772" s="5" t="s">
        <v>30</v>
      </c>
      <c r="E4772" s="5" t="s">
        <v>206</v>
      </c>
      <c r="F4772" s="9">
        <v>22</v>
      </c>
      <c r="G4772" s="9">
        <v>240</v>
      </c>
      <c r="H4772" s="5" t="s">
        <v>21</v>
      </c>
      <c r="I4772" s="5" t="s">
        <v>11693</v>
      </c>
      <c r="J4772" s="12" t="str">
        <f>HYPERLINK("https://www.boe.es/gazeta/dias/1802/03/16/pdfs/GMD-1802-22.pdf#page=8","Abrir facsímil")</f>
        <v>Abrir facsímil</v>
      </c>
      <c r="K4772" s="15" t="s">
        <v>23</v>
      </c>
    </row>
    <row r="4773" spans="1:11" ht="42" customHeight="1">
      <c r="A4773" s="4" t="s">
        <v>11694</v>
      </c>
      <c r="B4773" s="5" t="s">
        <v>11694</v>
      </c>
      <c r="C4773" s="5" t="s">
        <v>18</v>
      </c>
      <c r="D4773" s="5" t="s">
        <v>19</v>
      </c>
      <c r="E4773" s="5" t="s">
        <v>328</v>
      </c>
      <c r="F4773" s="9">
        <v>45</v>
      </c>
      <c r="G4773" s="9">
        <v>544</v>
      </c>
      <c r="H4773" s="5" t="s">
        <v>21</v>
      </c>
      <c r="I4773" s="5" t="s">
        <v>11695</v>
      </c>
      <c r="J4773" s="12" t="str">
        <f>HYPERLINK("https://www.boe.es/gazeta/dias/1802/06/04/pdfs/GMD-1802-45.pdf#page=8","Abrir facsímil")</f>
        <v>Abrir facsímil</v>
      </c>
      <c r="K4773" s="15" t="s">
        <v>23</v>
      </c>
    </row>
    <row r="4774" spans="1:11" ht="42" customHeight="1">
      <c r="A4774" s="4" t="s">
        <v>11696</v>
      </c>
      <c r="B4774" s="5" t="s">
        <v>11696</v>
      </c>
      <c r="C4774" s="5" t="s">
        <v>29</v>
      </c>
      <c r="D4774" s="5" t="s">
        <v>30</v>
      </c>
      <c r="E4774" s="5" t="s">
        <v>175</v>
      </c>
      <c r="F4774" s="9">
        <v>37</v>
      </c>
      <c r="G4774" s="9">
        <v>442</v>
      </c>
      <c r="H4774" s="5" t="s">
        <v>21</v>
      </c>
      <c r="I4774" s="5" t="s">
        <v>11697</v>
      </c>
      <c r="J4774" s="12" t="str">
        <f>HYPERLINK("https://www.boe.es/gazeta/dias/1802/05/07/pdfs/GMD-1802-37.pdf#page=10","Abrir facsímil")</f>
        <v>Abrir facsímil</v>
      </c>
      <c r="K4774" s="15" t="s">
        <v>23</v>
      </c>
    </row>
    <row r="4775" spans="1:11" ht="42" customHeight="1">
      <c r="A4775" s="4" t="s">
        <v>11698</v>
      </c>
      <c r="B4775" s="5" t="s">
        <v>11698</v>
      </c>
      <c r="C4775" s="5" t="s">
        <v>29</v>
      </c>
      <c r="D4775" s="5" t="s">
        <v>30</v>
      </c>
      <c r="E4775" s="5" t="s">
        <v>20</v>
      </c>
      <c r="F4775" s="9">
        <v>84</v>
      </c>
      <c r="G4775" s="9">
        <v>1041</v>
      </c>
      <c r="H4775" s="5" t="s">
        <v>21</v>
      </c>
      <c r="I4775" s="5" t="s">
        <v>11699</v>
      </c>
      <c r="J4775" s="12" t="str">
        <f>HYPERLINK("https://www.boe.es/gazeta/dias/1802/10/15/pdfs/GMD-1802-84.pdf#page=9","Abrir facsímil")</f>
        <v>Abrir facsímil</v>
      </c>
      <c r="K4775" s="15" t="s">
        <v>23</v>
      </c>
    </row>
    <row r="4776" spans="1:11" ht="42" customHeight="1">
      <c r="A4776" s="4" t="s">
        <v>11700</v>
      </c>
      <c r="B4776" s="5" t="s">
        <v>11700</v>
      </c>
      <c r="C4776" s="5" t="s">
        <v>29</v>
      </c>
      <c r="D4776" s="5" t="s">
        <v>30</v>
      </c>
      <c r="E4776" s="5" t="s">
        <v>907</v>
      </c>
      <c r="F4776" s="9">
        <v>77</v>
      </c>
      <c r="G4776" s="9">
        <v>949</v>
      </c>
      <c r="H4776" s="5" t="s">
        <v>21</v>
      </c>
      <c r="I4776" s="5" t="s">
        <v>11701</v>
      </c>
      <c r="J4776" s="12" t="str">
        <f>HYPERLINK("https://www.boe.es/gazeta/dias/1802/09/21/pdfs/GMD-1802-77.pdf#page=9","Abrir facsímil")</f>
        <v>Abrir facsímil</v>
      </c>
      <c r="K4776" s="15" t="s">
        <v>23</v>
      </c>
    </row>
    <row r="4777" spans="1:11" ht="42" customHeight="1">
      <c r="A4777" s="4" t="s">
        <v>11702</v>
      </c>
      <c r="B4777" s="5" t="s">
        <v>11702</v>
      </c>
      <c r="C4777" s="5" t="s">
        <v>90</v>
      </c>
      <c r="D4777" s="5" t="s">
        <v>91</v>
      </c>
      <c r="E4777" s="5" t="s">
        <v>60</v>
      </c>
      <c r="F4777" s="9">
        <v>5</v>
      </c>
      <c r="G4777" s="9">
        <v>50</v>
      </c>
      <c r="H4777" s="5" t="s">
        <v>21</v>
      </c>
      <c r="I4777" s="5" t="s">
        <v>11703</v>
      </c>
      <c r="J4777" s="12" t="str">
        <f>HYPERLINK("https://www.boe.es/gazeta/dias/1802/01/15/pdfs/GMD-1802-5.pdf#page=6","Abrir facsímil")</f>
        <v>Abrir facsímil</v>
      </c>
      <c r="K4777" s="15" t="s">
        <v>23</v>
      </c>
    </row>
    <row r="4778" spans="1:11" ht="42" customHeight="1">
      <c r="A4778" s="4" t="s">
        <v>11704</v>
      </c>
      <c r="B4778" s="5" t="s">
        <v>11704</v>
      </c>
      <c r="C4778" s="5" t="s">
        <v>29</v>
      </c>
      <c r="D4778" s="5" t="s">
        <v>30</v>
      </c>
      <c r="E4778" s="5" t="s">
        <v>1051</v>
      </c>
      <c r="F4778" s="9">
        <v>43</v>
      </c>
      <c r="G4778" s="9">
        <v>518</v>
      </c>
      <c r="H4778" s="5" t="s">
        <v>21</v>
      </c>
      <c r="I4778" s="5" t="s">
        <v>11705</v>
      </c>
      <c r="J4778" s="12" t="str">
        <f>HYPERLINK("https://www.boe.es/gazeta/dias/1802/05/28/pdfs/GMD-1802-43.pdf#page=10","Abrir facsímil")</f>
        <v>Abrir facsímil</v>
      </c>
      <c r="K4778" s="15" t="s">
        <v>23</v>
      </c>
    </row>
    <row r="4779" spans="1:11" ht="42" customHeight="1">
      <c r="A4779" s="4" t="s">
        <v>11706</v>
      </c>
      <c r="B4779" s="5" t="s">
        <v>11706</v>
      </c>
      <c r="C4779" s="5" t="s">
        <v>18</v>
      </c>
      <c r="D4779" s="5" t="s">
        <v>19</v>
      </c>
      <c r="E4779" s="5" t="s">
        <v>20</v>
      </c>
      <c r="F4779" s="9">
        <v>84</v>
      </c>
      <c r="G4779" s="9">
        <v>1047</v>
      </c>
      <c r="H4779" s="5" t="s">
        <v>21</v>
      </c>
      <c r="I4779" s="5" t="s">
        <v>11707</v>
      </c>
      <c r="J4779" s="12" t="str">
        <f>HYPERLINK("https://www.boe.es/gazeta/dias/1802/10/15/pdfs/GMD-1802-84.pdf#page=15","Abrir facsímil")</f>
        <v>Abrir facsímil</v>
      </c>
      <c r="K4779" s="15" t="s">
        <v>23</v>
      </c>
    </row>
    <row r="4780" spans="1:11" ht="42" customHeight="1">
      <c r="A4780" s="4" t="s">
        <v>11708</v>
      </c>
      <c r="B4780" s="5" t="s">
        <v>11708</v>
      </c>
      <c r="C4780" s="5" t="s">
        <v>29</v>
      </c>
      <c r="D4780" s="5" t="s">
        <v>30</v>
      </c>
      <c r="E4780" s="5" t="s">
        <v>751</v>
      </c>
      <c r="F4780" s="9">
        <v>98</v>
      </c>
      <c r="G4780" s="9">
        <v>1214</v>
      </c>
      <c r="H4780" s="5" t="s">
        <v>21</v>
      </c>
      <c r="I4780" s="5" t="s">
        <v>11709</v>
      </c>
      <c r="J4780" s="12" t="str">
        <f>HYPERLINK("https://www.boe.es/gazeta/dias/1802/12/03/pdfs/GMD-1802-98.pdf#page=10","Abrir facsímil")</f>
        <v>Abrir facsímil</v>
      </c>
      <c r="K4780" s="15" t="s">
        <v>23</v>
      </c>
    </row>
    <row r="4781" spans="1:11" ht="42" customHeight="1">
      <c r="A4781" s="4" t="s">
        <v>11710</v>
      </c>
      <c r="B4781" s="5" t="s">
        <v>11710</v>
      </c>
      <c r="C4781" s="5" t="s">
        <v>18</v>
      </c>
      <c r="D4781" s="5" t="s">
        <v>19</v>
      </c>
      <c r="E4781" s="5" t="s">
        <v>152</v>
      </c>
      <c r="F4781" s="9">
        <v>25</v>
      </c>
      <c r="G4781" s="9">
        <v>284</v>
      </c>
      <c r="H4781" s="5" t="s">
        <v>21</v>
      </c>
      <c r="I4781" s="5" t="s">
        <v>11711</v>
      </c>
      <c r="J4781" s="12" t="str">
        <f>HYPERLINK("https://www.boe.es/gazeta/dias/1802/03/26/pdfs/GMD-1802-25.pdf#page=8","Abrir facsímil")</f>
        <v>Abrir facsímil</v>
      </c>
      <c r="K4781" s="15" t="s">
        <v>23</v>
      </c>
    </row>
    <row r="4782" spans="1:11" ht="42" customHeight="1">
      <c r="A4782" s="4" t="s">
        <v>11710</v>
      </c>
      <c r="B4782" s="5" t="s">
        <v>11710</v>
      </c>
      <c r="C4782" s="5" t="s">
        <v>18</v>
      </c>
      <c r="D4782" s="5" t="s">
        <v>19</v>
      </c>
      <c r="E4782" s="5" t="s">
        <v>152</v>
      </c>
      <c r="F4782" s="9">
        <v>25</v>
      </c>
      <c r="G4782" s="9">
        <v>285</v>
      </c>
      <c r="H4782" s="5" t="s">
        <v>21</v>
      </c>
      <c r="I4782" s="5" t="s">
        <v>11712</v>
      </c>
      <c r="J4782" s="12" t="str">
        <f>HYPERLINK("https://www.boe.es/gazeta/dias/1802/03/26/pdfs/GMD-1802-25.pdf#page=9","Abrir facsímil")</f>
        <v>Abrir facsímil</v>
      </c>
      <c r="K4782" s="15" t="s">
        <v>23</v>
      </c>
    </row>
    <row r="4783" spans="1:11" ht="42" customHeight="1">
      <c r="A4783" s="4" t="s">
        <v>11710</v>
      </c>
      <c r="B4783" s="5" t="s">
        <v>11710</v>
      </c>
      <c r="C4783" s="5" t="s">
        <v>35</v>
      </c>
      <c r="D4783" s="5" t="s">
        <v>36</v>
      </c>
      <c r="E4783" s="5" t="s">
        <v>148</v>
      </c>
      <c r="F4783" s="9">
        <v>66</v>
      </c>
      <c r="G4783" s="9">
        <v>808</v>
      </c>
      <c r="H4783" s="5" t="s">
        <v>21</v>
      </c>
      <c r="I4783" s="5" t="s">
        <v>11713</v>
      </c>
      <c r="J4783" s="12" t="str">
        <f>HYPERLINK("https://www.boe.es/gazeta/dias/1802/08/13/pdfs/GMD-1802-66.pdf#page=12","Abrir facsímil")</f>
        <v>Abrir facsímil</v>
      </c>
      <c r="K4783" s="15" t="s">
        <v>23</v>
      </c>
    </row>
    <row r="4784" spans="1:11" ht="42" customHeight="1">
      <c r="A4784" s="4" t="s">
        <v>11714</v>
      </c>
      <c r="B4784" s="5" t="s">
        <v>11715</v>
      </c>
      <c r="C4784" s="5" t="s">
        <v>18</v>
      </c>
      <c r="D4784" s="5" t="s">
        <v>19</v>
      </c>
      <c r="E4784" s="5" t="s">
        <v>167</v>
      </c>
      <c r="F4784" s="9">
        <v>23</v>
      </c>
      <c r="G4784" s="9">
        <v>260</v>
      </c>
      <c r="H4784" s="5" t="s">
        <v>21</v>
      </c>
      <c r="I4784" s="5" t="s">
        <v>11716</v>
      </c>
      <c r="J4784" s="12" t="str">
        <f>HYPERLINK("https://www.boe.es/gazeta/dias/1802/03/19/pdfs/GMD-1802-23.pdf#page=8","Abrir facsímil")</f>
        <v>Abrir facsímil</v>
      </c>
      <c r="K4784" s="15" t="s">
        <v>23</v>
      </c>
    </row>
    <row r="4785" spans="1:11" ht="42" customHeight="1">
      <c r="A4785" s="4" t="s">
        <v>11714</v>
      </c>
      <c r="B4785" s="5" t="s">
        <v>11715</v>
      </c>
      <c r="C4785" s="5" t="s">
        <v>18</v>
      </c>
      <c r="D4785" s="5" t="s">
        <v>19</v>
      </c>
      <c r="E4785" s="5" t="s">
        <v>332</v>
      </c>
      <c r="F4785" s="9">
        <v>24</v>
      </c>
      <c r="G4785" s="9">
        <v>273</v>
      </c>
      <c r="H4785" s="5" t="s">
        <v>21</v>
      </c>
      <c r="I4785" s="5" t="s">
        <v>11717</v>
      </c>
      <c r="J4785" s="12" t="str">
        <f>HYPERLINK("https://www.boe.es/gazeta/dias/1802/03/23/pdfs/GMD-1802-24.pdf#page=9","Abrir facsímil")</f>
        <v>Abrir facsímil</v>
      </c>
      <c r="K4785" s="15" t="s">
        <v>23</v>
      </c>
    </row>
    <row r="4786" spans="1:11" ht="42" customHeight="1">
      <c r="A4786" s="4" t="s">
        <v>11714</v>
      </c>
      <c r="B4786" s="5" t="s">
        <v>11715</v>
      </c>
      <c r="C4786" s="5" t="s">
        <v>18</v>
      </c>
      <c r="D4786" s="5" t="s">
        <v>19</v>
      </c>
      <c r="E4786" s="5" t="s">
        <v>1749</v>
      </c>
      <c r="F4786" s="9">
        <v>60</v>
      </c>
      <c r="G4786" s="9">
        <v>730</v>
      </c>
      <c r="H4786" s="5" t="s">
        <v>21</v>
      </c>
      <c r="I4786" s="5" t="s">
        <v>11718</v>
      </c>
      <c r="J4786" s="12" t="str">
        <f>HYPERLINK("https://www.boe.es/gazeta/dias/1802/07/23/pdfs/GMD-1802-60.pdf#page=14","Abrir facsímil")</f>
        <v>Abrir facsímil</v>
      </c>
      <c r="K4786" s="15" t="s">
        <v>23</v>
      </c>
    </row>
    <row r="4787" spans="1:11" ht="42" customHeight="1">
      <c r="A4787" s="4" t="s">
        <v>11714</v>
      </c>
      <c r="B4787" s="5" t="s">
        <v>11715</v>
      </c>
      <c r="C4787" s="5" t="s">
        <v>18</v>
      </c>
      <c r="D4787" s="5" t="s">
        <v>19</v>
      </c>
      <c r="E4787" s="5" t="s">
        <v>517</v>
      </c>
      <c r="F4787" s="9">
        <v>61</v>
      </c>
      <c r="G4787" s="9">
        <v>742</v>
      </c>
      <c r="H4787" s="5" t="s">
        <v>21</v>
      </c>
      <c r="I4787" s="5" t="s">
        <v>11719</v>
      </c>
      <c r="J4787" s="12" t="str">
        <f>HYPERLINK("https://www.boe.es/gazeta/dias/1802/07/27/pdfs/GMD-1802-61.pdf#page=10","Abrir facsímil")</f>
        <v>Abrir facsímil</v>
      </c>
      <c r="K4787" s="15" t="s">
        <v>23</v>
      </c>
    </row>
    <row r="4788" spans="1:11" ht="42" customHeight="1">
      <c r="A4788" s="4" t="s">
        <v>11714</v>
      </c>
      <c r="B4788" s="5" t="s">
        <v>11715</v>
      </c>
      <c r="C4788" s="5" t="s">
        <v>18</v>
      </c>
      <c r="D4788" s="5" t="s">
        <v>19</v>
      </c>
      <c r="E4788" s="5" t="s">
        <v>292</v>
      </c>
      <c r="F4788" s="9">
        <v>62</v>
      </c>
      <c r="G4788" s="9">
        <v>754</v>
      </c>
      <c r="H4788" s="5" t="s">
        <v>21</v>
      </c>
      <c r="I4788" s="5" t="s">
        <v>11720</v>
      </c>
      <c r="J4788" s="12" t="str">
        <f>HYPERLINK("https://www.boe.es/gazeta/dias/1802/07/30/pdfs/GMD-1802-62.pdf#page=10","Abrir facsímil")</f>
        <v>Abrir facsímil</v>
      </c>
      <c r="K4788" s="15" t="s">
        <v>23</v>
      </c>
    </row>
    <row r="4789" spans="1:11" ht="42" customHeight="1">
      <c r="A4789" s="4" t="s">
        <v>11714</v>
      </c>
      <c r="B4789" s="5" t="s">
        <v>11715</v>
      </c>
      <c r="C4789" s="5" t="s">
        <v>18</v>
      </c>
      <c r="D4789" s="5" t="s">
        <v>19</v>
      </c>
      <c r="E4789" s="5" t="s">
        <v>1185</v>
      </c>
      <c r="F4789" s="9">
        <v>93</v>
      </c>
      <c r="G4789" s="9">
        <v>1151</v>
      </c>
      <c r="H4789" s="5" t="s">
        <v>21</v>
      </c>
      <c r="I4789" s="5" t="s">
        <v>11721</v>
      </c>
      <c r="J4789" s="12" t="str">
        <f>HYPERLINK("https://www.boe.es/gazeta/dias/1802/11/16/pdfs/GMD-1802-93.pdf#page=11","Abrir facsímil")</f>
        <v>Abrir facsímil</v>
      </c>
      <c r="K4789" s="15" t="s">
        <v>23</v>
      </c>
    </row>
    <row r="4790" spans="1:11" ht="42" customHeight="1">
      <c r="A4790" s="4" t="s">
        <v>11714</v>
      </c>
      <c r="B4790" s="5" t="s">
        <v>11715</v>
      </c>
      <c r="C4790" s="5" t="s">
        <v>35</v>
      </c>
      <c r="D4790" s="5" t="s">
        <v>36</v>
      </c>
      <c r="E4790" s="5" t="s">
        <v>823</v>
      </c>
      <c r="F4790" s="9">
        <v>94</v>
      </c>
      <c r="G4790" s="9">
        <v>1163</v>
      </c>
      <c r="H4790" s="5" t="s">
        <v>21</v>
      </c>
      <c r="I4790" s="5" t="s">
        <v>11722</v>
      </c>
      <c r="J4790" s="12" t="str">
        <f>HYPERLINK("https://www.boe.es/gazeta/dias/1802/11/19/pdfs/GMD-1802-94.pdf#page=11","Abrir facsímil")</f>
        <v>Abrir facsímil</v>
      </c>
      <c r="K4790" s="15" t="s">
        <v>23</v>
      </c>
    </row>
    <row r="4791" spans="1:11" ht="42" customHeight="1">
      <c r="A4791" s="4" t="s">
        <v>11723</v>
      </c>
      <c r="B4791" s="5" t="s">
        <v>11724</v>
      </c>
      <c r="C4791" s="5" t="s">
        <v>29</v>
      </c>
      <c r="D4791" s="5" t="s">
        <v>30</v>
      </c>
      <c r="E4791" s="5" t="s">
        <v>31</v>
      </c>
      <c r="F4791" s="9">
        <v>27</v>
      </c>
      <c r="G4791" s="9">
        <v>317</v>
      </c>
      <c r="H4791" s="5" t="s">
        <v>21</v>
      </c>
      <c r="I4791" s="5" t="s">
        <v>11725</v>
      </c>
      <c r="J4791" s="12" t="str">
        <f>HYPERLINK("https://www.boe.es/gazeta/dias/1802/04/02/pdfs/GMD-1802-27.pdf#page=13","Abrir facsímil")</f>
        <v>Abrir facsímil</v>
      </c>
      <c r="K4791" s="15" t="s">
        <v>23</v>
      </c>
    </row>
    <row r="4792" spans="1:11" ht="42" customHeight="1">
      <c r="A4792" s="4" t="s">
        <v>11726</v>
      </c>
      <c r="B4792" s="5" t="s">
        <v>11727</v>
      </c>
      <c r="C4792" s="5" t="s">
        <v>18</v>
      </c>
      <c r="D4792" s="5" t="s">
        <v>19</v>
      </c>
      <c r="E4792" s="5" t="s">
        <v>49</v>
      </c>
      <c r="F4792" s="9">
        <v>83</v>
      </c>
      <c r="G4792" s="9">
        <v>1024</v>
      </c>
      <c r="H4792" s="5" t="s">
        <v>21</v>
      </c>
      <c r="I4792" s="5" t="s">
        <v>11728</v>
      </c>
      <c r="J4792" s="12" t="str">
        <f>HYPERLINK("https://www.boe.es/gazeta/dias/1802/10/12/pdfs/GMD-1802-83.pdf#page=12","Abrir facsímil")</f>
        <v>Abrir facsímil</v>
      </c>
      <c r="K4792" s="15" t="s">
        <v>23</v>
      </c>
    </row>
    <row r="4793" spans="1:11" ht="42" customHeight="1">
      <c r="A4793" s="4" t="s">
        <v>11729</v>
      </c>
      <c r="B4793" s="5" t="s">
        <v>11730</v>
      </c>
      <c r="C4793" s="5" t="s">
        <v>55</v>
      </c>
      <c r="D4793" s="5" t="s">
        <v>56</v>
      </c>
      <c r="E4793" s="5" t="s">
        <v>517</v>
      </c>
      <c r="F4793" s="9">
        <v>61</v>
      </c>
      <c r="G4793" s="9">
        <v>741</v>
      </c>
      <c r="H4793" s="5" t="s">
        <v>21</v>
      </c>
      <c r="I4793" s="5" t="s">
        <v>11731</v>
      </c>
      <c r="J4793" s="12" t="str">
        <f>HYPERLINK("https://www.boe.es/gazeta/dias/1802/07/27/pdfs/GMD-1802-61.pdf#page=9","Abrir facsímil")</f>
        <v>Abrir facsímil</v>
      </c>
      <c r="K4793" s="15" t="s">
        <v>23</v>
      </c>
    </row>
    <row r="4794" spans="1:11" ht="42" customHeight="1">
      <c r="A4794" s="4" t="s">
        <v>11732</v>
      </c>
      <c r="B4794" s="5" t="s">
        <v>11733</v>
      </c>
      <c r="C4794" s="5" t="s">
        <v>18</v>
      </c>
      <c r="D4794" s="5" t="s">
        <v>19</v>
      </c>
      <c r="E4794" s="5" t="s">
        <v>49</v>
      </c>
      <c r="F4794" s="9">
        <v>83</v>
      </c>
      <c r="G4794" s="9">
        <v>1022</v>
      </c>
      <c r="H4794" s="5" t="s">
        <v>21</v>
      </c>
      <c r="I4794" s="5" t="s">
        <v>11734</v>
      </c>
      <c r="J4794" s="12" t="str">
        <f>HYPERLINK("https://www.boe.es/gazeta/dias/1802/10/12/pdfs/GMD-1802-83.pdf#page=10","Abrir facsímil")</f>
        <v>Abrir facsímil</v>
      </c>
      <c r="K4794" s="15" t="s">
        <v>23</v>
      </c>
    </row>
    <row r="4795" spans="1:11" ht="42" customHeight="1">
      <c r="A4795" s="4" t="s">
        <v>11735</v>
      </c>
      <c r="B4795" s="5" t="s">
        <v>11736</v>
      </c>
      <c r="C4795" s="5" t="s">
        <v>29</v>
      </c>
      <c r="D4795" s="5" t="s">
        <v>30</v>
      </c>
      <c r="E4795" s="5" t="s">
        <v>276</v>
      </c>
      <c r="F4795" s="9">
        <v>75</v>
      </c>
      <c r="G4795" s="9">
        <v>928</v>
      </c>
      <c r="H4795" s="5" t="s">
        <v>21</v>
      </c>
      <c r="I4795" s="5" t="s">
        <v>11737</v>
      </c>
      <c r="J4795" s="12" t="str">
        <f>HYPERLINK("https://www.boe.es/gazeta/dias/1802/09/14/pdfs/GMD-1802-75.pdf#page=12","Abrir facsímil")</f>
        <v>Abrir facsímil</v>
      </c>
      <c r="K4795" s="15" t="s">
        <v>23</v>
      </c>
    </row>
    <row r="4796" spans="1:11" ht="42" customHeight="1">
      <c r="A4796" s="4" t="s">
        <v>11738</v>
      </c>
      <c r="B4796" s="5" t="s">
        <v>11739</v>
      </c>
      <c r="C4796" s="5" t="s">
        <v>18</v>
      </c>
      <c r="D4796" s="5" t="s">
        <v>19</v>
      </c>
      <c r="E4796" s="5" t="s">
        <v>299</v>
      </c>
      <c r="F4796" s="9">
        <v>19</v>
      </c>
      <c r="G4796" s="9">
        <v>208</v>
      </c>
      <c r="H4796" s="5" t="s">
        <v>21</v>
      </c>
      <c r="I4796" s="5" t="s">
        <v>11740</v>
      </c>
      <c r="J4796" s="12" t="str">
        <f>HYPERLINK("https://www.boe.es/gazeta/dias/1802/03/05/pdfs/GMD-1802-19.pdf#page=8","Abrir facsímil")</f>
        <v>Abrir facsímil</v>
      </c>
      <c r="K4796" s="15" t="s">
        <v>23</v>
      </c>
    </row>
    <row r="4797" spans="1:11" ht="42" customHeight="1">
      <c r="A4797" s="4" t="s">
        <v>11741</v>
      </c>
      <c r="B4797" s="5" t="s">
        <v>11742</v>
      </c>
      <c r="C4797" s="5" t="s">
        <v>29</v>
      </c>
      <c r="D4797" s="5" t="s">
        <v>30</v>
      </c>
      <c r="E4797" s="5" t="s">
        <v>128</v>
      </c>
      <c r="F4797" s="9">
        <v>9</v>
      </c>
      <c r="G4797" s="9">
        <v>90</v>
      </c>
      <c r="H4797" s="5" t="s">
        <v>21</v>
      </c>
      <c r="I4797" s="5" t="s">
        <v>11743</v>
      </c>
      <c r="J4797" s="12" t="str">
        <f>HYPERLINK("https://www.boe.es/gazeta/dias/1802/01/29/pdfs/GMD-1802-9.pdf#page=10","Abrir facsímil")</f>
        <v>Abrir facsímil</v>
      </c>
      <c r="K4797" s="15" t="s">
        <v>23</v>
      </c>
    </row>
    <row r="4798" spans="1:11" ht="42" customHeight="1">
      <c r="A4798" s="4" t="s">
        <v>11744</v>
      </c>
      <c r="B4798" s="5" t="s">
        <v>11745</v>
      </c>
      <c r="C4798" s="5" t="s">
        <v>29</v>
      </c>
      <c r="D4798" s="5" t="s">
        <v>30</v>
      </c>
      <c r="E4798" s="5" t="s">
        <v>1264</v>
      </c>
      <c r="F4798" s="9">
        <v>105</v>
      </c>
      <c r="G4798" s="9">
        <v>1286</v>
      </c>
      <c r="H4798" s="5" t="s">
        <v>21</v>
      </c>
      <c r="I4798" s="5" t="s">
        <v>11746</v>
      </c>
      <c r="J4798" s="12" t="str">
        <f>HYPERLINK("https://www.boe.es/gazeta/dias/1802/12/28/pdfs/GMD-1802-105.pdf#page=10","Abrir facsímil")</f>
        <v>Abrir facsímil</v>
      </c>
      <c r="K4798" s="15" t="s">
        <v>23</v>
      </c>
    </row>
    <row r="4799" spans="1:11" ht="42" customHeight="1">
      <c r="A4799" s="4" t="s">
        <v>11747</v>
      </c>
      <c r="B4799" s="5" t="s">
        <v>11748</v>
      </c>
      <c r="C4799" s="5" t="s">
        <v>29</v>
      </c>
      <c r="D4799" s="5" t="s">
        <v>30</v>
      </c>
      <c r="E4799" s="5" t="s">
        <v>921</v>
      </c>
      <c r="F4799" s="9">
        <v>50</v>
      </c>
      <c r="G4799" s="9">
        <v>610</v>
      </c>
      <c r="H4799" s="5" t="s">
        <v>21</v>
      </c>
      <c r="I4799" s="5" t="s">
        <v>11749</v>
      </c>
      <c r="J4799" s="12" t="str">
        <f>HYPERLINK("https://www.boe.es/gazeta/dias/1802/06/22/pdfs/GMD-1802-50.pdf#page=10","Abrir facsímil")</f>
        <v>Abrir facsímil</v>
      </c>
      <c r="K4799" s="15" t="s">
        <v>23</v>
      </c>
    </row>
    <row r="4800" spans="1:11" ht="42" customHeight="1">
      <c r="A4800" s="4" t="s">
        <v>11750</v>
      </c>
      <c r="B4800" s="5" t="s">
        <v>11751</v>
      </c>
      <c r="C4800" s="5" t="s">
        <v>90</v>
      </c>
      <c r="D4800" s="5" t="s">
        <v>91</v>
      </c>
      <c r="E4800" s="5" t="s">
        <v>86</v>
      </c>
      <c r="F4800" s="9">
        <v>26</v>
      </c>
      <c r="G4800" s="9">
        <v>298</v>
      </c>
      <c r="H4800" s="5" t="s">
        <v>21</v>
      </c>
      <c r="I4800" s="5" t="s">
        <v>11752</v>
      </c>
      <c r="J4800" s="12" t="str">
        <f>HYPERLINK("https://www.boe.es/gazeta/dias/1802/03/30/pdfs/GMD-1802-26.pdf#page=10","Abrir facsímil")</f>
        <v>Abrir facsímil</v>
      </c>
      <c r="K4800" s="15" t="s">
        <v>23</v>
      </c>
    </row>
    <row r="4801" spans="1:11" ht="42" customHeight="1">
      <c r="A4801" s="4" t="s">
        <v>11753</v>
      </c>
      <c r="B4801" s="5" t="s">
        <v>11754</v>
      </c>
      <c r="C4801" s="5" t="s">
        <v>42</v>
      </c>
      <c r="D4801" s="5" t="s">
        <v>43</v>
      </c>
      <c r="E4801" s="5" t="s">
        <v>44</v>
      </c>
      <c r="F4801" s="9">
        <v>99</v>
      </c>
      <c r="G4801" s="9" t="s">
        <v>779</v>
      </c>
      <c r="H4801" s="5" t="s">
        <v>21</v>
      </c>
      <c r="I4801" s="5" t="s">
        <v>11755</v>
      </c>
      <c r="J4801" s="12" t="str">
        <f>HYPERLINK("https://www.boe.es/gazeta/dias/1802/12/07/pdfs/GMD-D-1802-99.pdf#page=13","Abrir facsímil")</f>
        <v>Abrir facsímil</v>
      </c>
      <c r="K4801" s="15" t="s">
        <v>23</v>
      </c>
    </row>
    <row r="4802" spans="1:11" ht="42" customHeight="1">
      <c r="A4802" s="4" t="s">
        <v>11756</v>
      </c>
      <c r="B4802" s="5" t="s">
        <v>11757</v>
      </c>
      <c r="C4802" s="5" t="s">
        <v>29</v>
      </c>
      <c r="D4802" s="5" t="s">
        <v>30</v>
      </c>
      <c r="E4802" s="5" t="s">
        <v>1374</v>
      </c>
      <c r="F4802" s="9">
        <v>71</v>
      </c>
      <c r="G4802" s="9">
        <v>874</v>
      </c>
      <c r="H4802" s="5" t="s">
        <v>21</v>
      </c>
      <c r="I4802" s="5" t="s">
        <v>11758</v>
      </c>
      <c r="J4802" s="12" t="str">
        <f>HYPERLINK("https://www.boe.es/gazeta/dias/1802/08/31/pdfs/GMD-1802-71.pdf#page=10","Abrir facsímil")</f>
        <v>Abrir facsímil</v>
      </c>
      <c r="K4802" s="15" t="s">
        <v>23</v>
      </c>
    </row>
    <row r="4803" spans="1:11" ht="42" customHeight="1">
      <c r="A4803" s="4" t="s">
        <v>11759</v>
      </c>
      <c r="B4803" s="5" t="s">
        <v>11759</v>
      </c>
      <c r="C4803" s="5" t="s">
        <v>90</v>
      </c>
      <c r="D4803" s="5" t="s">
        <v>91</v>
      </c>
      <c r="E4803" s="5" t="s">
        <v>749</v>
      </c>
      <c r="F4803" s="9">
        <v>97</v>
      </c>
      <c r="G4803" s="9">
        <v>1203</v>
      </c>
      <c r="H4803" s="5" t="s">
        <v>21</v>
      </c>
      <c r="I4803" s="5" t="s">
        <v>11760</v>
      </c>
      <c r="J4803" s="12" t="str">
        <f>HYPERLINK("https://www.boe.es/gazeta/dias/1802/11/30/pdfs/GMD-1802-97.pdf#page=11","Abrir facsímil")</f>
        <v>Abrir facsímil</v>
      </c>
      <c r="K4803" s="15" t="s">
        <v>23</v>
      </c>
    </row>
    <row r="4804" spans="1:11" ht="42" customHeight="1">
      <c r="A4804" s="4" t="s">
        <v>11761</v>
      </c>
      <c r="B4804" s="5" t="s">
        <v>11762</v>
      </c>
      <c r="C4804" s="5" t="s">
        <v>35</v>
      </c>
      <c r="D4804" s="5" t="s">
        <v>36</v>
      </c>
      <c r="E4804" s="5" t="s">
        <v>60</v>
      </c>
      <c r="F4804" s="9">
        <v>5</v>
      </c>
      <c r="G4804" s="9">
        <v>47</v>
      </c>
      <c r="H4804" s="5" t="s">
        <v>21</v>
      </c>
      <c r="I4804" s="5" t="s">
        <v>11763</v>
      </c>
      <c r="J4804" s="12" t="str">
        <f>HYPERLINK("https://www.boe.es/gazeta/dias/1802/01/15/pdfs/GMD-1802-5.pdf#page=3","Abrir facsímil")</f>
        <v>Abrir facsímil</v>
      </c>
      <c r="K4804" s="15" t="s">
        <v>23</v>
      </c>
    </row>
    <row r="4805" spans="1:11" ht="42" customHeight="1">
      <c r="A4805" s="4" t="s">
        <v>11764</v>
      </c>
      <c r="B4805" s="5" t="s">
        <v>11765</v>
      </c>
      <c r="C4805" s="5" t="s">
        <v>18</v>
      </c>
      <c r="D4805" s="5" t="s">
        <v>19</v>
      </c>
      <c r="E4805" s="5" t="s">
        <v>206</v>
      </c>
      <c r="F4805" s="9">
        <v>22</v>
      </c>
      <c r="G4805" s="9">
        <v>239</v>
      </c>
      <c r="H4805" s="5" t="s">
        <v>21</v>
      </c>
      <c r="I4805" s="5" t="s">
        <v>11766</v>
      </c>
      <c r="J4805" s="12" t="str">
        <f>HYPERLINK("https://www.boe.es/gazeta/dias/1802/03/16/pdfs/GMD-1802-22.pdf#page=7","Abrir facsímil")</f>
        <v>Abrir facsímil</v>
      </c>
      <c r="K4805" s="15" t="s">
        <v>23</v>
      </c>
    </row>
    <row r="4806" spans="1:11" ht="42" customHeight="1">
      <c r="A4806" s="4" t="s">
        <v>11767</v>
      </c>
      <c r="B4806" s="5" t="s">
        <v>11767</v>
      </c>
      <c r="C4806" s="5" t="s">
        <v>35</v>
      </c>
      <c r="D4806" s="5" t="s">
        <v>36</v>
      </c>
      <c r="E4806" s="5" t="s">
        <v>381</v>
      </c>
      <c r="F4806" s="9">
        <v>13</v>
      </c>
      <c r="G4806" s="9">
        <v>126</v>
      </c>
      <c r="H4806" s="5" t="s">
        <v>21</v>
      </c>
      <c r="I4806" s="5" t="s">
        <v>11768</v>
      </c>
      <c r="J4806" s="12" t="str">
        <f>HYPERLINK("https://www.boe.es/gazeta/dias/1802/02/12/pdfs/GMD-1802-13.pdf#page=2","Abrir facsímil")</f>
        <v>Abrir facsímil</v>
      </c>
      <c r="K4806" s="15" t="s">
        <v>23</v>
      </c>
    </row>
    <row r="4807" spans="1:11" ht="42" customHeight="1">
      <c r="A4807" s="4" t="s">
        <v>11767</v>
      </c>
      <c r="B4807" s="5" t="s">
        <v>11767</v>
      </c>
      <c r="C4807" s="5" t="s">
        <v>35</v>
      </c>
      <c r="D4807" s="5" t="s">
        <v>36</v>
      </c>
      <c r="E4807" s="5" t="s">
        <v>71</v>
      </c>
      <c r="F4807" s="9">
        <v>21</v>
      </c>
      <c r="G4807" s="9">
        <v>229</v>
      </c>
      <c r="H4807" s="5" t="s">
        <v>21</v>
      </c>
      <c r="I4807" s="5" t="s">
        <v>11769</v>
      </c>
      <c r="J4807" s="12" t="str">
        <f>HYPERLINK("https://www.boe.es/gazeta/dias/1802/03/12/pdfs/GMD-1802-21.pdf#page=5","Abrir facsímil")</f>
        <v>Abrir facsímil</v>
      </c>
      <c r="K4807" s="15" t="s">
        <v>23</v>
      </c>
    </row>
    <row r="4808" spans="1:11" ht="42" customHeight="1">
      <c r="A4808" s="4" t="s">
        <v>11770</v>
      </c>
      <c r="B4808" s="5" t="s">
        <v>11770</v>
      </c>
      <c r="C4808" s="5" t="s">
        <v>29</v>
      </c>
      <c r="D4808" s="5" t="s">
        <v>30</v>
      </c>
      <c r="E4808" s="5" t="s">
        <v>311</v>
      </c>
      <c r="F4808" s="9">
        <v>88</v>
      </c>
      <c r="G4808" s="9">
        <v>1091</v>
      </c>
      <c r="H4808" s="5" t="s">
        <v>21</v>
      </c>
      <c r="I4808" s="5" t="s">
        <v>11771</v>
      </c>
      <c r="J4808" s="12" t="str">
        <f>HYPERLINK("https://www.boe.es/gazeta/dias/1802/10/29/pdfs/GMD-1802-88.pdf#page=7","Abrir facsímil")</f>
        <v>Abrir facsímil</v>
      </c>
      <c r="K4808" s="15" t="s">
        <v>23</v>
      </c>
    </row>
    <row r="4809" spans="1:11" ht="42" customHeight="1">
      <c r="A4809" s="4" t="s">
        <v>11772</v>
      </c>
      <c r="B4809" s="5" t="s">
        <v>11772</v>
      </c>
      <c r="C4809" s="5" t="s">
        <v>29</v>
      </c>
      <c r="D4809" s="5" t="s">
        <v>30</v>
      </c>
      <c r="E4809" s="5" t="s">
        <v>1618</v>
      </c>
      <c r="F4809" s="9">
        <v>31</v>
      </c>
      <c r="G4809" s="9">
        <v>359</v>
      </c>
      <c r="H4809" s="5" t="s">
        <v>21</v>
      </c>
      <c r="I4809" s="5" t="s">
        <v>11773</v>
      </c>
      <c r="J4809" s="12" t="str">
        <f>HYPERLINK("https://www.boe.es/gazeta/dias/1802/04/16/pdfs/GMD-1802-31.pdf#page=3","Abrir facsímil")</f>
        <v>Abrir facsímil</v>
      </c>
      <c r="K4809" s="15" t="s">
        <v>23</v>
      </c>
    </row>
    <row r="4810" spans="1:11" ht="42" customHeight="1">
      <c r="A4810" s="4" t="s">
        <v>11774</v>
      </c>
      <c r="B4810" s="5" t="s">
        <v>11775</v>
      </c>
      <c r="C4810" s="5" t="s">
        <v>29</v>
      </c>
      <c r="D4810" s="5" t="s">
        <v>30</v>
      </c>
      <c r="E4810" s="5" t="s">
        <v>481</v>
      </c>
      <c r="F4810" s="9">
        <v>79</v>
      </c>
      <c r="G4810" s="9">
        <v>974</v>
      </c>
      <c r="H4810" s="5" t="s">
        <v>21</v>
      </c>
      <c r="I4810" s="5" t="s">
        <v>11776</v>
      </c>
      <c r="J4810" s="12" t="str">
        <f>HYPERLINK("https://www.boe.es/gazeta/dias/1802/09/28/pdfs/GMD-1802-79.pdf#page=10","Abrir facsímil")</f>
        <v>Abrir facsímil</v>
      </c>
      <c r="K4810" s="15" t="s">
        <v>23</v>
      </c>
    </row>
    <row r="4811" spans="1:11" ht="42" customHeight="1">
      <c r="A4811" s="4" t="s">
        <v>11777</v>
      </c>
      <c r="B4811" s="5" t="s">
        <v>11777</v>
      </c>
      <c r="C4811" s="5" t="s">
        <v>35</v>
      </c>
      <c r="D4811" s="5" t="s">
        <v>36</v>
      </c>
      <c r="E4811" s="5" t="s">
        <v>71</v>
      </c>
      <c r="F4811" s="9">
        <v>21</v>
      </c>
      <c r="G4811" s="9">
        <v>228</v>
      </c>
      <c r="H4811" s="5" t="s">
        <v>21</v>
      </c>
      <c r="I4811" s="5" t="s">
        <v>11778</v>
      </c>
      <c r="J4811" s="12" t="str">
        <f>HYPERLINK("https://www.boe.es/gazeta/dias/1802/03/12/pdfs/GMD-1802-21.pdf#page=4","Abrir facsímil")</f>
        <v>Abrir facsímil</v>
      </c>
      <c r="K4811" s="15" t="s">
        <v>23</v>
      </c>
    </row>
    <row r="4812" spans="1:11" ht="42" customHeight="1">
      <c r="A4812" s="4" t="s">
        <v>11779</v>
      </c>
      <c r="B4812" s="5" t="s">
        <v>11779</v>
      </c>
      <c r="C4812" s="5" t="s">
        <v>18</v>
      </c>
      <c r="D4812" s="5" t="s">
        <v>19</v>
      </c>
      <c r="E4812" s="5" t="s">
        <v>170</v>
      </c>
      <c r="F4812" s="9">
        <v>28</v>
      </c>
      <c r="G4812" s="9">
        <v>325</v>
      </c>
      <c r="H4812" s="5" t="s">
        <v>21</v>
      </c>
      <c r="I4812" s="5" t="s">
        <v>11780</v>
      </c>
      <c r="J4812" s="12" t="str">
        <f>HYPERLINK("https://www.boe.es/gazeta/dias/1802/04/06/pdfs/GMD-1802-28.pdf#page=5","Abrir facsímil")</f>
        <v>Abrir facsímil</v>
      </c>
      <c r="K4812" s="15" t="s">
        <v>23</v>
      </c>
    </row>
    <row r="4813" spans="1:11" ht="42" customHeight="1">
      <c r="A4813" s="4" t="s">
        <v>11779</v>
      </c>
      <c r="B4813" s="5" t="s">
        <v>11779</v>
      </c>
      <c r="C4813" s="5" t="s">
        <v>35</v>
      </c>
      <c r="D4813" s="5" t="s">
        <v>36</v>
      </c>
      <c r="E4813" s="5" t="s">
        <v>258</v>
      </c>
      <c r="F4813" s="9">
        <v>63</v>
      </c>
      <c r="G4813" s="9">
        <v>763</v>
      </c>
      <c r="H4813" s="5" t="s">
        <v>21</v>
      </c>
      <c r="I4813" s="5" t="s">
        <v>11781</v>
      </c>
      <c r="J4813" s="12" t="str">
        <f>HYPERLINK("https://www.boe.es/gazeta/dias/1802/08/03/pdfs/GMD-1802-63.pdf#page=3","Abrir facsímil")</f>
        <v>Abrir facsímil</v>
      </c>
      <c r="K4813" s="15" t="s">
        <v>23</v>
      </c>
    </row>
    <row r="4814" spans="1:11" ht="42" customHeight="1">
      <c r="A4814" s="4" t="s">
        <v>11782</v>
      </c>
      <c r="B4814" s="5" t="s">
        <v>11783</v>
      </c>
      <c r="C4814" s="5" t="s">
        <v>29</v>
      </c>
      <c r="D4814" s="5" t="s">
        <v>30</v>
      </c>
      <c r="E4814" s="5" t="s">
        <v>1264</v>
      </c>
      <c r="F4814" s="9">
        <v>105</v>
      </c>
      <c r="G4814" s="9">
        <v>1286</v>
      </c>
      <c r="H4814" s="5" t="s">
        <v>21</v>
      </c>
      <c r="I4814" s="5" t="s">
        <v>11784</v>
      </c>
      <c r="J4814" s="12" t="str">
        <f>HYPERLINK("https://www.boe.es/gazeta/dias/1802/12/28/pdfs/GMD-1802-105.pdf#page=10","Abrir facsímil")</f>
        <v>Abrir facsímil</v>
      </c>
      <c r="K4814" s="15" t="s">
        <v>23</v>
      </c>
    </row>
    <row r="4815" spans="1:11" ht="42" customHeight="1">
      <c r="A4815" s="4" t="s">
        <v>11785</v>
      </c>
      <c r="B4815" s="5" t="s">
        <v>11786</v>
      </c>
      <c r="C4815" s="5" t="s">
        <v>35</v>
      </c>
      <c r="D4815" s="5" t="s">
        <v>36</v>
      </c>
      <c r="E4815" s="5" t="s">
        <v>491</v>
      </c>
      <c r="F4815" s="9">
        <v>57</v>
      </c>
      <c r="G4815" s="9">
        <v>684</v>
      </c>
      <c r="H4815" s="5" t="s">
        <v>21</v>
      </c>
      <c r="I4815" s="5" t="s">
        <v>11787</v>
      </c>
      <c r="J4815" s="12" t="str">
        <f>HYPERLINK("https://www.boe.es/gazeta/dias/1802/07/16/pdfs/GMD-1802-57.pdf#page=4","Abrir facsímil")</f>
        <v>Abrir facsímil</v>
      </c>
      <c r="K4815" s="15" t="s">
        <v>23</v>
      </c>
    </row>
    <row r="4816" spans="1:11" ht="42" customHeight="1">
      <c r="A4816" s="4" t="s">
        <v>11788</v>
      </c>
      <c r="B4816" s="5" t="s">
        <v>11788</v>
      </c>
      <c r="C4816" s="5" t="s">
        <v>35</v>
      </c>
      <c r="D4816" s="5" t="s">
        <v>36</v>
      </c>
      <c r="E4816" s="5" t="s">
        <v>86</v>
      </c>
      <c r="F4816" s="9">
        <v>26</v>
      </c>
      <c r="G4816" s="9">
        <v>295</v>
      </c>
      <c r="H4816" s="5" t="s">
        <v>21</v>
      </c>
      <c r="I4816" s="5" t="s">
        <v>11789</v>
      </c>
      <c r="J4816" s="12" t="str">
        <f>HYPERLINK("https://www.boe.es/gazeta/dias/1802/03/30/pdfs/GMD-1802-26.pdf#page=7","Abrir facsímil")</f>
        <v>Abrir facsímil</v>
      </c>
      <c r="K4816" s="15" t="s">
        <v>23</v>
      </c>
    </row>
    <row r="4817" spans="1:11" ht="42" customHeight="1">
      <c r="A4817" s="4" t="s">
        <v>11790</v>
      </c>
      <c r="B4817" s="5" t="s">
        <v>11790</v>
      </c>
      <c r="C4817" s="5" t="s">
        <v>55</v>
      </c>
      <c r="D4817" s="5" t="s">
        <v>56</v>
      </c>
      <c r="E4817" s="5" t="s">
        <v>311</v>
      </c>
      <c r="F4817" s="9">
        <v>88</v>
      </c>
      <c r="G4817" s="9">
        <v>1095</v>
      </c>
      <c r="H4817" s="5" t="s">
        <v>21</v>
      </c>
      <c r="I4817" s="5" t="s">
        <v>11791</v>
      </c>
      <c r="J4817" s="12" t="str">
        <f>HYPERLINK("https://www.boe.es/gazeta/dias/1802/10/29/pdfs/GMD-1802-88.pdf#page=11","Abrir facsímil")</f>
        <v>Abrir facsímil</v>
      </c>
      <c r="K4817" s="15" t="s">
        <v>23</v>
      </c>
    </row>
    <row r="4818" spans="1:11" ht="42" customHeight="1">
      <c r="A4818" s="4" t="s">
        <v>11792</v>
      </c>
      <c r="B4818" s="5" t="s">
        <v>11793</v>
      </c>
      <c r="C4818" s="5" t="s">
        <v>55</v>
      </c>
      <c r="D4818" s="5" t="s">
        <v>56</v>
      </c>
      <c r="E4818" s="5" t="s">
        <v>73</v>
      </c>
      <c r="F4818" s="9">
        <v>102</v>
      </c>
      <c r="G4818" s="9">
        <v>1256</v>
      </c>
      <c r="H4818" s="5" t="s">
        <v>21</v>
      </c>
      <c r="I4818" s="5" t="s">
        <v>11794</v>
      </c>
      <c r="J4818" s="12" t="str">
        <f>HYPERLINK("https://www.boe.es/gazeta/dias/1802/12/17/pdfs/GMD-1802-102.pdf#page=12","Abrir facsímil")</f>
        <v>Abrir facsímil</v>
      </c>
      <c r="K4818" s="15" t="s">
        <v>23</v>
      </c>
    </row>
    <row r="4819" spans="1:11" ht="42" customHeight="1">
      <c r="A4819" s="4" t="s">
        <v>11795</v>
      </c>
      <c r="B4819" s="5" t="s">
        <v>11796</v>
      </c>
      <c r="C4819" s="5" t="s">
        <v>29</v>
      </c>
      <c r="D4819" s="5" t="s">
        <v>30</v>
      </c>
      <c r="E4819" s="5" t="s">
        <v>44</v>
      </c>
      <c r="F4819" s="9">
        <v>99</v>
      </c>
      <c r="G4819" s="9">
        <v>1222</v>
      </c>
      <c r="H4819" s="5" t="s">
        <v>21</v>
      </c>
      <c r="I4819" s="5" t="s">
        <v>11797</v>
      </c>
      <c r="J4819" s="12" t="str">
        <f>HYPERLINK("https://www.boe.es/gazeta/dias/1802/12/07/pdfs/GMD-1802-99.pdf#page=6","Abrir facsímil")</f>
        <v>Abrir facsímil</v>
      </c>
      <c r="K4819" s="15" t="s">
        <v>23</v>
      </c>
    </row>
    <row r="4820" spans="1:11" ht="42" customHeight="1">
      <c r="A4820" s="4" t="s">
        <v>11798</v>
      </c>
      <c r="B4820" s="5" t="s">
        <v>11799</v>
      </c>
      <c r="C4820" s="5" t="s">
        <v>42</v>
      </c>
      <c r="D4820" s="5" t="s">
        <v>43</v>
      </c>
      <c r="E4820" s="5" t="s">
        <v>44</v>
      </c>
      <c r="F4820" s="9">
        <v>99</v>
      </c>
      <c r="G4820" s="9" t="s">
        <v>314</v>
      </c>
      <c r="H4820" s="5" t="s">
        <v>21</v>
      </c>
      <c r="I4820" s="5" t="s">
        <v>11800</v>
      </c>
      <c r="J4820" s="12" t="str">
        <f>HYPERLINK("https://www.boe.es/gazeta/dias/1802/12/07/pdfs/GMD-D-1802-99.pdf#page=2","Abrir facsímil")</f>
        <v>Abrir facsímil</v>
      </c>
      <c r="K4820" s="15" t="s">
        <v>23</v>
      </c>
    </row>
    <row r="4821" spans="1:11" ht="42" customHeight="1">
      <c r="A4821" s="4" t="s">
        <v>11801</v>
      </c>
      <c r="B4821" s="5" t="s">
        <v>11802</v>
      </c>
      <c r="C4821" s="5" t="s">
        <v>29</v>
      </c>
      <c r="D4821" s="5" t="s">
        <v>30</v>
      </c>
      <c r="E4821" s="5" t="s">
        <v>71</v>
      </c>
      <c r="F4821" s="9">
        <v>21</v>
      </c>
      <c r="G4821" s="9">
        <v>233</v>
      </c>
      <c r="H4821" s="5" t="s">
        <v>21</v>
      </c>
      <c r="I4821" s="5" t="s">
        <v>11803</v>
      </c>
      <c r="J4821" s="12" t="str">
        <f>HYPERLINK("https://www.boe.es/gazeta/dias/1802/03/12/pdfs/GMD-1802-21.pdf#page=9","Abrir facsímil")</f>
        <v>Abrir facsímil</v>
      </c>
      <c r="K4821" s="15" t="s">
        <v>23</v>
      </c>
    </row>
    <row r="4822" spans="1:11" ht="42" customHeight="1">
      <c r="A4822" s="4" t="s">
        <v>11804</v>
      </c>
      <c r="B4822" s="5" t="s">
        <v>11805</v>
      </c>
      <c r="C4822" s="5" t="s">
        <v>55</v>
      </c>
      <c r="D4822" s="5" t="s">
        <v>56</v>
      </c>
      <c r="E4822" s="5" t="s">
        <v>185</v>
      </c>
      <c r="F4822" s="9">
        <v>95</v>
      </c>
      <c r="G4822" s="9">
        <v>1175</v>
      </c>
      <c r="H4822" s="5" t="s">
        <v>21</v>
      </c>
      <c r="I4822" s="5" t="s">
        <v>11806</v>
      </c>
      <c r="J4822" s="12" t="str">
        <f>HYPERLINK("https://www.boe.es/gazeta/dias/1802/11/23/pdfs/GMD-1802-95.pdf#page=11","Abrir facsímil")</f>
        <v>Abrir facsímil</v>
      </c>
      <c r="K4822" s="15" t="s">
        <v>23</v>
      </c>
    </row>
    <row r="4823" spans="1:11" ht="42" customHeight="1">
      <c r="A4823" s="4" t="s">
        <v>11807</v>
      </c>
      <c r="B4823" s="5" t="s">
        <v>11808</v>
      </c>
      <c r="C4823" s="5" t="s">
        <v>18</v>
      </c>
      <c r="D4823" s="5" t="s">
        <v>19</v>
      </c>
      <c r="E4823" s="5" t="s">
        <v>20</v>
      </c>
      <c r="F4823" s="9">
        <v>84</v>
      </c>
      <c r="G4823" s="9">
        <v>1042</v>
      </c>
      <c r="H4823" s="5" t="s">
        <v>21</v>
      </c>
      <c r="I4823" s="5" t="s">
        <v>11809</v>
      </c>
      <c r="J4823" s="12" t="str">
        <f>HYPERLINK("https://www.boe.es/gazeta/dias/1802/10/15/pdfs/GMD-1802-84.pdf#page=10","Abrir facsímil")</f>
        <v>Abrir facsímil</v>
      </c>
      <c r="K4823" s="15" t="s">
        <v>23</v>
      </c>
    </row>
    <row r="4824" spans="1:11" ht="42" customHeight="1">
      <c r="A4824" s="4" t="s">
        <v>11810</v>
      </c>
      <c r="B4824" s="5" t="s">
        <v>11811</v>
      </c>
      <c r="C4824" s="5" t="s">
        <v>18</v>
      </c>
      <c r="D4824" s="5" t="s">
        <v>19</v>
      </c>
      <c r="E4824" s="5" t="s">
        <v>20</v>
      </c>
      <c r="F4824" s="9">
        <v>84</v>
      </c>
      <c r="G4824" s="9">
        <v>1047</v>
      </c>
      <c r="H4824" s="5" t="s">
        <v>21</v>
      </c>
      <c r="I4824" s="5" t="s">
        <v>11812</v>
      </c>
      <c r="J4824" s="12" t="str">
        <f>HYPERLINK("https://www.boe.es/gazeta/dias/1802/10/15/pdfs/GMD-1802-84.pdf#page=15","Abrir facsímil")</f>
        <v>Abrir facsímil</v>
      </c>
      <c r="K4824" s="15" t="s">
        <v>23</v>
      </c>
    </row>
    <row r="4825" spans="1:11" ht="42" customHeight="1">
      <c r="A4825" s="4" t="s">
        <v>11813</v>
      </c>
      <c r="B4825" s="5" t="s">
        <v>11814</v>
      </c>
      <c r="C4825" s="5" t="s">
        <v>18</v>
      </c>
      <c r="D4825" s="5" t="s">
        <v>19</v>
      </c>
      <c r="E4825" s="5" t="s">
        <v>49</v>
      </c>
      <c r="F4825" s="9">
        <v>83</v>
      </c>
      <c r="G4825" s="9">
        <v>1024</v>
      </c>
      <c r="H4825" s="5" t="s">
        <v>21</v>
      </c>
      <c r="I4825" s="5" t="s">
        <v>11815</v>
      </c>
      <c r="J4825" s="12" t="str">
        <f>HYPERLINK("https://www.boe.es/gazeta/dias/1802/10/12/pdfs/GMD-1802-83.pdf#page=12","Abrir facsímil")</f>
        <v>Abrir facsímil</v>
      </c>
      <c r="K4825" s="15" t="s">
        <v>23</v>
      </c>
    </row>
    <row r="4826" spans="1:11" ht="42" customHeight="1">
      <c r="A4826" s="4" t="s">
        <v>11816</v>
      </c>
      <c r="B4826" s="5" t="s">
        <v>11817</v>
      </c>
      <c r="C4826" s="5" t="s">
        <v>18</v>
      </c>
      <c r="D4826" s="5" t="s">
        <v>19</v>
      </c>
      <c r="E4826" s="5" t="s">
        <v>49</v>
      </c>
      <c r="F4826" s="9">
        <v>83</v>
      </c>
      <c r="G4826" s="9">
        <v>1024</v>
      </c>
      <c r="H4826" s="5" t="s">
        <v>21</v>
      </c>
      <c r="I4826" s="5" t="s">
        <v>11818</v>
      </c>
      <c r="J4826" s="12" t="str">
        <f>HYPERLINK("https://www.boe.es/gazeta/dias/1802/10/12/pdfs/GMD-1802-83.pdf#page=12","Abrir facsímil")</f>
        <v>Abrir facsímil</v>
      </c>
      <c r="K4826" s="15" t="s">
        <v>23</v>
      </c>
    </row>
    <row r="4827" spans="1:11" ht="42" customHeight="1">
      <c r="A4827" s="4" t="s">
        <v>11819</v>
      </c>
      <c r="B4827" s="5" t="s">
        <v>11820</v>
      </c>
      <c r="C4827" s="5" t="s">
        <v>90</v>
      </c>
      <c r="D4827" s="5" t="s">
        <v>91</v>
      </c>
      <c r="E4827" s="5" t="s">
        <v>60</v>
      </c>
      <c r="F4827" s="9">
        <v>5</v>
      </c>
      <c r="G4827" s="9">
        <v>50</v>
      </c>
      <c r="H4827" s="5" t="s">
        <v>21</v>
      </c>
      <c r="I4827" s="5" t="s">
        <v>11821</v>
      </c>
      <c r="J4827" s="12" t="str">
        <f>HYPERLINK("https://www.boe.es/gazeta/dias/1802/01/15/pdfs/GMD-1802-5.pdf#page=6","Abrir facsímil")</f>
        <v>Abrir facsímil</v>
      </c>
      <c r="K4827" s="15" t="s">
        <v>23</v>
      </c>
    </row>
    <row r="4828" spans="1:11" ht="42" customHeight="1">
      <c r="A4828" s="4" t="s">
        <v>11822</v>
      </c>
      <c r="B4828" s="5" t="s">
        <v>11823</v>
      </c>
      <c r="C4828" s="5" t="s">
        <v>29</v>
      </c>
      <c r="D4828" s="5" t="s">
        <v>30</v>
      </c>
      <c r="E4828" s="5" t="s">
        <v>1381</v>
      </c>
      <c r="F4828" s="9">
        <v>17</v>
      </c>
      <c r="G4828" s="9">
        <v>185</v>
      </c>
      <c r="H4828" s="5" t="s">
        <v>21</v>
      </c>
      <c r="I4828" s="5" t="s">
        <v>11824</v>
      </c>
      <c r="J4828" s="12" t="str">
        <f>HYPERLINK("https://www.boe.es/gazeta/dias/1802/02/26/pdfs/GMD-1802-17.pdf#page=9","Abrir facsímil")</f>
        <v>Abrir facsímil</v>
      </c>
      <c r="K4828" s="15" t="s">
        <v>23</v>
      </c>
    </row>
    <row r="4829" spans="1:11" ht="42" customHeight="1">
      <c r="A4829" s="4" t="s">
        <v>11825</v>
      </c>
      <c r="B4829" s="5" t="s">
        <v>11826</v>
      </c>
      <c r="C4829" s="5" t="s">
        <v>160</v>
      </c>
      <c r="D4829" s="5" t="s">
        <v>91</v>
      </c>
      <c r="E4829" s="5" t="s">
        <v>148</v>
      </c>
      <c r="F4829" s="9">
        <v>66</v>
      </c>
      <c r="G4829" s="9">
        <v>811</v>
      </c>
      <c r="H4829" s="5" t="s">
        <v>21</v>
      </c>
      <c r="I4829" s="5" t="s">
        <v>11827</v>
      </c>
      <c r="J4829" s="12" t="str">
        <f>HYPERLINK("https://www.boe.es/gazeta/dias/1802/08/13/pdfs/GMD-1802-66.pdf#page=15","Abrir facsímil")</f>
        <v>Abrir facsímil</v>
      </c>
      <c r="K4829" s="15" t="s">
        <v>23</v>
      </c>
    </row>
    <row r="4830" spans="1:11" ht="42" customHeight="1">
      <c r="A4830" s="4" t="s">
        <v>11828</v>
      </c>
      <c r="B4830" s="5" t="s">
        <v>11829</v>
      </c>
      <c r="C4830" s="5" t="s">
        <v>90</v>
      </c>
      <c r="D4830" s="5" t="s">
        <v>91</v>
      </c>
      <c r="E4830" s="5" t="s">
        <v>764</v>
      </c>
      <c r="F4830" s="9">
        <v>69</v>
      </c>
      <c r="G4830" s="9">
        <v>850</v>
      </c>
      <c r="H4830" s="5" t="s">
        <v>21</v>
      </c>
      <c r="I4830" s="5" t="s">
        <v>11830</v>
      </c>
      <c r="J4830" s="12" t="str">
        <f>HYPERLINK("https://www.boe.es/gazeta/dias/1802/08/24/pdfs/GMD-1802-69.pdf#page=10","Abrir facsímil")</f>
        <v>Abrir facsímil</v>
      </c>
      <c r="K4830" s="15" t="s">
        <v>23</v>
      </c>
    </row>
    <row r="4831" spans="1:11" ht="42" customHeight="1">
      <c r="A4831" s="4" t="s">
        <v>11831</v>
      </c>
      <c r="B4831" s="5" t="s">
        <v>11832</v>
      </c>
      <c r="C4831" s="5" t="s">
        <v>18</v>
      </c>
      <c r="D4831" s="5" t="s">
        <v>19</v>
      </c>
      <c r="E4831" s="5" t="s">
        <v>49</v>
      </c>
      <c r="F4831" s="9">
        <v>83</v>
      </c>
      <c r="G4831" s="9">
        <v>1022</v>
      </c>
      <c r="H4831" s="5" t="s">
        <v>21</v>
      </c>
      <c r="I4831" s="5" t="s">
        <v>11833</v>
      </c>
      <c r="J4831" s="12" t="str">
        <f>HYPERLINK("https://www.boe.es/gazeta/dias/1802/10/12/pdfs/GMD-1802-83.pdf#page=10","Abrir facsímil")</f>
        <v>Abrir facsímil</v>
      </c>
      <c r="K4831" s="15" t="s">
        <v>23</v>
      </c>
    </row>
    <row r="4832" spans="1:11" ht="42" customHeight="1">
      <c r="A4832" s="4" t="s">
        <v>11834</v>
      </c>
      <c r="B4832" s="5" t="s">
        <v>11834</v>
      </c>
      <c r="C4832" s="5" t="s">
        <v>18</v>
      </c>
      <c r="D4832" s="5" t="s">
        <v>19</v>
      </c>
      <c r="E4832" s="5" t="s">
        <v>49</v>
      </c>
      <c r="F4832" s="9">
        <v>83</v>
      </c>
      <c r="G4832" s="9">
        <v>1024</v>
      </c>
      <c r="H4832" s="5" t="s">
        <v>21</v>
      </c>
      <c r="I4832" s="5" t="s">
        <v>11835</v>
      </c>
      <c r="J4832" s="12" t="str">
        <f>HYPERLINK("https://www.boe.es/gazeta/dias/1802/10/12/pdfs/GMD-1802-83.pdf#page=12","Abrir facsímil")</f>
        <v>Abrir facsímil</v>
      </c>
      <c r="K4832" s="15" t="s">
        <v>23</v>
      </c>
    </row>
    <row r="4833" spans="1:11" ht="42" customHeight="1">
      <c r="A4833" s="4" t="s">
        <v>11836</v>
      </c>
      <c r="B4833" s="5" t="s">
        <v>11836</v>
      </c>
      <c r="C4833" s="5" t="s">
        <v>29</v>
      </c>
      <c r="D4833" s="5" t="s">
        <v>30</v>
      </c>
      <c r="E4833" s="5" t="s">
        <v>232</v>
      </c>
      <c r="F4833" s="9">
        <v>30</v>
      </c>
      <c r="G4833" s="9">
        <v>350</v>
      </c>
      <c r="H4833" s="5" t="s">
        <v>21</v>
      </c>
      <c r="I4833" s="5" t="s">
        <v>11837</v>
      </c>
      <c r="J4833" s="12" t="str">
        <f>HYPERLINK("https://www.boe.es/gazeta/dias/1802/04/13/pdfs/GMD-1802-30.pdf#page=6","Abrir facsímil")</f>
        <v>Abrir facsímil</v>
      </c>
      <c r="K4833" s="15" t="s">
        <v>23</v>
      </c>
    </row>
    <row r="4834" spans="1:11" ht="42" customHeight="1">
      <c r="A4834" s="4" t="s">
        <v>11838</v>
      </c>
      <c r="B4834" s="5" t="s">
        <v>11838</v>
      </c>
      <c r="C4834" s="5" t="s">
        <v>18</v>
      </c>
      <c r="D4834" s="5" t="s">
        <v>19</v>
      </c>
      <c r="E4834" s="5" t="s">
        <v>20</v>
      </c>
      <c r="F4834" s="9">
        <v>84</v>
      </c>
      <c r="G4834" s="9">
        <v>1044</v>
      </c>
      <c r="H4834" s="5" t="s">
        <v>21</v>
      </c>
      <c r="I4834" s="5" t="s">
        <v>11839</v>
      </c>
      <c r="J4834" s="12" t="str">
        <f>HYPERLINK("https://www.boe.es/gazeta/dias/1802/10/15/pdfs/GMD-1802-84.pdf#page=12","Abrir facsímil")</f>
        <v>Abrir facsímil</v>
      </c>
      <c r="K4834" s="15" t="s">
        <v>23</v>
      </c>
    </row>
    <row r="4835" spans="1:11" ht="42" customHeight="1">
      <c r="A4835" s="4" t="s">
        <v>11840</v>
      </c>
      <c r="B4835" s="5" t="s">
        <v>11841</v>
      </c>
      <c r="C4835" s="5" t="s">
        <v>35</v>
      </c>
      <c r="D4835" s="5" t="s">
        <v>36</v>
      </c>
      <c r="E4835" s="5" t="s">
        <v>339</v>
      </c>
      <c r="F4835" s="9">
        <v>39</v>
      </c>
      <c r="G4835" s="9">
        <v>462</v>
      </c>
      <c r="H4835" s="5" t="s">
        <v>21</v>
      </c>
      <c r="I4835" s="5" t="s">
        <v>11842</v>
      </c>
      <c r="J4835" s="12" t="str">
        <f>HYPERLINK("https://www.boe.es/gazeta/dias/1802/05/14/pdfs/GMD-1802-39.pdf#page=6","Abrir facsímil")</f>
        <v>Abrir facsímil</v>
      </c>
      <c r="K4835" s="15" t="s">
        <v>23</v>
      </c>
    </row>
    <row r="4836" spans="1:11" ht="42" customHeight="1">
      <c r="A4836" s="4" t="s">
        <v>11843</v>
      </c>
      <c r="B4836" s="5" t="s">
        <v>11844</v>
      </c>
      <c r="C4836" s="5" t="s">
        <v>18</v>
      </c>
      <c r="D4836" s="5" t="s">
        <v>19</v>
      </c>
      <c r="E4836" s="5" t="s">
        <v>670</v>
      </c>
      <c r="F4836" s="9">
        <v>40</v>
      </c>
      <c r="G4836" s="9">
        <v>483</v>
      </c>
      <c r="H4836" s="5" t="s">
        <v>21</v>
      </c>
      <c r="I4836" s="5" t="s">
        <v>11845</v>
      </c>
      <c r="J4836" s="12" t="str">
        <f>HYPERLINK("https://www.boe.es/gazeta/dias/1802/05/18/pdfs/GMD-1802-40.pdf#page=11","Abrir facsímil")</f>
        <v>Abrir facsímil</v>
      </c>
      <c r="K4836" s="15" t="s">
        <v>23</v>
      </c>
    </row>
    <row r="4837" spans="1:11" ht="42" customHeight="1">
      <c r="A4837" s="4" t="s">
        <v>11846</v>
      </c>
      <c r="B4837" s="5" t="s">
        <v>11846</v>
      </c>
      <c r="C4837" s="5" t="s">
        <v>29</v>
      </c>
      <c r="D4837" s="5" t="s">
        <v>30</v>
      </c>
      <c r="E4837" s="5" t="s">
        <v>44</v>
      </c>
      <c r="F4837" s="9">
        <v>99</v>
      </c>
      <c r="G4837" s="9">
        <v>1222</v>
      </c>
      <c r="H4837" s="5" t="s">
        <v>21</v>
      </c>
      <c r="I4837" s="5" t="s">
        <v>11847</v>
      </c>
      <c r="J4837" s="12" t="str">
        <f>HYPERLINK("https://www.boe.es/gazeta/dias/1802/12/07/pdfs/GMD-1802-99.pdf#page=6","Abrir facsímil")</f>
        <v>Abrir facsímil</v>
      </c>
      <c r="K4837" s="15" t="s">
        <v>23</v>
      </c>
    </row>
    <row r="4838" spans="1:11" ht="42" customHeight="1">
      <c r="A4838" s="4" t="s">
        <v>11848</v>
      </c>
      <c r="B4838" s="5" t="s">
        <v>11849</v>
      </c>
      <c r="C4838" s="5" t="s">
        <v>18</v>
      </c>
      <c r="D4838" s="5" t="s">
        <v>19</v>
      </c>
      <c r="E4838" s="5" t="s">
        <v>175</v>
      </c>
      <c r="F4838" s="9">
        <v>37</v>
      </c>
      <c r="G4838" s="9">
        <v>442</v>
      </c>
      <c r="H4838" s="5" t="s">
        <v>21</v>
      </c>
      <c r="I4838" s="5" t="s">
        <v>11850</v>
      </c>
      <c r="J4838" s="12" t="str">
        <f>HYPERLINK("https://www.boe.es/gazeta/dias/1802/05/07/pdfs/GMD-1802-37.pdf#page=10","Abrir facsímil")</f>
        <v>Abrir facsímil</v>
      </c>
      <c r="K4838" s="15" t="s">
        <v>23</v>
      </c>
    </row>
    <row r="4839" spans="1:11" ht="42" customHeight="1">
      <c r="A4839" s="4" t="s">
        <v>11851</v>
      </c>
      <c r="B4839" s="5" t="s">
        <v>11852</v>
      </c>
      <c r="C4839" s="5" t="s">
        <v>2417</v>
      </c>
      <c r="D4839" s="5" t="s">
        <v>2418</v>
      </c>
      <c r="E4839" s="5" t="s">
        <v>206</v>
      </c>
      <c r="F4839" s="9">
        <v>22</v>
      </c>
      <c r="G4839" s="9">
        <v>246</v>
      </c>
      <c r="H4839" s="5" t="s">
        <v>21</v>
      </c>
      <c r="I4839" s="5" t="s">
        <v>11853</v>
      </c>
      <c r="J4839" s="12" t="str">
        <f>HYPERLINK("https://www.boe.es/gazeta/dias/1802/03/16/pdfs/GMD-C-1802-22.pdf#page=2","Abrir facsímil")</f>
        <v>Abrir facsímil</v>
      </c>
      <c r="K4839" s="15" t="s">
        <v>23</v>
      </c>
    </row>
    <row r="4840" spans="1:11" ht="42" customHeight="1">
      <c r="A4840" s="4" t="s">
        <v>11851</v>
      </c>
      <c r="B4840" s="5" t="s">
        <v>11852</v>
      </c>
      <c r="C4840" s="5" t="s">
        <v>18</v>
      </c>
      <c r="D4840" s="5" t="s">
        <v>19</v>
      </c>
      <c r="E4840" s="5" t="s">
        <v>167</v>
      </c>
      <c r="F4840" s="9">
        <v>23</v>
      </c>
      <c r="G4840" s="9">
        <v>260</v>
      </c>
      <c r="H4840" s="5" t="s">
        <v>21</v>
      </c>
      <c r="I4840" s="5" t="s">
        <v>11854</v>
      </c>
      <c r="J4840" s="12" t="str">
        <f>HYPERLINK("https://www.boe.es/gazeta/dias/1802/03/19/pdfs/GMD-1802-23.pdf#page=8","Abrir facsímil")</f>
        <v>Abrir facsímil</v>
      </c>
      <c r="K4840" s="15" t="s">
        <v>23</v>
      </c>
    </row>
    <row r="4841" spans="1:11" ht="42" customHeight="1">
      <c r="A4841" s="4" t="s">
        <v>11851</v>
      </c>
      <c r="B4841" s="5" t="s">
        <v>11852</v>
      </c>
      <c r="C4841" s="5" t="s">
        <v>160</v>
      </c>
      <c r="D4841" s="5" t="s">
        <v>91</v>
      </c>
      <c r="E4841" s="5" t="s">
        <v>332</v>
      </c>
      <c r="F4841" s="9">
        <v>24</v>
      </c>
      <c r="G4841" s="9">
        <v>273</v>
      </c>
      <c r="H4841" s="5" t="s">
        <v>21</v>
      </c>
      <c r="I4841" s="5" t="s">
        <v>11855</v>
      </c>
      <c r="J4841" s="12" t="str">
        <f>HYPERLINK("https://www.boe.es/gazeta/dias/1802/03/23/pdfs/GMD-1802-24.pdf#page=9","Abrir facsímil")</f>
        <v>Abrir facsímil</v>
      </c>
      <c r="K4841" s="15" t="s">
        <v>23</v>
      </c>
    </row>
    <row r="4842" spans="1:11" ht="42" customHeight="1">
      <c r="A4842" s="4" t="s">
        <v>11851</v>
      </c>
      <c r="B4842" s="5" t="s">
        <v>11852</v>
      </c>
      <c r="C4842" s="5" t="s">
        <v>160</v>
      </c>
      <c r="D4842" s="5" t="s">
        <v>91</v>
      </c>
      <c r="E4842" s="5" t="s">
        <v>1749</v>
      </c>
      <c r="F4842" s="9">
        <v>60</v>
      </c>
      <c r="G4842" s="9">
        <v>730</v>
      </c>
      <c r="H4842" s="5" t="s">
        <v>21</v>
      </c>
      <c r="I4842" s="5" t="s">
        <v>11856</v>
      </c>
      <c r="J4842" s="12" t="str">
        <f>HYPERLINK("https://www.boe.es/gazeta/dias/1802/07/23/pdfs/GMD-1802-60.pdf#page=14","Abrir facsímil")</f>
        <v>Abrir facsímil</v>
      </c>
      <c r="K4842" s="15" t="s">
        <v>23</v>
      </c>
    </row>
    <row r="4843" spans="1:11" ht="42" customHeight="1">
      <c r="A4843" s="4" t="s">
        <v>11851</v>
      </c>
      <c r="B4843" s="5" t="s">
        <v>11852</v>
      </c>
      <c r="C4843" s="5" t="s">
        <v>160</v>
      </c>
      <c r="D4843" s="5" t="s">
        <v>91</v>
      </c>
      <c r="E4843" s="5" t="s">
        <v>517</v>
      </c>
      <c r="F4843" s="9">
        <v>61</v>
      </c>
      <c r="G4843" s="9">
        <v>742</v>
      </c>
      <c r="H4843" s="5" t="s">
        <v>21</v>
      </c>
      <c r="I4843" s="5" t="s">
        <v>11857</v>
      </c>
      <c r="J4843" s="12" t="str">
        <f>HYPERLINK("https://www.boe.es/gazeta/dias/1802/07/27/pdfs/GMD-1802-61.pdf#page=10","Abrir facsímil")</f>
        <v>Abrir facsímil</v>
      </c>
      <c r="K4843" s="15" t="s">
        <v>23</v>
      </c>
    </row>
    <row r="4844" spans="1:11" ht="42" customHeight="1">
      <c r="A4844" s="4" t="s">
        <v>11858</v>
      </c>
      <c r="B4844" s="5" t="s">
        <v>11859</v>
      </c>
      <c r="C4844" s="5" t="s">
        <v>160</v>
      </c>
      <c r="D4844" s="5" t="s">
        <v>91</v>
      </c>
      <c r="E4844" s="5" t="s">
        <v>292</v>
      </c>
      <c r="F4844" s="9">
        <v>62</v>
      </c>
      <c r="G4844" s="9">
        <v>755</v>
      </c>
      <c r="H4844" s="5" t="s">
        <v>21</v>
      </c>
      <c r="I4844" s="5" t="s">
        <v>11860</v>
      </c>
      <c r="J4844" s="12" t="str">
        <f>HYPERLINK("https://www.boe.es/gazeta/dias/1802/07/30/pdfs/GMD-1802-62.pdf#page=11","Abrir facsímil")</f>
        <v>Abrir facsímil</v>
      </c>
      <c r="K4844" s="15" t="s">
        <v>23</v>
      </c>
    </row>
    <row r="4845" spans="1:11" ht="42" customHeight="1">
      <c r="A4845" s="4" t="s">
        <v>11851</v>
      </c>
      <c r="B4845" s="5" t="s">
        <v>11852</v>
      </c>
      <c r="C4845" s="5" t="s">
        <v>160</v>
      </c>
      <c r="D4845" s="5" t="s">
        <v>91</v>
      </c>
      <c r="E4845" s="5" t="s">
        <v>1185</v>
      </c>
      <c r="F4845" s="9">
        <v>93</v>
      </c>
      <c r="G4845" s="9">
        <v>1151</v>
      </c>
      <c r="H4845" s="5" t="s">
        <v>21</v>
      </c>
      <c r="I4845" s="5" t="s">
        <v>11861</v>
      </c>
      <c r="J4845" s="12" t="str">
        <f>HYPERLINK("https://www.boe.es/gazeta/dias/1802/11/16/pdfs/GMD-1802-93.pdf#page=11","Abrir facsímil")</f>
        <v>Abrir facsímil</v>
      </c>
      <c r="K4845" s="15" t="s">
        <v>23</v>
      </c>
    </row>
    <row r="4846" spans="1:11" ht="42" customHeight="1">
      <c r="A4846" s="4" t="s">
        <v>11862</v>
      </c>
      <c r="B4846" s="5" t="s">
        <v>11863</v>
      </c>
      <c r="C4846" s="5" t="s">
        <v>29</v>
      </c>
      <c r="D4846" s="5" t="s">
        <v>30</v>
      </c>
      <c r="E4846" s="5" t="s">
        <v>436</v>
      </c>
      <c r="F4846" s="9">
        <v>58</v>
      </c>
      <c r="G4846" s="9">
        <v>704</v>
      </c>
      <c r="H4846" s="5" t="s">
        <v>21</v>
      </c>
      <c r="I4846" s="5" t="s">
        <v>11864</v>
      </c>
      <c r="J4846" s="12" t="str">
        <f>HYPERLINK("https://www.boe.es/gazeta/dias/1802/07/20/pdfs/GMD-1802-58.pdf#page=12","Abrir facsímil")</f>
        <v>Abrir facsímil</v>
      </c>
      <c r="K4846" s="15" t="s">
        <v>23</v>
      </c>
    </row>
    <row r="4847" spans="1:11" ht="42" customHeight="1">
      <c r="A4847" s="4" t="s">
        <v>11865</v>
      </c>
      <c r="B4847" s="5" t="s">
        <v>11866</v>
      </c>
      <c r="C4847" s="5" t="s">
        <v>29</v>
      </c>
      <c r="D4847" s="5" t="s">
        <v>30</v>
      </c>
      <c r="E4847" s="5" t="s">
        <v>71</v>
      </c>
      <c r="F4847" s="9">
        <v>21</v>
      </c>
      <c r="G4847" s="9">
        <v>232</v>
      </c>
      <c r="H4847" s="5" t="s">
        <v>21</v>
      </c>
      <c r="I4847" s="5" t="s">
        <v>11867</v>
      </c>
      <c r="J4847" s="12" t="str">
        <f>HYPERLINK("https://www.boe.es/gazeta/dias/1802/03/12/pdfs/GMD-1802-21.pdf#page=8","Abrir facsímil")</f>
        <v>Abrir facsímil</v>
      </c>
      <c r="K4847" s="15" t="s">
        <v>23</v>
      </c>
    </row>
    <row r="4848" spans="1:11" ht="42" customHeight="1">
      <c r="A4848" s="4" t="s">
        <v>11868</v>
      </c>
      <c r="B4848" s="5" t="s">
        <v>11869</v>
      </c>
      <c r="C4848" s="5" t="s">
        <v>29</v>
      </c>
      <c r="D4848" s="5" t="s">
        <v>30</v>
      </c>
      <c r="E4848" s="5" t="s">
        <v>1097</v>
      </c>
      <c r="F4848" s="9">
        <v>20</v>
      </c>
      <c r="G4848" s="9">
        <v>221</v>
      </c>
      <c r="H4848" s="5" t="s">
        <v>21</v>
      </c>
      <c r="I4848" s="5" t="s">
        <v>11870</v>
      </c>
      <c r="J4848" s="12" t="str">
        <f>HYPERLINK("https://www.boe.es/gazeta/dias/1802/03/09/pdfs/GMD-1802-20.pdf#page=9","Abrir facsímil")</f>
        <v>Abrir facsímil</v>
      </c>
      <c r="K4848" s="15" t="s">
        <v>23</v>
      </c>
    </row>
    <row r="4849" spans="1:11" ht="42" customHeight="1">
      <c r="A4849" s="4" t="s">
        <v>11871</v>
      </c>
      <c r="B4849" s="5" t="s">
        <v>11872</v>
      </c>
      <c r="C4849" s="5" t="s">
        <v>29</v>
      </c>
      <c r="D4849" s="5" t="s">
        <v>30</v>
      </c>
      <c r="E4849" s="5" t="s">
        <v>31</v>
      </c>
      <c r="F4849" s="9">
        <v>27</v>
      </c>
      <c r="G4849" s="9">
        <v>320</v>
      </c>
      <c r="H4849" s="5" t="s">
        <v>21</v>
      </c>
      <c r="I4849" s="5" t="s">
        <v>11873</v>
      </c>
      <c r="J4849" s="12" t="str">
        <f>HYPERLINK("https://www.boe.es/gazeta/dias/1802/04/02/pdfs/GMD-1802-27.pdf#page=16","Abrir facsímil")</f>
        <v>Abrir facsímil</v>
      </c>
      <c r="K4849" s="15" t="s">
        <v>23</v>
      </c>
    </row>
    <row r="4850" spans="1:11" ht="42" customHeight="1">
      <c r="A4850" s="4" t="s">
        <v>11874</v>
      </c>
      <c r="B4850" s="5" t="s">
        <v>11875</v>
      </c>
      <c r="C4850" s="5" t="s">
        <v>160</v>
      </c>
      <c r="D4850" s="5" t="s">
        <v>91</v>
      </c>
      <c r="E4850" s="5" t="s">
        <v>751</v>
      </c>
      <c r="F4850" s="9">
        <v>98</v>
      </c>
      <c r="G4850" s="9">
        <v>1213</v>
      </c>
      <c r="H4850" s="5" t="s">
        <v>21</v>
      </c>
      <c r="I4850" s="5" t="s">
        <v>11876</v>
      </c>
      <c r="J4850" s="12" t="str">
        <f>HYPERLINK("https://www.boe.es/gazeta/dias/1802/12/03/pdfs/GMD-1802-98.pdf#page=9","Abrir facsímil")</f>
        <v>Abrir facsímil</v>
      </c>
      <c r="K4850" s="15" t="s">
        <v>23</v>
      </c>
    </row>
    <row r="4851" spans="1:11" ht="42" customHeight="1">
      <c r="A4851" s="4" t="s">
        <v>11877</v>
      </c>
      <c r="B4851" s="5" t="s">
        <v>11878</v>
      </c>
      <c r="C4851" s="5" t="s">
        <v>160</v>
      </c>
      <c r="D4851" s="5" t="s">
        <v>91</v>
      </c>
      <c r="E4851" s="5" t="s">
        <v>31</v>
      </c>
      <c r="F4851" s="9">
        <v>27</v>
      </c>
      <c r="G4851" s="9">
        <v>318</v>
      </c>
      <c r="H4851" s="5" t="s">
        <v>21</v>
      </c>
      <c r="I4851" s="5" t="s">
        <v>11879</v>
      </c>
      <c r="J4851" s="12" t="str">
        <f>HYPERLINK("https://www.boe.es/gazeta/dias/1802/04/02/pdfs/GMD-1802-27.pdf#page=14","Abrir facsímil")</f>
        <v>Abrir facsímil</v>
      </c>
      <c r="K4851" s="15" t="s">
        <v>23</v>
      </c>
    </row>
    <row r="4852" spans="1:11" ht="42" customHeight="1">
      <c r="A4852" s="4" t="s">
        <v>11880</v>
      </c>
      <c r="B4852" s="5" t="s">
        <v>11881</v>
      </c>
      <c r="C4852" s="5" t="s">
        <v>18</v>
      </c>
      <c r="D4852" s="5" t="s">
        <v>19</v>
      </c>
      <c r="E4852" s="5" t="s">
        <v>886</v>
      </c>
      <c r="F4852" s="9">
        <v>7</v>
      </c>
      <c r="G4852" s="9">
        <v>67</v>
      </c>
      <c r="H4852" s="5" t="s">
        <v>21</v>
      </c>
      <c r="I4852" s="5" t="s">
        <v>11882</v>
      </c>
      <c r="J4852" s="12" t="str">
        <f>HYPERLINK("https://www.boe.es/gazeta/dias/1802/01/22/pdfs/GMD-1802-7.pdf#page=7","Abrir facsímil")</f>
        <v>Abrir facsímil</v>
      </c>
      <c r="K4852" s="15" t="s">
        <v>23</v>
      </c>
    </row>
    <row r="4853" spans="1:11" ht="42" customHeight="1">
      <c r="A4853" s="4" t="s">
        <v>11883</v>
      </c>
      <c r="B4853" s="5" t="s">
        <v>11884</v>
      </c>
      <c r="C4853" s="5" t="s">
        <v>29</v>
      </c>
      <c r="D4853" s="5" t="s">
        <v>30</v>
      </c>
      <c r="E4853" s="5" t="s">
        <v>49</v>
      </c>
      <c r="F4853" s="9">
        <v>83</v>
      </c>
      <c r="G4853" s="9">
        <v>1020</v>
      </c>
      <c r="H4853" s="5" t="s">
        <v>21</v>
      </c>
      <c r="I4853" s="5" t="s">
        <v>11885</v>
      </c>
      <c r="J4853" s="12" t="str">
        <f>HYPERLINK("https://www.boe.es/gazeta/dias/1802/10/12/pdfs/GMD-1802-83.pdf#page=8","Abrir facsímil")</f>
        <v>Abrir facsímil</v>
      </c>
      <c r="K4853" s="15" t="s">
        <v>23</v>
      </c>
    </row>
    <row r="4854" spans="1:11" ht="42" customHeight="1">
      <c r="A4854" s="4" t="s">
        <v>11886</v>
      </c>
      <c r="B4854" s="5" t="s">
        <v>11887</v>
      </c>
      <c r="C4854" s="5" t="s">
        <v>160</v>
      </c>
      <c r="D4854" s="5" t="s">
        <v>91</v>
      </c>
      <c r="E4854" s="5" t="s">
        <v>1407</v>
      </c>
      <c r="F4854" s="9">
        <v>8</v>
      </c>
      <c r="G4854" s="9">
        <v>79</v>
      </c>
      <c r="H4854" s="5" t="s">
        <v>21</v>
      </c>
      <c r="I4854" s="5" t="s">
        <v>11888</v>
      </c>
      <c r="J4854" s="12" t="str">
        <f>HYPERLINK("https://www.boe.es/gazeta/dias/1802/01/26/pdfs/GMD-1802-8.pdf#page=7","Abrir facsímil")</f>
        <v>Abrir facsímil</v>
      </c>
      <c r="K4854" s="15" t="s">
        <v>23</v>
      </c>
    </row>
    <row r="4855" spans="1:11" ht="42" customHeight="1">
      <c r="A4855" s="4" t="s">
        <v>11889</v>
      </c>
      <c r="B4855" s="5" t="s">
        <v>11890</v>
      </c>
      <c r="C4855" s="5" t="s">
        <v>55</v>
      </c>
      <c r="D4855" s="5" t="s">
        <v>56</v>
      </c>
      <c r="E4855" s="5" t="s">
        <v>60</v>
      </c>
      <c r="F4855" s="9">
        <v>5</v>
      </c>
      <c r="G4855" s="9">
        <v>51</v>
      </c>
      <c r="H4855" s="5" t="s">
        <v>21</v>
      </c>
      <c r="I4855" s="5" t="s">
        <v>11891</v>
      </c>
      <c r="J4855" s="12" t="str">
        <f>HYPERLINK("https://www.boe.es/gazeta/dias/1802/01/15/pdfs/GMD-1802-5.pdf#page=7","Abrir facsímil")</f>
        <v>Abrir facsímil</v>
      </c>
      <c r="K4855" s="15" t="s">
        <v>23</v>
      </c>
    </row>
    <row r="4856" spans="1:11" ht="42" customHeight="1">
      <c r="A4856" s="4" t="s">
        <v>11889</v>
      </c>
      <c r="B4856" s="5" t="s">
        <v>11890</v>
      </c>
      <c r="C4856" s="5" t="s">
        <v>160</v>
      </c>
      <c r="D4856" s="5" t="s">
        <v>91</v>
      </c>
      <c r="E4856" s="5" t="s">
        <v>31</v>
      </c>
      <c r="F4856" s="9">
        <v>27</v>
      </c>
      <c r="G4856" s="9">
        <v>319</v>
      </c>
      <c r="H4856" s="5" t="s">
        <v>21</v>
      </c>
      <c r="I4856" s="5" t="s">
        <v>11892</v>
      </c>
      <c r="J4856" s="12" t="str">
        <f>HYPERLINK("https://www.boe.es/gazeta/dias/1802/04/02/pdfs/GMD-1802-27.pdf#page=15","Abrir facsímil")</f>
        <v>Abrir facsímil</v>
      </c>
      <c r="K4856" s="15" t="s">
        <v>23</v>
      </c>
    </row>
    <row r="4857" spans="1:11" ht="42" customHeight="1">
      <c r="A4857" s="4" t="s">
        <v>11893</v>
      </c>
      <c r="B4857" s="5" t="s">
        <v>11894</v>
      </c>
      <c r="C4857" s="5" t="s">
        <v>90</v>
      </c>
      <c r="D4857" s="5" t="s">
        <v>91</v>
      </c>
      <c r="E4857" s="5" t="s">
        <v>1264</v>
      </c>
      <c r="F4857" s="9">
        <v>105</v>
      </c>
      <c r="G4857" s="9">
        <v>1287</v>
      </c>
      <c r="H4857" s="5" t="s">
        <v>21</v>
      </c>
      <c r="I4857" s="5" t="s">
        <v>11895</v>
      </c>
      <c r="J4857" s="12" t="str">
        <f>HYPERLINK("https://www.boe.es/gazeta/dias/1802/12/28/pdfs/GMD-1802-105.pdf#page=11","Abrir facsímil")</f>
        <v>Abrir facsímil</v>
      </c>
      <c r="K4857" s="15" t="s">
        <v>23</v>
      </c>
    </row>
    <row r="4858" spans="1:11" ht="42" customHeight="1">
      <c r="A4858" s="4" t="s">
        <v>11896</v>
      </c>
      <c r="B4858" s="5" t="s">
        <v>11897</v>
      </c>
      <c r="C4858" s="5" t="s">
        <v>29</v>
      </c>
      <c r="D4858" s="5" t="s">
        <v>30</v>
      </c>
      <c r="E4858" s="5" t="s">
        <v>881</v>
      </c>
      <c r="F4858" s="9">
        <v>65</v>
      </c>
      <c r="G4858" s="9">
        <v>792</v>
      </c>
      <c r="H4858" s="5" t="s">
        <v>21</v>
      </c>
      <c r="I4858" s="5" t="s">
        <v>11898</v>
      </c>
      <c r="J4858" s="12" t="str">
        <f>HYPERLINK("https://www.boe.es/gazeta/dias/1802/08/10/pdfs/GMD-1802-65.pdf#page=8","Abrir facsímil")</f>
        <v>Abrir facsímil</v>
      </c>
      <c r="K4858" s="15" t="s">
        <v>23</v>
      </c>
    </row>
    <row r="4859" spans="1:11" ht="42" customHeight="1">
      <c r="A4859" s="4" t="s">
        <v>11899</v>
      </c>
      <c r="B4859" s="5" t="s">
        <v>11900</v>
      </c>
      <c r="C4859" s="5" t="s">
        <v>29</v>
      </c>
      <c r="D4859" s="5" t="s">
        <v>30</v>
      </c>
      <c r="E4859" s="5" t="s">
        <v>764</v>
      </c>
      <c r="F4859" s="9">
        <v>69</v>
      </c>
      <c r="G4859" s="9">
        <v>851</v>
      </c>
      <c r="H4859" s="5" t="s">
        <v>21</v>
      </c>
      <c r="I4859" s="5" t="s">
        <v>11901</v>
      </c>
      <c r="J4859" s="12" t="str">
        <f>HYPERLINK("https://www.boe.es/gazeta/dias/1802/08/24/pdfs/GMD-1802-69.pdf#page=11","Abrir facsímil")</f>
        <v>Abrir facsímil</v>
      </c>
      <c r="K4859" s="15" t="s">
        <v>23</v>
      </c>
    </row>
    <row r="4860" spans="1:11" ht="42" customHeight="1">
      <c r="A4860" s="4" t="s">
        <v>11902</v>
      </c>
      <c r="B4860" s="5" t="s">
        <v>11903</v>
      </c>
      <c r="C4860" s="5" t="s">
        <v>18</v>
      </c>
      <c r="D4860" s="5" t="s">
        <v>19</v>
      </c>
      <c r="E4860" s="5" t="s">
        <v>86</v>
      </c>
      <c r="F4860" s="9">
        <v>26</v>
      </c>
      <c r="G4860" s="9">
        <v>297</v>
      </c>
      <c r="H4860" s="5" t="s">
        <v>21</v>
      </c>
      <c r="I4860" s="5" t="s">
        <v>11904</v>
      </c>
      <c r="J4860" s="12" t="str">
        <f>HYPERLINK("https://www.boe.es/gazeta/dias/1802/03/30/pdfs/GMD-1802-26.pdf#page=9","Abrir facsímil")</f>
        <v>Abrir facsímil</v>
      </c>
      <c r="K4860" s="15" t="s">
        <v>23</v>
      </c>
    </row>
    <row r="4861" spans="1:11" ht="42" customHeight="1">
      <c r="A4861" s="4" t="s">
        <v>11902</v>
      </c>
      <c r="B4861" s="5" t="s">
        <v>11903</v>
      </c>
      <c r="C4861" s="5" t="s">
        <v>29</v>
      </c>
      <c r="D4861" s="5" t="s">
        <v>30</v>
      </c>
      <c r="E4861" s="5" t="s">
        <v>75</v>
      </c>
      <c r="F4861" s="9">
        <v>103</v>
      </c>
      <c r="G4861" s="9">
        <v>1264</v>
      </c>
      <c r="H4861" s="5" t="s">
        <v>21</v>
      </c>
      <c r="I4861" s="5" t="s">
        <v>11905</v>
      </c>
      <c r="J4861" s="12" t="str">
        <f>HYPERLINK("https://www.boe.es/gazeta/dias/1802/12/21/pdfs/GMD-1802-103.pdf#page=8","Abrir facsímil")</f>
        <v>Abrir facsímil</v>
      </c>
      <c r="K4861" s="15" t="s">
        <v>23</v>
      </c>
    </row>
    <row r="4862" spans="1:11" ht="42" customHeight="1">
      <c r="A4862" s="4" t="s">
        <v>11906</v>
      </c>
      <c r="B4862" s="5" t="s">
        <v>11907</v>
      </c>
      <c r="C4862" s="5" t="s">
        <v>90</v>
      </c>
      <c r="D4862" s="5" t="s">
        <v>91</v>
      </c>
      <c r="E4862" s="5" t="s">
        <v>183</v>
      </c>
      <c r="F4862" s="9">
        <v>56</v>
      </c>
      <c r="G4862" s="9">
        <v>678</v>
      </c>
      <c r="H4862" s="5" t="s">
        <v>21</v>
      </c>
      <c r="I4862" s="5" t="s">
        <v>11908</v>
      </c>
      <c r="J4862" s="12" t="str">
        <f>HYPERLINK("https://www.boe.es/gazeta/dias/1802/07/13/pdfs/GMD-1802-56.pdf#page=10","Abrir facsímil")</f>
        <v>Abrir facsímil</v>
      </c>
      <c r="K4862" s="15" t="s">
        <v>23</v>
      </c>
    </row>
    <row r="4863" spans="1:11" ht="42" customHeight="1">
      <c r="A4863" s="4" t="s">
        <v>11909</v>
      </c>
      <c r="B4863" s="5" t="s">
        <v>11910</v>
      </c>
      <c r="C4863" s="5" t="s">
        <v>29</v>
      </c>
      <c r="D4863" s="5" t="s">
        <v>30</v>
      </c>
      <c r="E4863" s="5" t="s">
        <v>86</v>
      </c>
      <c r="F4863" s="9">
        <v>26</v>
      </c>
      <c r="G4863" s="9">
        <v>297</v>
      </c>
      <c r="H4863" s="5" t="s">
        <v>21</v>
      </c>
      <c r="I4863" s="5" t="s">
        <v>11911</v>
      </c>
      <c r="J4863" s="12" t="str">
        <f>HYPERLINK("https://www.boe.es/gazeta/dias/1802/03/30/pdfs/GMD-1802-26.pdf#page=9","Abrir facsímil")</f>
        <v>Abrir facsímil</v>
      </c>
      <c r="K4863" s="15" t="s">
        <v>23</v>
      </c>
    </row>
    <row r="4864" spans="1:11" ht="42" customHeight="1">
      <c r="A4864" s="4" t="s">
        <v>11912</v>
      </c>
      <c r="B4864" s="5" t="s">
        <v>11913</v>
      </c>
      <c r="C4864" s="5" t="s">
        <v>18</v>
      </c>
      <c r="D4864" s="5" t="s">
        <v>19</v>
      </c>
      <c r="E4864" s="5" t="s">
        <v>49</v>
      </c>
      <c r="F4864" s="9">
        <v>83</v>
      </c>
      <c r="G4864" s="9">
        <v>1023</v>
      </c>
      <c r="H4864" s="5" t="s">
        <v>21</v>
      </c>
      <c r="I4864" s="5" t="s">
        <v>11914</v>
      </c>
      <c r="J4864" s="12" t="str">
        <f>HYPERLINK("https://www.boe.es/gazeta/dias/1802/10/12/pdfs/GMD-1802-83.pdf#page=11","Abrir facsímil")</f>
        <v>Abrir facsímil</v>
      </c>
      <c r="K4864" s="15" t="s">
        <v>23</v>
      </c>
    </row>
    <row r="4865" spans="1:11" ht="42" customHeight="1">
      <c r="A4865" s="4" t="s">
        <v>11915</v>
      </c>
      <c r="B4865" s="5" t="s">
        <v>11916</v>
      </c>
      <c r="C4865" s="5" t="s">
        <v>160</v>
      </c>
      <c r="D4865" s="5" t="s">
        <v>91</v>
      </c>
      <c r="E4865" s="5" t="s">
        <v>20</v>
      </c>
      <c r="F4865" s="9">
        <v>84</v>
      </c>
      <c r="G4865" s="9">
        <v>1044</v>
      </c>
      <c r="H4865" s="5" t="s">
        <v>21</v>
      </c>
      <c r="I4865" s="5" t="s">
        <v>11917</v>
      </c>
      <c r="J4865" s="12" t="str">
        <f>HYPERLINK("https://www.boe.es/gazeta/dias/1802/10/15/pdfs/GMD-1802-84.pdf#page=12","Abrir facsímil")</f>
        <v>Abrir facsímil</v>
      </c>
      <c r="K4865" s="15" t="s">
        <v>23</v>
      </c>
    </row>
    <row r="4866" spans="1:11" ht="42" customHeight="1">
      <c r="A4866" s="4" t="s">
        <v>11918</v>
      </c>
      <c r="B4866" s="5" t="s">
        <v>11919</v>
      </c>
      <c r="C4866" s="5" t="s">
        <v>18</v>
      </c>
      <c r="D4866" s="5" t="s">
        <v>19</v>
      </c>
      <c r="E4866" s="5" t="s">
        <v>20</v>
      </c>
      <c r="F4866" s="9">
        <v>84</v>
      </c>
      <c r="G4866" s="9">
        <v>1042</v>
      </c>
      <c r="H4866" s="5" t="s">
        <v>21</v>
      </c>
      <c r="I4866" s="5" t="s">
        <v>11920</v>
      </c>
      <c r="J4866" s="12" t="str">
        <f>HYPERLINK("https://www.boe.es/gazeta/dias/1802/10/15/pdfs/GMD-1802-84.pdf#page=10","Abrir facsímil")</f>
        <v>Abrir facsímil</v>
      </c>
      <c r="K4866" s="15" t="s">
        <v>23</v>
      </c>
    </row>
    <row r="4867" spans="1:11" ht="42" customHeight="1">
      <c r="A4867" s="4" t="s">
        <v>11921</v>
      </c>
      <c r="B4867" s="5" t="s">
        <v>11922</v>
      </c>
      <c r="C4867" s="5" t="s">
        <v>42</v>
      </c>
      <c r="D4867" s="5" t="s">
        <v>43</v>
      </c>
      <c r="E4867" s="5" t="s">
        <v>44</v>
      </c>
      <c r="F4867" s="9">
        <v>99</v>
      </c>
      <c r="G4867" s="9" t="s">
        <v>537</v>
      </c>
      <c r="H4867" s="5" t="s">
        <v>21</v>
      </c>
      <c r="I4867" s="5" t="s">
        <v>11923</v>
      </c>
      <c r="J4867" s="12" t="str">
        <f>HYPERLINK("https://www.boe.es/gazeta/dias/1802/12/07/pdfs/GMD-D-1802-99.pdf#page=9","Abrir facsímil")</f>
        <v>Abrir facsímil</v>
      </c>
      <c r="K4867" s="15" t="s">
        <v>23</v>
      </c>
    </row>
    <row r="4868" spans="1:11" ht="42" customHeight="1">
      <c r="A4868" s="4" t="s">
        <v>11924</v>
      </c>
      <c r="B4868" s="5" t="s">
        <v>11925</v>
      </c>
      <c r="C4868" s="5" t="s">
        <v>29</v>
      </c>
      <c r="D4868" s="5" t="s">
        <v>30</v>
      </c>
      <c r="E4868" s="5" t="s">
        <v>635</v>
      </c>
      <c r="F4868" s="9">
        <v>47</v>
      </c>
      <c r="G4868" s="9">
        <v>573</v>
      </c>
      <c r="H4868" s="5" t="s">
        <v>21</v>
      </c>
      <c r="I4868" s="5" t="s">
        <v>11926</v>
      </c>
      <c r="J4868" s="12" t="str">
        <f>HYPERLINK("https://www.boe.es/gazeta/dias/1802/06/11/pdfs/GMD-1802-47.pdf#page=9","Abrir facsímil")</f>
        <v>Abrir facsímil</v>
      </c>
      <c r="K4868" s="15" t="s">
        <v>23</v>
      </c>
    </row>
    <row r="4869" spans="1:11" ht="42" customHeight="1">
      <c r="A4869" s="4" t="s">
        <v>11927</v>
      </c>
      <c r="B4869" s="5" t="s">
        <v>11928</v>
      </c>
      <c r="C4869" s="5" t="s">
        <v>42</v>
      </c>
      <c r="D4869" s="5" t="s">
        <v>43</v>
      </c>
      <c r="E4869" s="5" t="s">
        <v>44</v>
      </c>
      <c r="F4869" s="9">
        <v>99</v>
      </c>
      <c r="G4869" s="9" t="s">
        <v>314</v>
      </c>
      <c r="H4869" s="5" t="s">
        <v>21</v>
      </c>
      <c r="I4869" s="5" t="s">
        <v>11929</v>
      </c>
      <c r="J4869" s="12" t="str">
        <f>HYPERLINK("https://www.boe.es/gazeta/dias/1802/12/07/pdfs/GMD-D-1802-99.pdf#page=2","Abrir facsímil")</f>
        <v>Abrir facsímil</v>
      </c>
      <c r="K4869" s="15" t="s">
        <v>23</v>
      </c>
    </row>
    <row r="4870" spans="1:11" ht="42" customHeight="1">
      <c r="A4870" s="4" t="s">
        <v>11930</v>
      </c>
      <c r="B4870" s="5" t="s">
        <v>11931</v>
      </c>
      <c r="C4870" s="5" t="s">
        <v>18</v>
      </c>
      <c r="D4870" s="5" t="s">
        <v>19</v>
      </c>
      <c r="E4870" s="5" t="s">
        <v>590</v>
      </c>
      <c r="F4870" s="9">
        <v>38</v>
      </c>
      <c r="G4870" s="9">
        <v>454</v>
      </c>
      <c r="H4870" s="5" t="s">
        <v>21</v>
      </c>
      <c r="I4870" s="5" t="s">
        <v>11932</v>
      </c>
      <c r="J4870" s="12" t="str">
        <f>HYPERLINK("https://www.boe.es/gazeta/dias/1802/05/11/pdfs/GMD-1802-38.pdf#page=10","Abrir facsímil")</f>
        <v>Abrir facsímil</v>
      </c>
      <c r="K4870" s="15" t="s">
        <v>23</v>
      </c>
    </row>
    <row r="4871" spans="1:11" ht="42" customHeight="1">
      <c r="A4871" s="4" t="s">
        <v>11933</v>
      </c>
      <c r="B4871" s="5" t="s">
        <v>11934</v>
      </c>
      <c r="C4871" s="5" t="s">
        <v>42</v>
      </c>
      <c r="D4871" s="5" t="s">
        <v>43</v>
      </c>
      <c r="E4871" s="5" t="s">
        <v>44</v>
      </c>
      <c r="F4871" s="9">
        <v>99</v>
      </c>
      <c r="G4871" s="9" t="s">
        <v>322</v>
      </c>
      <c r="H4871" s="5" t="s">
        <v>21</v>
      </c>
      <c r="I4871" s="5" t="s">
        <v>11935</v>
      </c>
      <c r="J4871" s="12" t="str">
        <f>HYPERLINK("https://www.boe.es/gazeta/dias/1802/12/07/pdfs/GMD-D-1802-99.pdf#page=10","Abrir facsímil")</f>
        <v>Abrir facsímil</v>
      </c>
      <c r="K4871" s="15" t="s">
        <v>23</v>
      </c>
    </row>
    <row r="4872" spans="1:11" ht="42" customHeight="1">
      <c r="A4872" s="4" t="s">
        <v>11936</v>
      </c>
      <c r="B4872" s="5" t="s">
        <v>11937</v>
      </c>
      <c r="C4872" s="5" t="s">
        <v>29</v>
      </c>
      <c r="D4872" s="5" t="s">
        <v>30</v>
      </c>
      <c r="E4872" s="5" t="s">
        <v>163</v>
      </c>
      <c r="F4872" s="9">
        <v>1</v>
      </c>
      <c r="G4872" s="9">
        <v>7</v>
      </c>
      <c r="H4872" s="5" t="s">
        <v>21</v>
      </c>
      <c r="I4872" s="5" t="s">
        <v>11938</v>
      </c>
      <c r="J4872" s="12" t="str">
        <f>HYPERLINK("https://www.boe.es/gazeta/dias/1802/01/01/pdfs/GMD-1802-1.pdf#page=7","Abrir facsímil")</f>
        <v>Abrir facsímil</v>
      </c>
      <c r="K4872" s="15" t="s">
        <v>23</v>
      </c>
    </row>
    <row r="4873" spans="1:11" ht="42" customHeight="1">
      <c r="A4873" s="4" t="s">
        <v>11936</v>
      </c>
      <c r="B4873" s="5" t="s">
        <v>11937</v>
      </c>
      <c r="C4873" s="5" t="s">
        <v>29</v>
      </c>
      <c r="D4873" s="5" t="s">
        <v>30</v>
      </c>
      <c r="E4873" s="5" t="s">
        <v>670</v>
      </c>
      <c r="F4873" s="9">
        <v>40</v>
      </c>
      <c r="G4873" s="9">
        <v>481</v>
      </c>
      <c r="H4873" s="5" t="s">
        <v>21</v>
      </c>
      <c r="I4873" s="5" t="s">
        <v>11939</v>
      </c>
      <c r="J4873" s="12" t="str">
        <f>HYPERLINK("https://www.boe.es/gazeta/dias/1802/05/18/pdfs/GMD-1802-40.pdf#page=9","Abrir facsímil")</f>
        <v>Abrir facsímil</v>
      </c>
      <c r="K4873" s="15" t="s">
        <v>23</v>
      </c>
    </row>
    <row r="4874" spans="1:11" ht="42" customHeight="1">
      <c r="A4874" s="4" t="s">
        <v>11940</v>
      </c>
      <c r="B4874" s="5" t="s">
        <v>11941</v>
      </c>
      <c r="C4874" s="5" t="s">
        <v>42</v>
      </c>
      <c r="D4874" s="5" t="s">
        <v>43</v>
      </c>
      <c r="E4874" s="5" t="s">
        <v>44</v>
      </c>
      <c r="F4874" s="9">
        <v>99</v>
      </c>
      <c r="G4874" s="9" t="s">
        <v>779</v>
      </c>
      <c r="H4874" s="5" t="s">
        <v>21</v>
      </c>
      <c r="I4874" s="5" t="s">
        <v>11942</v>
      </c>
      <c r="J4874" s="12" t="str">
        <f>HYPERLINK("https://www.boe.es/gazeta/dias/1802/12/07/pdfs/GMD-D-1802-99.pdf#page=13","Abrir facsímil")</f>
        <v>Abrir facsímil</v>
      </c>
      <c r="K4874" s="15" t="s">
        <v>23</v>
      </c>
    </row>
    <row r="4875" spans="1:11" ht="42" customHeight="1">
      <c r="A4875" s="4" t="s">
        <v>11943</v>
      </c>
      <c r="B4875" s="5" t="s">
        <v>11944</v>
      </c>
      <c r="C4875" s="5" t="s">
        <v>42</v>
      </c>
      <c r="D4875" s="5" t="s">
        <v>43</v>
      </c>
      <c r="E4875" s="5" t="s">
        <v>44</v>
      </c>
      <c r="F4875" s="9">
        <v>99</v>
      </c>
      <c r="G4875" s="9" t="s">
        <v>272</v>
      </c>
      <c r="H4875" s="5" t="s">
        <v>21</v>
      </c>
      <c r="I4875" s="5" t="s">
        <v>11945</v>
      </c>
      <c r="J4875" s="12" t="str">
        <f>HYPERLINK("https://www.boe.es/gazeta/dias/1802/12/07/pdfs/GMD-D-1802-99.pdf#page=3","Abrir facsímil")</f>
        <v>Abrir facsímil</v>
      </c>
      <c r="K4875" s="15" t="s">
        <v>23</v>
      </c>
    </row>
    <row r="4876" spans="1:11" ht="42" customHeight="1">
      <c r="A4876" s="4" t="s">
        <v>11943</v>
      </c>
      <c r="B4876" s="5" t="s">
        <v>11944</v>
      </c>
      <c r="C4876" s="5" t="s">
        <v>42</v>
      </c>
      <c r="D4876" s="5" t="s">
        <v>43</v>
      </c>
      <c r="E4876" s="5" t="s">
        <v>44</v>
      </c>
      <c r="F4876" s="9">
        <v>99</v>
      </c>
      <c r="G4876" s="9" t="s">
        <v>554</v>
      </c>
      <c r="H4876" s="5" t="s">
        <v>21</v>
      </c>
      <c r="I4876" s="5" t="s">
        <v>11946</v>
      </c>
      <c r="J4876" s="12" t="str">
        <f>HYPERLINK("https://www.boe.es/gazeta/dias/1802/12/07/pdfs/GMD-D-1802-99.pdf#page=4","Abrir facsímil")</f>
        <v>Abrir facsímil</v>
      </c>
      <c r="K4876" s="15" t="s">
        <v>23</v>
      </c>
    </row>
    <row r="4877" spans="1:11" ht="42" customHeight="1">
      <c r="A4877" s="4" t="s">
        <v>11943</v>
      </c>
      <c r="B4877" s="5" t="s">
        <v>11944</v>
      </c>
      <c r="C4877" s="5" t="s">
        <v>42</v>
      </c>
      <c r="D4877" s="5" t="s">
        <v>43</v>
      </c>
      <c r="E4877" s="5" t="s">
        <v>44</v>
      </c>
      <c r="F4877" s="9">
        <v>99</v>
      </c>
      <c r="G4877" s="9" t="s">
        <v>295</v>
      </c>
      <c r="H4877" s="5" t="s">
        <v>21</v>
      </c>
      <c r="I4877" s="5" t="s">
        <v>11947</v>
      </c>
      <c r="J4877" s="12" t="str">
        <f>HYPERLINK("https://www.boe.es/gazeta/dias/1802/12/07/pdfs/GMD-D-1802-99.pdf#page=7","Abrir facsímil")</f>
        <v>Abrir facsímil</v>
      </c>
      <c r="K4877" s="15" t="s">
        <v>23</v>
      </c>
    </row>
    <row r="4878" spans="1:11" ht="42" customHeight="1">
      <c r="A4878" s="4" t="s">
        <v>11940</v>
      </c>
      <c r="B4878" s="5" t="s">
        <v>11941</v>
      </c>
      <c r="C4878" s="5" t="s">
        <v>42</v>
      </c>
      <c r="D4878" s="5" t="s">
        <v>43</v>
      </c>
      <c r="E4878" s="5" t="s">
        <v>44</v>
      </c>
      <c r="F4878" s="9">
        <v>99</v>
      </c>
      <c r="G4878" s="9" t="s">
        <v>262</v>
      </c>
      <c r="H4878" s="5" t="s">
        <v>21</v>
      </c>
      <c r="I4878" s="5" t="s">
        <v>11948</v>
      </c>
      <c r="J4878" s="12" t="str">
        <f>HYPERLINK("https://www.boe.es/gazeta/dias/1802/12/07/pdfs/GMD-D-1802-99.pdf#page=8","Abrir facsímil")</f>
        <v>Abrir facsímil</v>
      </c>
      <c r="K4878" s="15" t="s">
        <v>23</v>
      </c>
    </row>
    <row r="4879" spans="1:11" ht="42" customHeight="1">
      <c r="A4879" s="4" t="s">
        <v>11940</v>
      </c>
      <c r="B4879" s="5" t="s">
        <v>11941</v>
      </c>
      <c r="C4879" s="5" t="s">
        <v>42</v>
      </c>
      <c r="D4879" s="5" t="s">
        <v>43</v>
      </c>
      <c r="E4879" s="5" t="s">
        <v>44</v>
      </c>
      <c r="F4879" s="9">
        <v>99</v>
      </c>
      <c r="G4879" s="9" t="s">
        <v>537</v>
      </c>
      <c r="H4879" s="5" t="s">
        <v>21</v>
      </c>
      <c r="I4879" s="5" t="s">
        <v>11949</v>
      </c>
      <c r="J4879" s="12" t="str">
        <f>HYPERLINK("https://www.boe.es/gazeta/dias/1802/12/07/pdfs/GMD-D-1802-99.pdf#page=9","Abrir facsímil")</f>
        <v>Abrir facsímil</v>
      </c>
      <c r="K4879" s="15" t="s">
        <v>23</v>
      </c>
    </row>
    <row r="4880" spans="1:11" ht="42" customHeight="1">
      <c r="A4880" s="4" t="s">
        <v>11950</v>
      </c>
      <c r="B4880" s="5" t="s">
        <v>11951</v>
      </c>
      <c r="C4880" s="5" t="s">
        <v>18</v>
      </c>
      <c r="D4880" s="5" t="s">
        <v>19</v>
      </c>
      <c r="E4880" s="5" t="s">
        <v>49</v>
      </c>
      <c r="F4880" s="9">
        <v>83</v>
      </c>
      <c r="G4880" s="9">
        <v>1025</v>
      </c>
      <c r="H4880" s="5" t="s">
        <v>21</v>
      </c>
      <c r="I4880" s="5" t="s">
        <v>11952</v>
      </c>
      <c r="J4880" s="12" t="str">
        <f>HYPERLINK("https://www.boe.es/gazeta/dias/1802/10/12/pdfs/GMD-1802-83.pdf#page=13","Abrir facsímil")</f>
        <v>Abrir facsímil</v>
      </c>
      <c r="K4880" s="15" t="s">
        <v>23</v>
      </c>
    </row>
    <row r="4881" spans="1:11" ht="42" customHeight="1">
      <c r="A4881" s="4" t="s">
        <v>11953</v>
      </c>
      <c r="B4881" s="5" t="s">
        <v>11954</v>
      </c>
      <c r="C4881" s="5" t="s">
        <v>160</v>
      </c>
      <c r="D4881" s="5" t="s">
        <v>91</v>
      </c>
      <c r="E4881" s="5" t="s">
        <v>148</v>
      </c>
      <c r="F4881" s="9">
        <v>66</v>
      </c>
      <c r="G4881" s="9">
        <v>811</v>
      </c>
      <c r="H4881" s="5" t="s">
        <v>21</v>
      </c>
      <c r="I4881" s="5" t="s">
        <v>11955</v>
      </c>
      <c r="J4881" s="12" t="str">
        <f>HYPERLINK("https://www.boe.es/gazeta/dias/1802/08/13/pdfs/GMD-1802-66.pdf#page=15","Abrir facsímil")</f>
        <v>Abrir facsímil</v>
      </c>
      <c r="K4881" s="15" t="s">
        <v>23</v>
      </c>
    </row>
    <row r="4882" spans="1:11" ht="42" customHeight="1">
      <c r="A4882" s="4" t="s">
        <v>11956</v>
      </c>
      <c r="B4882" s="5" t="s">
        <v>11957</v>
      </c>
      <c r="C4882" s="5" t="s">
        <v>18</v>
      </c>
      <c r="D4882" s="5" t="s">
        <v>19</v>
      </c>
      <c r="E4882" s="5" t="s">
        <v>152</v>
      </c>
      <c r="F4882" s="9">
        <v>25</v>
      </c>
      <c r="G4882" s="9">
        <v>284</v>
      </c>
      <c r="H4882" s="5" t="s">
        <v>21</v>
      </c>
      <c r="I4882" s="5" t="s">
        <v>11958</v>
      </c>
      <c r="J4882" s="12" t="str">
        <f>HYPERLINK("https://www.boe.es/gazeta/dias/1802/03/26/pdfs/GMD-1802-25.pdf#page=8","Abrir facsímil")</f>
        <v>Abrir facsímil</v>
      </c>
      <c r="K4882" s="15" t="s">
        <v>23</v>
      </c>
    </row>
    <row r="4883" spans="1:11" ht="42" customHeight="1">
      <c r="A4883" s="4" t="s">
        <v>11956</v>
      </c>
      <c r="B4883" s="5" t="s">
        <v>11957</v>
      </c>
      <c r="C4883" s="5" t="s">
        <v>18</v>
      </c>
      <c r="D4883" s="5" t="s">
        <v>19</v>
      </c>
      <c r="E4883" s="5" t="s">
        <v>49</v>
      </c>
      <c r="F4883" s="9">
        <v>83</v>
      </c>
      <c r="G4883" s="9">
        <v>1024</v>
      </c>
      <c r="H4883" s="5" t="s">
        <v>21</v>
      </c>
      <c r="I4883" s="5" t="s">
        <v>11959</v>
      </c>
      <c r="J4883" s="12" t="str">
        <f>HYPERLINK("https://www.boe.es/gazeta/dias/1802/10/12/pdfs/GMD-1802-83.pdf#page=12","Abrir facsímil")</f>
        <v>Abrir facsímil</v>
      </c>
      <c r="K4883" s="15" t="s">
        <v>23</v>
      </c>
    </row>
    <row r="4884" spans="1:11" ht="42" customHeight="1">
      <c r="A4884" s="4" t="s">
        <v>11960</v>
      </c>
      <c r="B4884" s="5" t="s">
        <v>11961</v>
      </c>
      <c r="C4884" s="5" t="s">
        <v>29</v>
      </c>
      <c r="D4884" s="5" t="s">
        <v>30</v>
      </c>
      <c r="E4884" s="5" t="s">
        <v>71</v>
      </c>
      <c r="F4884" s="9">
        <v>21</v>
      </c>
      <c r="G4884" s="9">
        <v>234</v>
      </c>
      <c r="H4884" s="5" t="s">
        <v>21</v>
      </c>
      <c r="I4884" s="5" t="s">
        <v>11962</v>
      </c>
      <c r="J4884" s="12" t="str">
        <f>HYPERLINK("https://www.boe.es/gazeta/dias/1802/03/12/pdfs/GMD-1802-21.pdf#page=10","Abrir facsímil")</f>
        <v>Abrir facsímil</v>
      </c>
      <c r="K4884" s="15" t="s">
        <v>23</v>
      </c>
    </row>
    <row r="4885" spans="1:11" ht="42" customHeight="1">
      <c r="A4885" s="4" t="s">
        <v>11963</v>
      </c>
      <c r="B4885" s="5" t="s">
        <v>11964</v>
      </c>
      <c r="C4885" s="5" t="s">
        <v>42</v>
      </c>
      <c r="D4885" s="5" t="s">
        <v>43</v>
      </c>
      <c r="E4885" s="5" t="s">
        <v>44</v>
      </c>
      <c r="F4885" s="9">
        <v>99</v>
      </c>
      <c r="G4885" s="9" t="s">
        <v>251</v>
      </c>
      <c r="H4885" s="5" t="s">
        <v>21</v>
      </c>
      <c r="I4885" s="5" t="s">
        <v>11965</v>
      </c>
      <c r="J4885" s="12" t="str">
        <f>HYPERLINK("https://www.boe.es/gazeta/dias/1802/12/07/pdfs/GMD-D-1802-99.pdf#page=6","Abrir facsímil")</f>
        <v>Abrir facsímil</v>
      </c>
      <c r="K4885" s="15" t="s">
        <v>23</v>
      </c>
    </row>
    <row r="4886" spans="1:11" ht="42" customHeight="1">
      <c r="A4886" s="4" t="s">
        <v>11966</v>
      </c>
      <c r="B4886" s="5" t="s">
        <v>11967</v>
      </c>
      <c r="C4886" s="5" t="s">
        <v>18</v>
      </c>
      <c r="D4886" s="5" t="s">
        <v>19</v>
      </c>
      <c r="E4886" s="5" t="s">
        <v>49</v>
      </c>
      <c r="F4886" s="9">
        <v>83</v>
      </c>
      <c r="G4886" s="9">
        <v>1024</v>
      </c>
      <c r="H4886" s="5" t="s">
        <v>21</v>
      </c>
      <c r="I4886" s="5" t="s">
        <v>11968</v>
      </c>
      <c r="J4886" s="12" t="str">
        <f>HYPERLINK("https://www.boe.es/gazeta/dias/1802/10/12/pdfs/GMD-1802-83.pdf#page=12","Abrir facsímil")</f>
        <v>Abrir facsímil</v>
      </c>
      <c r="K4886" s="15" t="s">
        <v>23</v>
      </c>
    </row>
    <row r="4887" spans="1:11" ht="42" customHeight="1">
      <c r="A4887" s="4" t="s">
        <v>11969</v>
      </c>
      <c r="B4887" s="5" t="s">
        <v>11970</v>
      </c>
      <c r="C4887" s="5" t="s">
        <v>18</v>
      </c>
      <c r="D4887" s="5" t="s">
        <v>19</v>
      </c>
      <c r="E4887" s="5" t="s">
        <v>49</v>
      </c>
      <c r="F4887" s="9">
        <v>83</v>
      </c>
      <c r="G4887" s="9">
        <v>1025</v>
      </c>
      <c r="H4887" s="5" t="s">
        <v>21</v>
      </c>
      <c r="I4887" s="5" t="s">
        <v>11971</v>
      </c>
      <c r="J4887" s="12" t="str">
        <f>HYPERLINK("https://www.boe.es/gazeta/dias/1802/10/12/pdfs/GMD-1802-83.pdf#page=13","Abrir facsímil")</f>
        <v>Abrir facsímil</v>
      </c>
      <c r="K4887" s="15" t="s">
        <v>23</v>
      </c>
    </row>
    <row r="4888" spans="1:11" ht="42" customHeight="1">
      <c r="A4888" s="4" t="s">
        <v>11969</v>
      </c>
      <c r="B4888" s="5" t="s">
        <v>11970</v>
      </c>
      <c r="C4888" s="5" t="s">
        <v>18</v>
      </c>
      <c r="D4888" s="5" t="s">
        <v>19</v>
      </c>
      <c r="E4888" s="5" t="s">
        <v>20</v>
      </c>
      <c r="F4888" s="9">
        <v>84</v>
      </c>
      <c r="G4888" s="9">
        <v>1040</v>
      </c>
      <c r="H4888" s="5" t="s">
        <v>21</v>
      </c>
      <c r="I4888" s="5" t="s">
        <v>11972</v>
      </c>
      <c r="J4888" s="12" t="str">
        <f>HYPERLINK("https://www.boe.es/gazeta/dias/1802/10/15/pdfs/GMD-1802-84.pdf#page=8","Abrir facsímil")</f>
        <v>Abrir facsímil</v>
      </c>
      <c r="K4888" s="15" t="s">
        <v>23</v>
      </c>
    </row>
    <row r="4889" spans="1:11" ht="42" customHeight="1">
      <c r="A4889" s="4" t="s">
        <v>11973</v>
      </c>
      <c r="B4889" s="5" t="s">
        <v>11974</v>
      </c>
      <c r="C4889" s="5" t="s">
        <v>29</v>
      </c>
      <c r="D4889" s="5" t="s">
        <v>30</v>
      </c>
      <c r="E4889" s="5" t="s">
        <v>299</v>
      </c>
      <c r="F4889" s="9">
        <v>19</v>
      </c>
      <c r="G4889" s="9">
        <v>210</v>
      </c>
      <c r="H4889" s="5" t="s">
        <v>21</v>
      </c>
      <c r="I4889" s="5" t="s">
        <v>11975</v>
      </c>
      <c r="J4889" s="12" t="str">
        <f>HYPERLINK("https://www.boe.es/gazeta/dias/1802/03/05/pdfs/GMD-1802-19.pdf#page=10","Abrir facsímil")</f>
        <v>Abrir facsímil</v>
      </c>
      <c r="K4889" s="15" t="s">
        <v>23</v>
      </c>
    </row>
    <row r="4890" spans="1:11" ht="42" customHeight="1">
      <c r="A4890" s="4" t="s">
        <v>11973</v>
      </c>
      <c r="B4890" s="5" t="s">
        <v>11974</v>
      </c>
      <c r="C4890" s="5" t="s">
        <v>160</v>
      </c>
      <c r="D4890" s="5" t="s">
        <v>91</v>
      </c>
      <c r="E4890" s="5" t="s">
        <v>219</v>
      </c>
      <c r="F4890" s="9">
        <v>81</v>
      </c>
      <c r="G4890" s="9">
        <v>998</v>
      </c>
      <c r="H4890" s="5" t="s">
        <v>21</v>
      </c>
      <c r="I4890" s="5" t="s">
        <v>11976</v>
      </c>
      <c r="J4890" s="12" t="str">
        <f>HYPERLINK("https://www.boe.es/gazeta/dias/1802/10/05/pdfs/GMD-1802-81.pdf#page=10","Abrir facsímil")</f>
        <v>Abrir facsímil</v>
      </c>
      <c r="K4890" s="15" t="s">
        <v>23</v>
      </c>
    </row>
    <row r="4891" spans="1:11" ht="42" customHeight="1">
      <c r="A4891" s="4" t="s">
        <v>11977</v>
      </c>
      <c r="B4891" s="5" t="s">
        <v>11978</v>
      </c>
      <c r="C4891" s="5" t="s">
        <v>42</v>
      </c>
      <c r="D4891" s="5" t="s">
        <v>43</v>
      </c>
      <c r="E4891" s="5" t="s">
        <v>44</v>
      </c>
      <c r="F4891" s="9">
        <v>99</v>
      </c>
      <c r="G4891" s="9" t="s">
        <v>45</v>
      </c>
      <c r="H4891" s="5" t="s">
        <v>21</v>
      </c>
      <c r="I4891" s="5" t="s">
        <v>11979</v>
      </c>
      <c r="J4891" s="12" t="str">
        <f>HYPERLINK("https://www.boe.es/gazeta/dias/1802/12/07/pdfs/GMD-D-1802-99.pdf#page=14","Abrir facsímil")</f>
        <v>Abrir facsímil</v>
      </c>
      <c r="K4891" s="15" t="s">
        <v>23</v>
      </c>
    </row>
    <row r="4892" spans="1:11" ht="42" customHeight="1">
      <c r="A4892" s="4" t="s">
        <v>11980</v>
      </c>
      <c r="B4892" s="5" t="s">
        <v>11981</v>
      </c>
      <c r="C4892" s="5" t="s">
        <v>160</v>
      </c>
      <c r="D4892" s="5" t="s">
        <v>91</v>
      </c>
      <c r="E4892" s="5" t="s">
        <v>1959</v>
      </c>
      <c r="F4892" s="9">
        <v>34</v>
      </c>
      <c r="G4892" s="9">
        <v>399</v>
      </c>
      <c r="H4892" s="5" t="s">
        <v>21</v>
      </c>
      <c r="I4892" s="5" t="s">
        <v>11982</v>
      </c>
      <c r="J4892" s="12" t="str">
        <f>HYPERLINK("https://www.boe.es/gazeta/dias/1802/04/27/pdfs/GMD-1802-34.pdf#page=11","Abrir facsímil")</f>
        <v>Abrir facsímil</v>
      </c>
      <c r="K4892" s="15" t="s">
        <v>23</v>
      </c>
    </row>
    <row r="4893" spans="1:11" ht="42" customHeight="1">
      <c r="A4893" s="4" t="s">
        <v>11980</v>
      </c>
      <c r="B4893" s="5" t="s">
        <v>11981</v>
      </c>
      <c r="C4893" s="5" t="s">
        <v>160</v>
      </c>
      <c r="D4893" s="5" t="s">
        <v>91</v>
      </c>
      <c r="E4893" s="5" t="s">
        <v>328</v>
      </c>
      <c r="F4893" s="9">
        <v>45</v>
      </c>
      <c r="G4893" s="9">
        <v>546</v>
      </c>
      <c r="H4893" s="5" t="s">
        <v>21</v>
      </c>
      <c r="I4893" s="5" t="s">
        <v>11983</v>
      </c>
      <c r="J4893" s="12" t="str">
        <f>HYPERLINK("https://www.boe.es/gazeta/dias/1802/06/04/pdfs/GMD-1802-45.pdf#page=10","Abrir facsímil")</f>
        <v>Abrir facsímil</v>
      </c>
      <c r="K4893" s="15" t="s">
        <v>23</v>
      </c>
    </row>
    <row r="4894" spans="1:11" ht="42" customHeight="1">
      <c r="A4894" s="4" t="s">
        <v>11984</v>
      </c>
      <c r="B4894" s="5" t="s">
        <v>11985</v>
      </c>
      <c r="C4894" s="5" t="s">
        <v>42</v>
      </c>
      <c r="D4894" s="5" t="s">
        <v>43</v>
      </c>
      <c r="E4894" s="5" t="s">
        <v>44</v>
      </c>
      <c r="F4894" s="9">
        <v>99</v>
      </c>
      <c r="G4894" s="9" t="s">
        <v>322</v>
      </c>
      <c r="H4894" s="5" t="s">
        <v>21</v>
      </c>
      <c r="I4894" s="5" t="s">
        <v>11986</v>
      </c>
      <c r="J4894" s="12" t="str">
        <f>HYPERLINK("https://www.boe.es/gazeta/dias/1802/12/07/pdfs/GMD-D-1802-99.pdf#page=10","Abrir facsímil")</f>
        <v>Abrir facsímil</v>
      </c>
      <c r="K4894" s="15" t="s">
        <v>23</v>
      </c>
    </row>
    <row r="4895" spans="1:11" ht="42" customHeight="1">
      <c r="A4895" s="4" t="s">
        <v>11987</v>
      </c>
      <c r="B4895" s="5" t="s">
        <v>11988</v>
      </c>
      <c r="C4895" s="5" t="s">
        <v>42</v>
      </c>
      <c r="D4895" s="5" t="s">
        <v>43</v>
      </c>
      <c r="E4895" s="5" t="s">
        <v>44</v>
      </c>
      <c r="F4895" s="9">
        <v>99</v>
      </c>
      <c r="G4895" s="9" t="s">
        <v>45</v>
      </c>
      <c r="H4895" s="5" t="s">
        <v>21</v>
      </c>
      <c r="I4895" s="5" t="s">
        <v>11989</v>
      </c>
      <c r="J4895" s="12" t="str">
        <f>HYPERLINK("https://www.boe.es/gazeta/dias/1802/12/07/pdfs/GMD-D-1802-99.pdf#page=14","Abrir facsímil")</f>
        <v>Abrir facsímil</v>
      </c>
      <c r="K4895" s="15" t="s">
        <v>23</v>
      </c>
    </row>
    <row r="4896" spans="1:11" ht="42" customHeight="1">
      <c r="A4896" s="4" t="s">
        <v>11990</v>
      </c>
      <c r="B4896" s="5" t="s">
        <v>11991</v>
      </c>
      <c r="C4896" s="5" t="s">
        <v>160</v>
      </c>
      <c r="D4896" s="5" t="s">
        <v>91</v>
      </c>
      <c r="E4896" s="5" t="s">
        <v>131</v>
      </c>
      <c r="F4896" s="9">
        <v>11</v>
      </c>
      <c r="G4896" s="9">
        <v>115</v>
      </c>
      <c r="H4896" s="5" t="s">
        <v>21</v>
      </c>
      <c r="I4896" s="5" t="s">
        <v>11992</v>
      </c>
      <c r="J4896" s="12" t="str">
        <f>HYPERLINK("https://www.boe.es/gazeta/dias/1802/02/05/pdfs/GMD-1802-11.pdf#page=11","Abrir facsímil")</f>
        <v>Abrir facsímil</v>
      </c>
      <c r="K4896" s="15" t="s">
        <v>23</v>
      </c>
    </row>
    <row r="4897" spans="1:11" ht="42" customHeight="1">
      <c r="A4897" s="4" t="s">
        <v>11993</v>
      </c>
      <c r="B4897" s="5" t="s">
        <v>11994</v>
      </c>
      <c r="C4897" s="5" t="s">
        <v>42</v>
      </c>
      <c r="D4897" s="5" t="s">
        <v>43</v>
      </c>
      <c r="E4897" s="5" t="s">
        <v>44</v>
      </c>
      <c r="F4897" s="9">
        <v>99</v>
      </c>
      <c r="G4897" s="9" t="s">
        <v>45</v>
      </c>
      <c r="H4897" s="5" t="s">
        <v>21</v>
      </c>
      <c r="I4897" s="5" t="s">
        <v>11995</v>
      </c>
      <c r="J4897" s="12" t="str">
        <f>HYPERLINK("https://www.boe.es/gazeta/dias/1802/12/07/pdfs/GMD-D-1802-99.pdf#page=14","Abrir facsímil")</f>
        <v>Abrir facsímil</v>
      </c>
      <c r="K4897" s="15" t="s">
        <v>23</v>
      </c>
    </row>
    <row r="4898" spans="1:11" ht="42" customHeight="1">
      <c r="A4898" s="4" t="s">
        <v>11996</v>
      </c>
      <c r="B4898" s="5" t="s">
        <v>11997</v>
      </c>
      <c r="C4898" s="5" t="s">
        <v>18</v>
      </c>
      <c r="D4898" s="5" t="s">
        <v>19</v>
      </c>
      <c r="E4898" s="5" t="s">
        <v>60</v>
      </c>
      <c r="F4898" s="9">
        <v>5</v>
      </c>
      <c r="G4898" s="9">
        <v>50</v>
      </c>
      <c r="H4898" s="5" t="s">
        <v>21</v>
      </c>
      <c r="I4898" s="5" t="s">
        <v>11998</v>
      </c>
      <c r="J4898" s="12" t="str">
        <f>HYPERLINK("https://www.boe.es/gazeta/dias/1802/01/15/pdfs/GMD-1802-5.pdf#page=6","Abrir facsímil")</f>
        <v>Abrir facsímil</v>
      </c>
      <c r="K4898" s="15" t="s">
        <v>23</v>
      </c>
    </row>
    <row r="4899" spans="1:11" ht="42" customHeight="1">
      <c r="A4899" s="4" t="s">
        <v>11999</v>
      </c>
      <c r="B4899" s="5" t="s">
        <v>12000</v>
      </c>
      <c r="C4899" s="5" t="s">
        <v>29</v>
      </c>
      <c r="D4899" s="5" t="s">
        <v>30</v>
      </c>
      <c r="E4899" s="5" t="s">
        <v>1332</v>
      </c>
      <c r="F4899" s="9">
        <v>4</v>
      </c>
      <c r="G4899" s="9">
        <v>38</v>
      </c>
      <c r="H4899" s="5" t="s">
        <v>21</v>
      </c>
      <c r="I4899" s="5" t="s">
        <v>12001</v>
      </c>
      <c r="J4899" s="12" t="str">
        <f>HYPERLINK("https://www.boe.es/gazeta/dias/1802/01/12/pdfs/GMD-1802-4.pdf#page=10","Abrir facsímil")</f>
        <v>Abrir facsímil</v>
      </c>
      <c r="K4899" s="15" t="s">
        <v>23</v>
      </c>
    </row>
    <row r="4900" spans="1:11" ht="42" customHeight="1">
      <c r="A4900" s="4" t="s">
        <v>12002</v>
      </c>
      <c r="B4900" s="5" t="s">
        <v>12003</v>
      </c>
      <c r="C4900" s="5" t="s">
        <v>55</v>
      </c>
      <c r="D4900" s="5" t="s">
        <v>56</v>
      </c>
      <c r="E4900" s="5" t="s">
        <v>311</v>
      </c>
      <c r="F4900" s="9">
        <v>88</v>
      </c>
      <c r="G4900" s="9">
        <v>1096</v>
      </c>
      <c r="H4900" s="5" t="s">
        <v>21</v>
      </c>
      <c r="I4900" s="5" t="s">
        <v>12004</v>
      </c>
      <c r="J4900" s="12" t="str">
        <f>HYPERLINK("https://www.boe.es/gazeta/dias/1802/10/29/pdfs/GMD-1802-88.pdf#page=12","Abrir facsímil")</f>
        <v>Abrir facsímil</v>
      </c>
      <c r="K4900" s="15" t="s">
        <v>23</v>
      </c>
    </row>
    <row r="4901" spans="1:11" ht="42" customHeight="1">
      <c r="A4901" s="4" t="s">
        <v>12005</v>
      </c>
      <c r="B4901" s="5" t="s">
        <v>12006</v>
      </c>
      <c r="C4901" s="5" t="s">
        <v>18</v>
      </c>
      <c r="D4901" s="5" t="s">
        <v>19</v>
      </c>
      <c r="E4901" s="5" t="s">
        <v>881</v>
      </c>
      <c r="F4901" s="9">
        <v>65</v>
      </c>
      <c r="G4901" s="9">
        <v>791</v>
      </c>
      <c r="H4901" s="5" t="s">
        <v>21</v>
      </c>
      <c r="I4901" s="5" t="s">
        <v>12007</v>
      </c>
      <c r="J4901" s="12" t="str">
        <f>HYPERLINK("https://www.boe.es/gazeta/dias/1802/08/10/pdfs/GMD-1802-65.pdf#page=7","Abrir facsímil")</f>
        <v>Abrir facsímil</v>
      </c>
      <c r="K4901" s="15" t="s">
        <v>23</v>
      </c>
    </row>
    <row r="4902" spans="1:11" ht="42" customHeight="1">
      <c r="A4902" s="4" t="s">
        <v>12008</v>
      </c>
      <c r="B4902" s="5" t="s">
        <v>12009</v>
      </c>
      <c r="C4902" s="5" t="s">
        <v>29</v>
      </c>
      <c r="D4902" s="5" t="s">
        <v>30</v>
      </c>
      <c r="E4902" s="5" t="s">
        <v>517</v>
      </c>
      <c r="F4902" s="9">
        <v>61</v>
      </c>
      <c r="G4902" s="9">
        <v>740</v>
      </c>
      <c r="H4902" s="5" t="s">
        <v>21</v>
      </c>
      <c r="I4902" s="5" t="s">
        <v>12010</v>
      </c>
      <c r="J4902" s="12" t="str">
        <f>HYPERLINK("https://www.boe.es/gazeta/dias/1802/07/27/pdfs/GMD-1802-61.pdf#page=8","Abrir facsímil")</f>
        <v>Abrir facsímil</v>
      </c>
      <c r="K4902" s="15" t="s">
        <v>23</v>
      </c>
    </row>
    <row r="4903" spans="1:11" ht="42" customHeight="1">
      <c r="A4903" s="4" t="s">
        <v>12011</v>
      </c>
      <c r="B4903" s="5" t="s">
        <v>12011</v>
      </c>
      <c r="C4903" s="5" t="s">
        <v>35</v>
      </c>
      <c r="D4903" s="5" t="s">
        <v>36</v>
      </c>
      <c r="E4903" s="5" t="s">
        <v>453</v>
      </c>
      <c r="F4903" s="9">
        <v>52</v>
      </c>
      <c r="G4903" s="9">
        <v>627</v>
      </c>
      <c r="H4903" s="5" t="s">
        <v>21</v>
      </c>
      <c r="I4903" s="5" t="s">
        <v>12012</v>
      </c>
      <c r="J4903" s="12" t="str">
        <f>HYPERLINK("https://www.boe.es/gazeta/dias/1802/06/29/pdfs/GMD-1802-52.pdf#page=3","Abrir facsímil")</f>
        <v>Abrir facsímil</v>
      </c>
      <c r="K4903" s="15" t="s">
        <v>23</v>
      </c>
    </row>
    <row r="4904" spans="1:11" ht="42" customHeight="1">
      <c r="A4904" s="4" t="s">
        <v>12013</v>
      </c>
      <c r="B4904" s="5" t="s">
        <v>12013</v>
      </c>
      <c r="C4904" s="5" t="s">
        <v>29</v>
      </c>
      <c r="D4904" s="5" t="s">
        <v>30</v>
      </c>
      <c r="E4904" s="5" t="s">
        <v>517</v>
      </c>
      <c r="F4904" s="9">
        <v>61</v>
      </c>
      <c r="G4904" s="9">
        <v>740</v>
      </c>
      <c r="H4904" s="5" t="s">
        <v>21</v>
      </c>
      <c r="I4904" s="5" t="s">
        <v>12014</v>
      </c>
      <c r="J4904" s="12" t="str">
        <f>HYPERLINK("https://www.boe.es/gazeta/dias/1802/07/27/pdfs/GMD-1802-61.pdf#page=8","Abrir facsímil")</f>
        <v>Abrir facsímil</v>
      </c>
      <c r="K4904" s="15" t="s">
        <v>23</v>
      </c>
    </row>
    <row r="4905" spans="1:11" ht="42" customHeight="1">
      <c r="A4905" s="4" t="s">
        <v>12015</v>
      </c>
      <c r="B4905" s="5" t="s">
        <v>12016</v>
      </c>
      <c r="C4905" s="5" t="s">
        <v>42</v>
      </c>
      <c r="D4905" s="5" t="s">
        <v>43</v>
      </c>
      <c r="E4905" s="5" t="s">
        <v>44</v>
      </c>
      <c r="F4905" s="9">
        <v>99</v>
      </c>
      <c r="G4905" s="9" t="s">
        <v>322</v>
      </c>
      <c r="H4905" s="5" t="s">
        <v>21</v>
      </c>
      <c r="I4905" s="5" t="s">
        <v>12017</v>
      </c>
      <c r="J4905" s="12" t="str">
        <f>HYPERLINK("https://www.boe.es/gazeta/dias/1802/12/07/pdfs/GMD-D-1802-99.pdf#page=10","Abrir facsímil")</f>
        <v>Abrir facsímil</v>
      </c>
      <c r="K4905" s="15" t="s">
        <v>23</v>
      </c>
    </row>
    <row r="4906" spans="1:11" ht="42" customHeight="1">
      <c r="A4906" s="4" t="s">
        <v>12018</v>
      </c>
      <c r="B4906" s="5" t="s">
        <v>12019</v>
      </c>
      <c r="C4906" s="5" t="s">
        <v>42</v>
      </c>
      <c r="D4906" s="5" t="s">
        <v>43</v>
      </c>
      <c r="E4906" s="5" t="s">
        <v>44</v>
      </c>
      <c r="F4906" s="9">
        <v>99</v>
      </c>
      <c r="G4906" s="9" t="s">
        <v>537</v>
      </c>
      <c r="H4906" s="5" t="s">
        <v>21</v>
      </c>
      <c r="I4906" s="5" t="s">
        <v>12020</v>
      </c>
      <c r="J4906" s="12" t="str">
        <f>HYPERLINK("https://www.boe.es/gazeta/dias/1802/12/07/pdfs/GMD-D-1802-99.pdf#page=9","Abrir facsímil")</f>
        <v>Abrir facsímil</v>
      </c>
      <c r="K4906" s="15" t="s">
        <v>23</v>
      </c>
    </row>
    <row r="4907" spans="1:11" ht="42" customHeight="1">
      <c r="A4907" s="4" t="s">
        <v>12021</v>
      </c>
      <c r="B4907" s="5" t="s">
        <v>12022</v>
      </c>
      <c r="C4907" s="5" t="s">
        <v>42</v>
      </c>
      <c r="D4907" s="5" t="s">
        <v>43</v>
      </c>
      <c r="E4907" s="5" t="s">
        <v>44</v>
      </c>
      <c r="F4907" s="9">
        <v>99</v>
      </c>
      <c r="G4907" s="9" t="s">
        <v>251</v>
      </c>
      <c r="H4907" s="5" t="s">
        <v>21</v>
      </c>
      <c r="I4907" s="5" t="s">
        <v>12023</v>
      </c>
      <c r="J4907" s="12" t="str">
        <f>HYPERLINK("https://www.boe.es/gazeta/dias/1802/12/07/pdfs/GMD-D-1802-99.pdf#page=6","Abrir facsímil")</f>
        <v>Abrir facsímil</v>
      </c>
      <c r="K4907" s="15" t="s">
        <v>23</v>
      </c>
    </row>
    <row r="4908" spans="1:11" ht="42" customHeight="1">
      <c r="A4908" s="4" t="s">
        <v>12024</v>
      </c>
      <c r="B4908" s="5" t="s">
        <v>12025</v>
      </c>
      <c r="C4908" s="5" t="s">
        <v>35</v>
      </c>
      <c r="D4908" s="5" t="s">
        <v>36</v>
      </c>
      <c r="E4908" s="5" t="s">
        <v>642</v>
      </c>
      <c r="F4908" s="9">
        <v>51</v>
      </c>
      <c r="G4908" s="9">
        <v>619</v>
      </c>
      <c r="H4908" s="5" t="s">
        <v>21</v>
      </c>
      <c r="I4908" s="5" t="s">
        <v>12026</v>
      </c>
      <c r="J4908" s="12" t="str">
        <f>HYPERLINK("https://www.boe.es/gazeta/dias/1802/06/25/pdfs/GMD-1802-51.pdf#page=7","Abrir facsímil")</f>
        <v>Abrir facsímil</v>
      </c>
      <c r="K4908" s="15" t="s">
        <v>23</v>
      </c>
    </row>
    <row r="4909" spans="1:11" ht="42" customHeight="1">
      <c r="A4909" s="4" t="s">
        <v>12027</v>
      </c>
      <c r="B4909" s="5" t="s">
        <v>12027</v>
      </c>
      <c r="C4909" s="5" t="s">
        <v>18</v>
      </c>
      <c r="D4909" s="5" t="s">
        <v>19</v>
      </c>
      <c r="E4909" s="5" t="s">
        <v>20</v>
      </c>
      <c r="F4909" s="9">
        <v>84</v>
      </c>
      <c r="G4909" s="9">
        <v>1041</v>
      </c>
      <c r="H4909" s="5" t="s">
        <v>21</v>
      </c>
      <c r="I4909" s="5" t="s">
        <v>12028</v>
      </c>
      <c r="J4909" s="12" t="str">
        <f>HYPERLINK("https://www.boe.es/gazeta/dias/1802/10/15/pdfs/GMD-1802-84.pdf#page=9","Abrir facsímil")</f>
        <v>Abrir facsímil</v>
      </c>
      <c r="K4909" s="15" t="s">
        <v>23</v>
      </c>
    </row>
    <row r="4910" spans="1:11" ht="42" customHeight="1">
      <c r="A4910" s="4" t="s">
        <v>12029</v>
      </c>
      <c r="B4910" s="5" t="s">
        <v>12030</v>
      </c>
      <c r="C4910" s="5" t="s">
        <v>29</v>
      </c>
      <c r="D4910" s="5" t="s">
        <v>30</v>
      </c>
      <c r="E4910" s="5" t="s">
        <v>1264</v>
      </c>
      <c r="F4910" s="9">
        <v>105</v>
      </c>
      <c r="G4910" s="9">
        <v>1286</v>
      </c>
      <c r="H4910" s="5" t="s">
        <v>21</v>
      </c>
      <c r="I4910" s="5" t="s">
        <v>12031</v>
      </c>
      <c r="J4910" s="12" t="str">
        <f>HYPERLINK("https://www.boe.es/gazeta/dias/1802/12/28/pdfs/GMD-1802-105.pdf#page=10","Abrir facsímil")</f>
        <v>Abrir facsímil</v>
      </c>
      <c r="K4910" s="15" t="s">
        <v>23</v>
      </c>
    </row>
    <row r="4911" spans="1:11" ht="42" customHeight="1">
      <c r="A4911" s="4" t="s">
        <v>12032</v>
      </c>
      <c r="B4911" s="5" t="s">
        <v>12033</v>
      </c>
      <c r="C4911" s="5" t="s">
        <v>29</v>
      </c>
      <c r="D4911" s="5" t="s">
        <v>30</v>
      </c>
      <c r="E4911" s="5" t="s">
        <v>82</v>
      </c>
      <c r="F4911" s="9">
        <v>74</v>
      </c>
      <c r="G4911" s="9">
        <v>915</v>
      </c>
      <c r="H4911" s="5" t="s">
        <v>21</v>
      </c>
      <c r="I4911" s="5" t="s">
        <v>12034</v>
      </c>
      <c r="J4911" s="12" t="str">
        <f>HYPERLINK("https://www.boe.es/gazeta/dias/1802/09/10/pdfs/GMD-1802-74.pdf#page=11","Abrir facsímil")</f>
        <v>Abrir facsímil</v>
      </c>
      <c r="K4911" s="15" t="s">
        <v>23</v>
      </c>
    </row>
    <row r="4912" spans="1:11" ht="42" customHeight="1">
      <c r="A4912" s="4" t="s">
        <v>12035</v>
      </c>
      <c r="B4912" s="5" t="s">
        <v>12036</v>
      </c>
      <c r="C4912" s="5" t="s">
        <v>160</v>
      </c>
      <c r="D4912" s="5" t="s">
        <v>91</v>
      </c>
      <c r="E4912" s="5" t="s">
        <v>148</v>
      </c>
      <c r="F4912" s="9">
        <v>66</v>
      </c>
      <c r="G4912" s="9">
        <v>811</v>
      </c>
      <c r="H4912" s="5" t="s">
        <v>21</v>
      </c>
      <c r="I4912" s="5" t="s">
        <v>12037</v>
      </c>
      <c r="J4912" s="12" t="str">
        <f>HYPERLINK("https://www.boe.es/gazeta/dias/1802/08/13/pdfs/GMD-1802-66.pdf#page=15","Abrir facsímil")</f>
        <v>Abrir facsímil</v>
      </c>
      <c r="K4912" s="15" t="s">
        <v>23</v>
      </c>
    </row>
    <row r="4913" spans="1:11" ht="42" customHeight="1">
      <c r="A4913" s="4" t="s">
        <v>12038</v>
      </c>
      <c r="B4913" s="5" t="s">
        <v>12039</v>
      </c>
      <c r="C4913" s="5" t="s">
        <v>29</v>
      </c>
      <c r="D4913" s="5" t="s">
        <v>30</v>
      </c>
      <c r="E4913" s="5" t="s">
        <v>31</v>
      </c>
      <c r="F4913" s="9">
        <v>27</v>
      </c>
      <c r="G4913" s="9">
        <v>318</v>
      </c>
      <c r="H4913" s="5" t="s">
        <v>21</v>
      </c>
      <c r="I4913" s="5" t="s">
        <v>12040</v>
      </c>
      <c r="J4913" s="12" t="str">
        <f>HYPERLINK("https://www.boe.es/gazeta/dias/1802/04/02/pdfs/GMD-1802-27.pdf#page=14","Abrir facsímil")</f>
        <v>Abrir facsímil</v>
      </c>
      <c r="K4913" s="15" t="s">
        <v>23</v>
      </c>
    </row>
    <row r="4914" spans="1:11" ht="42" customHeight="1">
      <c r="A4914" s="4" t="s">
        <v>12041</v>
      </c>
      <c r="B4914" s="5" t="s">
        <v>12042</v>
      </c>
      <c r="C4914" s="5" t="s">
        <v>18</v>
      </c>
      <c r="D4914" s="5" t="s">
        <v>19</v>
      </c>
      <c r="E4914" s="5" t="s">
        <v>670</v>
      </c>
      <c r="F4914" s="9">
        <v>40</v>
      </c>
      <c r="G4914" s="9">
        <v>477</v>
      </c>
      <c r="H4914" s="5" t="s">
        <v>21</v>
      </c>
      <c r="I4914" s="5" t="s">
        <v>12043</v>
      </c>
      <c r="J4914" s="12" t="str">
        <f>HYPERLINK("https://www.boe.es/gazeta/dias/1802/05/18/pdfs/GMD-1802-40.pdf#page=5","Abrir facsímil")</f>
        <v>Abrir facsímil</v>
      </c>
      <c r="K4914" s="15" t="s">
        <v>23</v>
      </c>
    </row>
    <row r="4915" spans="1:11" ht="42" customHeight="1">
      <c r="A4915" s="4" t="s">
        <v>12041</v>
      </c>
      <c r="B4915" s="5" t="s">
        <v>12042</v>
      </c>
      <c r="C4915" s="5" t="s">
        <v>18</v>
      </c>
      <c r="D4915" s="5" t="s">
        <v>19</v>
      </c>
      <c r="E4915" s="5" t="s">
        <v>670</v>
      </c>
      <c r="F4915" s="9">
        <v>40</v>
      </c>
      <c r="G4915" s="9">
        <v>478</v>
      </c>
      <c r="H4915" s="5" t="s">
        <v>21</v>
      </c>
      <c r="I4915" s="5" t="s">
        <v>12044</v>
      </c>
      <c r="J4915" s="12" t="str">
        <f>HYPERLINK("https://www.boe.es/gazeta/dias/1802/05/18/pdfs/GMD-1802-40.pdf#page=6","Abrir facsímil")</f>
        <v>Abrir facsímil</v>
      </c>
      <c r="K4915" s="15" t="s">
        <v>23</v>
      </c>
    </row>
    <row r="4916" spans="1:11" ht="42" customHeight="1">
      <c r="A4916" s="4" t="s">
        <v>12045</v>
      </c>
      <c r="B4916" s="5" t="s">
        <v>12045</v>
      </c>
      <c r="C4916" s="5" t="s">
        <v>18</v>
      </c>
      <c r="D4916" s="5" t="s">
        <v>19</v>
      </c>
      <c r="E4916" s="5" t="s">
        <v>635</v>
      </c>
      <c r="F4916" s="9">
        <v>47</v>
      </c>
      <c r="G4916" s="9">
        <v>573</v>
      </c>
      <c r="H4916" s="5" t="s">
        <v>21</v>
      </c>
      <c r="I4916" s="5" t="s">
        <v>12046</v>
      </c>
      <c r="J4916" s="12" t="str">
        <f>HYPERLINK("https://www.boe.es/gazeta/dias/1802/06/11/pdfs/GMD-1802-47.pdf#page=9","Abrir facsímil")</f>
        <v>Abrir facsímil</v>
      </c>
      <c r="K4916" s="15" t="s">
        <v>23</v>
      </c>
    </row>
    <row r="4917" spans="1:11" ht="42" customHeight="1">
      <c r="A4917" s="4" t="s">
        <v>12047</v>
      </c>
      <c r="B4917" s="5" t="s">
        <v>12047</v>
      </c>
      <c r="C4917" s="5" t="s">
        <v>90</v>
      </c>
      <c r="D4917" s="5" t="s">
        <v>91</v>
      </c>
      <c r="E4917" s="5" t="s">
        <v>517</v>
      </c>
      <c r="F4917" s="9">
        <v>61</v>
      </c>
      <c r="G4917" s="9">
        <v>735</v>
      </c>
      <c r="H4917" s="5" t="s">
        <v>21</v>
      </c>
      <c r="I4917" s="5" t="s">
        <v>12048</v>
      </c>
      <c r="J4917" s="12" t="str">
        <f>HYPERLINK("https://www.boe.es/gazeta/dias/1802/07/27/pdfs/GMD-1802-61.pdf#page=3","Abrir facsímil")</f>
        <v>Abrir facsímil</v>
      </c>
      <c r="K4917" s="15" t="s">
        <v>23</v>
      </c>
    </row>
    <row r="4918" spans="1:11" ht="42" customHeight="1">
      <c r="A4918" s="4" t="s">
        <v>12049</v>
      </c>
      <c r="B4918" s="5" t="s">
        <v>12050</v>
      </c>
      <c r="C4918" s="5" t="s">
        <v>35</v>
      </c>
      <c r="D4918" s="5" t="s">
        <v>36</v>
      </c>
      <c r="E4918" s="5" t="s">
        <v>60</v>
      </c>
      <c r="F4918" s="9">
        <v>5</v>
      </c>
      <c r="G4918" s="9">
        <v>46</v>
      </c>
      <c r="H4918" s="5" t="s">
        <v>21</v>
      </c>
      <c r="I4918" s="5" t="s">
        <v>12051</v>
      </c>
      <c r="J4918" s="12" t="str">
        <f>HYPERLINK("https://www.boe.es/gazeta/dias/1802/01/15/pdfs/GMD-1802-5.pdf#page=2","Abrir facsímil")</f>
        <v>Abrir facsímil</v>
      </c>
      <c r="K4918" s="15" t="s">
        <v>23</v>
      </c>
    </row>
    <row r="4919" spans="1:11" ht="42" customHeight="1">
      <c r="A4919" s="4" t="s">
        <v>12052</v>
      </c>
      <c r="B4919" s="5" t="s">
        <v>12052</v>
      </c>
      <c r="C4919" s="5" t="s">
        <v>29</v>
      </c>
      <c r="D4919" s="5" t="s">
        <v>30</v>
      </c>
      <c r="E4919" s="5" t="s">
        <v>1749</v>
      </c>
      <c r="F4919" s="9">
        <v>60</v>
      </c>
      <c r="G4919" s="9">
        <v>728</v>
      </c>
      <c r="H4919" s="5" t="s">
        <v>21</v>
      </c>
      <c r="I4919" s="5" t="s">
        <v>12053</v>
      </c>
      <c r="J4919" s="12" t="str">
        <f>HYPERLINK("https://www.boe.es/gazeta/dias/1802/07/23/pdfs/GMD-1802-60.pdf#page=12","Abrir facsímil")</f>
        <v>Abrir facsímil</v>
      </c>
      <c r="K4919" s="15" t="s">
        <v>23</v>
      </c>
    </row>
    <row r="4920" spans="1:11" ht="42" customHeight="1">
      <c r="A4920" s="4" t="s">
        <v>12052</v>
      </c>
      <c r="B4920" s="5" t="s">
        <v>12052</v>
      </c>
      <c r="C4920" s="5" t="s">
        <v>18</v>
      </c>
      <c r="D4920" s="5" t="s">
        <v>19</v>
      </c>
      <c r="E4920" s="5" t="s">
        <v>49</v>
      </c>
      <c r="F4920" s="9">
        <v>83</v>
      </c>
      <c r="G4920" s="9">
        <v>1025</v>
      </c>
      <c r="H4920" s="5" t="s">
        <v>21</v>
      </c>
      <c r="I4920" s="5" t="s">
        <v>12054</v>
      </c>
      <c r="J4920" s="12" t="str">
        <f>HYPERLINK("https://www.boe.es/gazeta/dias/1802/10/12/pdfs/GMD-1802-83.pdf#page=13","Abrir facsímil")</f>
        <v>Abrir facsímil</v>
      </c>
      <c r="K4920" s="15" t="s">
        <v>23</v>
      </c>
    </row>
    <row r="4921" spans="1:11" ht="42" customHeight="1">
      <c r="A4921" s="4" t="s">
        <v>12055</v>
      </c>
      <c r="B4921" s="5" t="s">
        <v>12056</v>
      </c>
      <c r="C4921" s="5" t="s">
        <v>18</v>
      </c>
      <c r="D4921" s="5" t="s">
        <v>19</v>
      </c>
      <c r="E4921" s="5" t="s">
        <v>114</v>
      </c>
      <c r="F4921" s="9">
        <v>82</v>
      </c>
      <c r="G4921" s="9">
        <v>1009</v>
      </c>
      <c r="H4921" s="5" t="s">
        <v>21</v>
      </c>
      <c r="I4921" s="5" t="s">
        <v>12057</v>
      </c>
      <c r="J4921" s="12" t="str">
        <f>HYPERLINK("https://www.boe.es/gazeta/dias/1802/10/08/pdfs/GMD-1802-82.pdf#page=9","Abrir facsímil")</f>
        <v>Abrir facsímil</v>
      </c>
      <c r="K4921" s="15" t="s">
        <v>23</v>
      </c>
    </row>
    <row r="4922" spans="1:11" ht="42" customHeight="1">
      <c r="A4922" s="4" t="s">
        <v>12058</v>
      </c>
      <c r="B4922" s="5" t="s">
        <v>12059</v>
      </c>
      <c r="C4922" s="5" t="s">
        <v>29</v>
      </c>
      <c r="D4922" s="5" t="s">
        <v>30</v>
      </c>
      <c r="E4922" s="5" t="s">
        <v>219</v>
      </c>
      <c r="F4922" s="9">
        <v>81</v>
      </c>
      <c r="G4922" s="9">
        <v>996</v>
      </c>
      <c r="H4922" s="5" t="s">
        <v>21</v>
      </c>
      <c r="I4922" s="5" t="s">
        <v>12060</v>
      </c>
      <c r="J4922" s="12" t="str">
        <f>HYPERLINK("https://www.boe.es/gazeta/dias/1802/10/05/pdfs/GMD-1802-81.pdf#page=8","Abrir facsímil")</f>
        <v>Abrir facsímil</v>
      </c>
      <c r="K4922" s="15" t="s">
        <v>23</v>
      </c>
    </row>
    <row r="4923" spans="1:11" ht="42" customHeight="1">
      <c r="A4923" s="4" t="s">
        <v>12061</v>
      </c>
      <c r="B4923" s="5" t="s">
        <v>12062</v>
      </c>
      <c r="C4923" s="5" t="s">
        <v>42</v>
      </c>
      <c r="D4923" s="5" t="s">
        <v>43</v>
      </c>
      <c r="E4923" s="5" t="s">
        <v>44</v>
      </c>
      <c r="F4923" s="9">
        <v>99</v>
      </c>
      <c r="G4923" s="9" t="s">
        <v>45</v>
      </c>
      <c r="H4923" s="5" t="s">
        <v>21</v>
      </c>
      <c r="I4923" s="5" t="s">
        <v>12063</v>
      </c>
      <c r="J4923" s="12" t="str">
        <f>HYPERLINK("https://www.boe.es/gazeta/dias/1802/12/07/pdfs/GMD-D-1802-99.pdf#page=14","Abrir facsímil")</f>
        <v>Abrir facsímil</v>
      </c>
      <c r="K4923" s="15" t="s">
        <v>23</v>
      </c>
    </row>
    <row r="4924" spans="1:11" ht="42" customHeight="1">
      <c r="A4924" s="4" t="s">
        <v>12064</v>
      </c>
      <c r="B4924" s="5" t="s">
        <v>12064</v>
      </c>
      <c r="C4924" s="5" t="s">
        <v>35</v>
      </c>
      <c r="D4924" s="5" t="s">
        <v>36</v>
      </c>
      <c r="E4924" s="5" t="s">
        <v>146</v>
      </c>
      <c r="F4924" s="9">
        <v>42</v>
      </c>
      <c r="G4924" s="9">
        <v>498</v>
      </c>
      <c r="H4924" s="5" t="s">
        <v>21</v>
      </c>
      <c r="I4924" s="5" t="s">
        <v>12065</v>
      </c>
      <c r="J4924" s="12" t="str">
        <f>HYPERLINK("https://www.boe.es/gazeta/dias/1802/05/25/pdfs/GMD-1802-42.pdf#page=2","Abrir facsímil")</f>
        <v>Abrir facsímil</v>
      </c>
      <c r="K4924" s="15" t="s">
        <v>23</v>
      </c>
    </row>
    <row r="4925" spans="1:11" ht="42" customHeight="1">
      <c r="A4925" s="4" t="s">
        <v>12066</v>
      </c>
      <c r="B4925" s="5" t="s">
        <v>12066</v>
      </c>
      <c r="C4925" s="5" t="s">
        <v>18</v>
      </c>
      <c r="D4925" s="5" t="s">
        <v>19</v>
      </c>
      <c r="E4925" s="5" t="s">
        <v>232</v>
      </c>
      <c r="F4925" s="9">
        <v>30</v>
      </c>
      <c r="G4925" s="9">
        <v>349</v>
      </c>
      <c r="H4925" s="5" t="s">
        <v>21</v>
      </c>
      <c r="I4925" s="5" t="s">
        <v>12067</v>
      </c>
      <c r="J4925" s="12" t="str">
        <f>HYPERLINK("https://www.boe.es/gazeta/dias/1802/04/13/pdfs/GMD-1802-30.pdf#page=5","Abrir facsímil")</f>
        <v>Abrir facsímil</v>
      </c>
      <c r="K4925" s="15" t="s">
        <v>23</v>
      </c>
    </row>
    <row r="4926" spans="1:11" ht="42" customHeight="1">
      <c r="A4926" s="4" t="s">
        <v>12068</v>
      </c>
      <c r="B4926" s="5" t="s">
        <v>12068</v>
      </c>
      <c r="C4926" s="5" t="s">
        <v>18</v>
      </c>
      <c r="D4926" s="5" t="s">
        <v>19</v>
      </c>
      <c r="E4926" s="5" t="s">
        <v>206</v>
      </c>
      <c r="F4926" s="9">
        <v>22</v>
      </c>
      <c r="G4926" s="9">
        <v>240</v>
      </c>
      <c r="H4926" s="5" t="s">
        <v>21</v>
      </c>
      <c r="I4926" s="5" t="s">
        <v>12069</v>
      </c>
      <c r="J4926" s="12" t="str">
        <f>HYPERLINK("https://www.boe.es/gazeta/dias/1802/03/16/pdfs/GMD-1802-22.pdf#page=8","Abrir facsímil")</f>
        <v>Abrir facsímil</v>
      </c>
      <c r="K4926" s="15" t="s">
        <v>23</v>
      </c>
    </row>
    <row r="4927" spans="1:11" ht="42" customHeight="1">
      <c r="A4927" s="4" t="s">
        <v>12070</v>
      </c>
      <c r="B4927" s="5" t="s">
        <v>12071</v>
      </c>
      <c r="C4927" s="5" t="s">
        <v>42</v>
      </c>
      <c r="D4927" s="5" t="s">
        <v>43</v>
      </c>
      <c r="E4927" s="5" t="s">
        <v>44</v>
      </c>
      <c r="F4927" s="9">
        <v>99</v>
      </c>
      <c r="G4927" s="9" t="s">
        <v>295</v>
      </c>
      <c r="H4927" s="5" t="s">
        <v>21</v>
      </c>
      <c r="I4927" s="5" t="s">
        <v>12072</v>
      </c>
      <c r="J4927" s="12" t="str">
        <f>HYPERLINK("https://www.boe.es/gazeta/dias/1802/12/07/pdfs/GMD-D-1802-99.pdf#page=7","Abrir facsímil")</f>
        <v>Abrir facsímil</v>
      </c>
      <c r="K4927" s="15" t="s">
        <v>23</v>
      </c>
    </row>
    <row r="4928" spans="1:11" ht="42" customHeight="1">
      <c r="A4928" s="4" t="s">
        <v>12073</v>
      </c>
      <c r="B4928" s="5" t="s">
        <v>12073</v>
      </c>
      <c r="C4928" s="5" t="s">
        <v>18</v>
      </c>
      <c r="D4928" s="5" t="s">
        <v>19</v>
      </c>
      <c r="E4928" s="5" t="s">
        <v>206</v>
      </c>
      <c r="F4928" s="9">
        <v>22</v>
      </c>
      <c r="G4928" s="9">
        <v>240</v>
      </c>
      <c r="H4928" s="5" t="s">
        <v>21</v>
      </c>
      <c r="I4928" s="5" t="s">
        <v>12074</v>
      </c>
      <c r="J4928" s="12" t="str">
        <f>HYPERLINK("https://www.boe.es/gazeta/dias/1802/03/16/pdfs/GMD-1802-22.pdf#page=8","Abrir facsímil")</f>
        <v>Abrir facsímil</v>
      </c>
      <c r="K4928" s="15" t="s">
        <v>23</v>
      </c>
    </row>
    <row r="4929" spans="1:11" ht="42" customHeight="1">
      <c r="A4929" s="4" t="s">
        <v>12075</v>
      </c>
      <c r="B4929" s="5" t="s">
        <v>12075</v>
      </c>
      <c r="C4929" s="5" t="s">
        <v>160</v>
      </c>
      <c r="D4929" s="5" t="s">
        <v>91</v>
      </c>
      <c r="E4929" s="5" t="s">
        <v>1113</v>
      </c>
      <c r="F4929" s="9">
        <v>6</v>
      </c>
      <c r="G4929" s="9">
        <v>58</v>
      </c>
      <c r="H4929" s="5" t="s">
        <v>21</v>
      </c>
      <c r="I4929" s="5" t="s">
        <v>12076</v>
      </c>
      <c r="J4929" s="12" t="str">
        <f>HYPERLINK("https://www.boe.es/gazeta/dias/1802/01/19/pdfs/GMD-1802-6.pdf#page=6","Abrir facsímil")</f>
        <v>Abrir facsímil</v>
      </c>
      <c r="K4929" s="15" t="s">
        <v>23</v>
      </c>
    </row>
    <row r="4930" spans="1:11" ht="42" customHeight="1">
      <c r="A4930" s="4" t="s">
        <v>12077</v>
      </c>
      <c r="B4930" s="5" t="s">
        <v>12077</v>
      </c>
      <c r="C4930" s="5" t="s">
        <v>18</v>
      </c>
      <c r="D4930" s="5" t="s">
        <v>19</v>
      </c>
      <c r="E4930" s="5" t="s">
        <v>49</v>
      </c>
      <c r="F4930" s="9">
        <v>83</v>
      </c>
      <c r="G4930" s="9">
        <v>1023</v>
      </c>
      <c r="H4930" s="5" t="s">
        <v>21</v>
      </c>
      <c r="I4930" s="5" t="s">
        <v>12078</v>
      </c>
      <c r="J4930" s="12" t="str">
        <f>HYPERLINK("https://www.boe.es/gazeta/dias/1802/10/12/pdfs/GMD-1802-83.pdf#page=11","Abrir facsímil")</f>
        <v>Abrir facsímil</v>
      </c>
      <c r="K4930" s="15" t="s">
        <v>23</v>
      </c>
    </row>
    <row r="4931" spans="1:11" ht="42" customHeight="1">
      <c r="A4931" s="4" t="s">
        <v>12079</v>
      </c>
      <c r="B4931" s="5" t="s">
        <v>12079</v>
      </c>
      <c r="C4931" s="5" t="s">
        <v>29</v>
      </c>
      <c r="D4931" s="5" t="s">
        <v>30</v>
      </c>
      <c r="E4931" s="5" t="s">
        <v>611</v>
      </c>
      <c r="F4931" s="9">
        <v>68</v>
      </c>
      <c r="G4931" s="9">
        <v>827</v>
      </c>
      <c r="H4931" s="5" t="s">
        <v>21</v>
      </c>
      <c r="I4931" s="5" t="s">
        <v>12080</v>
      </c>
      <c r="J4931" s="12" t="str">
        <f>HYPERLINK("https://www.boe.es/gazeta/dias/1802/08/20/pdfs/GMD-1802-68.pdf#page=3","Abrir facsímil")</f>
        <v>Abrir facsímil</v>
      </c>
      <c r="K4931" s="15" t="s">
        <v>23</v>
      </c>
    </row>
    <row r="4932" spans="1:11" ht="42" customHeight="1">
      <c r="A4932" s="4" t="s">
        <v>12079</v>
      </c>
      <c r="B4932" s="5" t="s">
        <v>12079</v>
      </c>
      <c r="C4932" s="5" t="s">
        <v>29</v>
      </c>
      <c r="D4932" s="5" t="s">
        <v>30</v>
      </c>
      <c r="E4932" s="5" t="s">
        <v>706</v>
      </c>
      <c r="F4932" s="9">
        <v>80</v>
      </c>
      <c r="G4932" s="9">
        <v>982</v>
      </c>
      <c r="H4932" s="5" t="s">
        <v>21</v>
      </c>
      <c r="I4932" s="5" t="s">
        <v>12081</v>
      </c>
      <c r="J4932" s="12" t="str">
        <f>HYPERLINK("https://www.boe.es/gazeta/dias/1802/10/01/pdfs/GMD-1802-80.pdf#page=6","Abrir facsímil")</f>
        <v>Abrir facsímil</v>
      </c>
      <c r="K4932" s="15" t="s">
        <v>23</v>
      </c>
    </row>
    <row r="4933" spans="1:11" ht="42" customHeight="1">
      <c r="A4933" s="4" t="s">
        <v>12079</v>
      </c>
      <c r="B4933" s="5" t="s">
        <v>12079</v>
      </c>
      <c r="C4933" s="5" t="s">
        <v>35</v>
      </c>
      <c r="D4933" s="5" t="s">
        <v>36</v>
      </c>
      <c r="E4933" s="5" t="s">
        <v>121</v>
      </c>
      <c r="F4933" s="9">
        <v>87</v>
      </c>
      <c r="G4933" s="9">
        <v>1077</v>
      </c>
      <c r="H4933" s="5" t="s">
        <v>21</v>
      </c>
      <c r="I4933" s="5" t="s">
        <v>12082</v>
      </c>
      <c r="J4933" s="12" t="str">
        <f>HYPERLINK("https://www.boe.es/gazeta/dias/1802/10/26/pdfs/GMD-1802-87.pdf#page=5","Abrir facsímil")</f>
        <v>Abrir facsímil</v>
      </c>
      <c r="K4933" s="15" t="s">
        <v>23</v>
      </c>
    </row>
    <row r="4934" spans="1:11" ht="42" customHeight="1">
      <c r="A4934" s="4" t="s">
        <v>12079</v>
      </c>
      <c r="B4934" s="5" t="s">
        <v>12079</v>
      </c>
      <c r="C4934" s="5" t="s">
        <v>35</v>
      </c>
      <c r="D4934" s="5" t="s">
        <v>36</v>
      </c>
      <c r="E4934" s="5" t="s">
        <v>311</v>
      </c>
      <c r="F4934" s="9">
        <v>88</v>
      </c>
      <c r="G4934" s="9">
        <v>1091</v>
      </c>
      <c r="H4934" s="5" t="s">
        <v>21</v>
      </c>
      <c r="I4934" s="5" t="s">
        <v>12083</v>
      </c>
      <c r="J4934" s="12" t="str">
        <f>HYPERLINK("https://www.boe.es/gazeta/dias/1802/10/29/pdfs/GMD-1802-88.pdf#page=7","Abrir facsímil")</f>
        <v>Abrir facsímil</v>
      </c>
      <c r="K4934" s="15" t="s">
        <v>23</v>
      </c>
    </row>
    <row r="4935" spans="1:11" ht="42" customHeight="1">
      <c r="A4935" s="4" t="s">
        <v>12084</v>
      </c>
      <c r="B4935" s="5" t="s">
        <v>12085</v>
      </c>
      <c r="C4935" s="5" t="s">
        <v>90</v>
      </c>
      <c r="D4935" s="5" t="s">
        <v>91</v>
      </c>
      <c r="E4935" s="5" t="s">
        <v>381</v>
      </c>
      <c r="F4935" s="9">
        <v>13</v>
      </c>
      <c r="G4935" s="9">
        <v>132</v>
      </c>
      <c r="H4935" s="5" t="s">
        <v>21</v>
      </c>
      <c r="I4935" s="5" t="s">
        <v>12086</v>
      </c>
      <c r="J4935" s="12" t="str">
        <f>HYPERLINK("https://www.boe.es/gazeta/dias/1802/02/12/pdfs/GMD-1802-13.pdf#page=8","Abrir facsímil")</f>
        <v>Abrir facsímil</v>
      </c>
      <c r="K4935" s="15" t="s">
        <v>23</v>
      </c>
    </row>
    <row r="4936" spans="1:11" ht="42" customHeight="1">
      <c r="A4936" s="4" t="s">
        <v>12087</v>
      </c>
      <c r="B4936" s="5" t="s">
        <v>12088</v>
      </c>
      <c r="C4936" s="5" t="s">
        <v>18</v>
      </c>
      <c r="D4936" s="5" t="s">
        <v>19</v>
      </c>
      <c r="E4936" s="5" t="s">
        <v>292</v>
      </c>
      <c r="F4936" s="9">
        <v>62</v>
      </c>
      <c r="G4936" s="9">
        <v>755</v>
      </c>
      <c r="H4936" s="5" t="s">
        <v>21</v>
      </c>
      <c r="I4936" s="5" t="s">
        <v>12089</v>
      </c>
      <c r="J4936" s="12" t="str">
        <f>HYPERLINK("https://www.boe.es/gazeta/dias/1802/07/30/pdfs/GMD-1802-62.pdf#page=11","Abrir facsímil")</f>
        <v>Abrir facsímil</v>
      </c>
      <c r="K4936" s="15" t="s">
        <v>23</v>
      </c>
    </row>
    <row r="4937" spans="1:11" ht="42" customHeight="1">
      <c r="A4937" s="4" t="s">
        <v>12090</v>
      </c>
      <c r="B4937" s="5" t="s">
        <v>12090</v>
      </c>
      <c r="C4937" s="5" t="s">
        <v>29</v>
      </c>
      <c r="D4937" s="5" t="s">
        <v>30</v>
      </c>
      <c r="E4937" s="5" t="s">
        <v>1113</v>
      </c>
      <c r="F4937" s="9">
        <v>6</v>
      </c>
      <c r="G4937" s="9">
        <v>59</v>
      </c>
      <c r="H4937" s="5" t="s">
        <v>21</v>
      </c>
      <c r="I4937" s="5" t="s">
        <v>12091</v>
      </c>
      <c r="J4937" s="12" t="str">
        <f>HYPERLINK("https://www.boe.es/gazeta/dias/1802/01/19/pdfs/GMD-1802-6.pdf#page=7","Abrir facsímil")</f>
        <v>Abrir facsímil</v>
      </c>
      <c r="K4937" s="15" t="s">
        <v>23</v>
      </c>
    </row>
    <row r="4938" spans="1:11" ht="42" customHeight="1">
      <c r="A4938" s="4" t="s">
        <v>12092</v>
      </c>
      <c r="B4938" s="5" t="s">
        <v>12093</v>
      </c>
      <c r="C4938" s="5" t="s">
        <v>29</v>
      </c>
      <c r="D4938" s="5" t="s">
        <v>30</v>
      </c>
      <c r="E4938" s="5" t="s">
        <v>49</v>
      </c>
      <c r="F4938" s="9">
        <v>83</v>
      </c>
      <c r="G4938" s="9">
        <v>1026</v>
      </c>
      <c r="H4938" s="5" t="s">
        <v>21</v>
      </c>
      <c r="I4938" s="5" t="s">
        <v>12094</v>
      </c>
      <c r="J4938" s="12" t="str">
        <f>HYPERLINK("https://www.boe.es/gazeta/dias/1802/10/12/pdfs/GMD-1802-83.pdf#page=14","Abrir facsímil")</f>
        <v>Abrir facsímil</v>
      </c>
      <c r="K4938" s="15" t="s">
        <v>23</v>
      </c>
    </row>
    <row r="4939" spans="1:11" ht="42" customHeight="1">
      <c r="A4939" s="4" t="s">
        <v>12095</v>
      </c>
      <c r="B4939" s="5" t="s">
        <v>12096</v>
      </c>
      <c r="C4939" s="5" t="s">
        <v>18</v>
      </c>
      <c r="D4939" s="5" t="s">
        <v>19</v>
      </c>
      <c r="E4939" s="5" t="s">
        <v>167</v>
      </c>
      <c r="F4939" s="9">
        <v>23</v>
      </c>
      <c r="G4939" s="9">
        <v>260</v>
      </c>
      <c r="H4939" s="5" t="s">
        <v>21</v>
      </c>
      <c r="I4939" s="5" t="s">
        <v>12097</v>
      </c>
      <c r="J4939" s="12" t="str">
        <f>HYPERLINK("https://www.boe.es/gazeta/dias/1802/03/19/pdfs/GMD-1802-23.pdf#page=8","Abrir facsímil")</f>
        <v>Abrir facsímil</v>
      </c>
      <c r="K4939" s="15" t="s">
        <v>23</v>
      </c>
    </row>
    <row r="4940" spans="1:11" ht="42" customHeight="1">
      <c r="A4940" s="4" t="s">
        <v>12098</v>
      </c>
      <c r="B4940" s="5" t="s">
        <v>12099</v>
      </c>
      <c r="C4940" s="5" t="s">
        <v>18</v>
      </c>
      <c r="D4940" s="5" t="s">
        <v>19</v>
      </c>
      <c r="E4940" s="5" t="s">
        <v>332</v>
      </c>
      <c r="F4940" s="9">
        <v>24</v>
      </c>
      <c r="G4940" s="9">
        <v>273</v>
      </c>
      <c r="H4940" s="5" t="s">
        <v>21</v>
      </c>
      <c r="I4940" s="5" t="s">
        <v>12100</v>
      </c>
      <c r="J4940" s="12" t="str">
        <f>HYPERLINK("https://www.boe.es/gazeta/dias/1802/03/23/pdfs/GMD-1802-24.pdf#page=9","Abrir facsímil")</f>
        <v>Abrir facsímil</v>
      </c>
      <c r="K4940" s="15" t="s">
        <v>23</v>
      </c>
    </row>
    <row r="4941" spans="1:11" ht="42" customHeight="1">
      <c r="A4941" s="4" t="s">
        <v>12098</v>
      </c>
      <c r="B4941" s="5" t="s">
        <v>12099</v>
      </c>
      <c r="C4941" s="5" t="s">
        <v>18</v>
      </c>
      <c r="D4941" s="5" t="s">
        <v>19</v>
      </c>
      <c r="E4941" s="5" t="s">
        <v>1749</v>
      </c>
      <c r="F4941" s="9">
        <v>60</v>
      </c>
      <c r="G4941" s="9">
        <v>730</v>
      </c>
      <c r="H4941" s="5" t="s">
        <v>21</v>
      </c>
      <c r="I4941" s="5" t="s">
        <v>12101</v>
      </c>
      <c r="J4941" s="12" t="str">
        <f>HYPERLINK("https://www.boe.es/gazeta/dias/1802/07/23/pdfs/GMD-1802-60.pdf#page=14","Abrir facsímil")</f>
        <v>Abrir facsímil</v>
      </c>
      <c r="K4941" s="15" t="s">
        <v>23</v>
      </c>
    </row>
    <row r="4942" spans="1:11" ht="42" customHeight="1">
      <c r="A4942" s="4" t="s">
        <v>12098</v>
      </c>
      <c r="B4942" s="5" t="s">
        <v>12099</v>
      </c>
      <c r="C4942" s="5" t="s">
        <v>18</v>
      </c>
      <c r="D4942" s="5" t="s">
        <v>19</v>
      </c>
      <c r="E4942" s="5" t="s">
        <v>517</v>
      </c>
      <c r="F4942" s="9">
        <v>61</v>
      </c>
      <c r="G4942" s="9">
        <v>742</v>
      </c>
      <c r="H4942" s="5" t="s">
        <v>21</v>
      </c>
      <c r="I4942" s="5" t="s">
        <v>12102</v>
      </c>
      <c r="J4942" s="12" t="str">
        <f>HYPERLINK("https://www.boe.es/gazeta/dias/1802/07/27/pdfs/GMD-1802-61.pdf#page=10","Abrir facsímil")</f>
        <v>Abrir facsímil</v>
      </c>
      <c r="K4942" s="15" t="s">
        <v>23</v>
      </c>
    </row>
    <row r="4943" spans="1:11" ht="42" customHeight="1">
      <c r="A4943" s="4" t="s">
        <v>12098</v>
      </c>
      <c r="B4943" s="5" t="s">
        <v>12099</v>
      </c>
      <c r="C4943" s="5" t="s">
        <v>18</v>
      </c>
      <c r="D4943" s="5" t="s">
        <v>19</v>
      </c>
      <c r="E4943" s="5" t="s">
        <v>1185</v>
      </c>
      <c r="F4943" s="9">
        <v>93</v>
      </c>
      <c r="G4943" s="9">
        <v>1151</v>
      </c>
      <c r="H4943" s="5" t="s">
        <v>21</v>
      </c>
      <c r="I4943" s="5" t="s">
        <v>12103</v>
      </c>
      <c r="J4943" s="12" t="str">
        <f>HYPERLINK("https://www.boe.es/gazeta/dias/1802/11/16/pdfs/GMD-1802-93.pdf#page=11","Abrir facsímil")</f>
        <v>Abrir facsímil</v>
      </c>
      <c r="K4943" s="15" t="s">
        <v>23</v>
      </c>
    </row>
    <row r="4944" spans="1:11" ht="42" customHeight="1">
      <c r="A4944" s="4" t="s">
        <v>12098</v>
      </c>
      <c r="B4944" s="5" t="s">
        <v>12099</v>
      </c>
      <c r="C4944" s="5" t="s">
        <v>35</v>
      </c>
      <c r="D4944" s="5" t="s">
        <v>36</v>
      </c>
      <c r="E4944" s="5" t="s">
        <v>823</v>
      </c>
      <c r="F4944" s="9">
        <v>94</v>
      </c>
      <c r="G4944" s="9">
        <v>1163</v>
      </c>
      <c r="H4944" s="5" t="s">
        <v>21</v>
      </c>
      <c r="I4944" s="5" t="s">
        <v>12104</v>
      </c>
      <c r="J4944" s="12" t="str">
        <f>HYPERLINK("https://www.boe.es/gazeta/dias/1802/11/19/pdfs/GMD-1802-94.pdf#page=11","Abrir facsímil")</f>
        <v>Abrir facsímil</v>
      </c>
      <c r="K4944" s="15" t="s">
        <v>23</v>
      </c>
    </row>
    <row r="4945" spans="1:11" ht="42" customHeight="1">
      <c r="A4945" s="4" t="s">
        <v>12098</v>
      </c>
      <c r="B4945" s="5" t="s">
        <v>12099</v>
      </c>
      <c r="C4945" s="5" t="s">
        <v>35</v>
      </c>
      <c r="D4945" s="5" t="s">
        <v>36</v>
      </c>
      <c r="E4945" s="5" t="s">
        <v>185</v>
      </c>
      <c r="F4945" s="9">
        <v>95</v>
      </c>
      <c r="G4945" s="9">
        <v>1175</v>
      </c>
      <c r="H4945" s="5" t="s">
        <v>21</v>
      </c>
      <c r="I4945" s="5" t="s">
        <v>12105</v>
      </c>
      <c r="J4945" s="12" t="str">
        <f>HYPERLINK("https://www.boe.es/gazeta/dias/1802/11/23/pdfs/GMD-1802-95.pdf#page=11","Abrir facsímil")</f>
        <v>Abrir facsímil</v>
      </c>
      <c r="K4945" s="15" t="s">
        <v>23</v>
      </c>
    </row>
    <row r="4946" spans="1:11" ht="42" customHeight="1">
      <c r="A4946" s="4" t="s">
        <v>12106</v>
      </c>
      <c r="B4946" s="5" t="s">
        <v>12107</v>
      </c>
      <c r="C4946" s="5" t="s">
        <v>18</v>
      </c>
      <c r="D4946" s="5" t="s">
        <v>19</v>
      </c>
      <c r="E4946" s="5" t="s">
        <v>49</v>
      </c>
      <c r="F4946" s="9">
        <v>83</v>
      </c>
      <c r="G4946" s="9">
        <v>1024</v>
      </c>
      <c r="H4946" s="5" t="s">
        <v>21</v>
      </c>
      <c r="I4946" s="5" t="s">
        <v>12108</v>
      </c>
      <c r="J4946" s="12" t="str">
        <f>HYPERLINK("https://www.boe.es/gazeta/dias/1802/10/12/pdfs/GMD-1802-83.pdf#page=12","Abrir facsímil")</f>
        <v>Abrir facsímil</v>
      </c>
      <c r="K4946" s="15" t="s">
        <v>23</v>
      </c>
    </row>
    <row r="4947" spans="1:11" ht="42" customHeight="1">
      <c r="A4947" s="4" t="s">
        <v>12109</v>
      </c>
      <c r="B4947" s="5" t="s">
        <v>12110</v>
      </c>
      <c r="C4947" s="5" t="s">
        <v>29</v>
      </c>
      <c r="D4947" s="5" t="s">
        <v>30</v>
      </c>
      <c r="E4947" s="5" t="s">
        <v>453</v>
      </c>
      <c r="F4947" s="9">
        <v>52</v>
      </c>
      <c r="G4947" s="9">
        <v>631</v>
      </c>
      <c r="H4947" s="5" t="s">
        <v>21</v>
      </c>
      <c r="I4947" s="5" t="s">
        <v>12111</v>
      </c>
      <c r="J4947" s="12" t="str">
        <f>HYPERLINK("https://www.boe.es/gazeta/dias/1802/06/29/pdfs/GMD-1802-52.pdf#page=7","Abrir facsímil")</f>
        <v>Abrir facsímil</v>
      </c>
      <c r="K4947" s="15" t="s">
        <v>23</v>
      </c>
    </row>
    <row r="4948" spans="1:11" ht="42" customHeight="1">
      <c r="A4948" s="4" t="s">
        <v>12112</v>
      </c>
      <c r="B4948" s="5" t="s">
        <v>12112</v>
      </c>
      <c r="C4948" s="5" t="s">
        <v>35</v>
      </c>
      <c r="D4948" s="5" t="s">
        <v>36</v>
      </c>
      <c r="E4948" s="5" t="s">
        <v>1374</v>
      </c>
      <c r="F4948" s="9">
        <v>71</v>
      </c>
      <c r="G4948" s="9">
        <v>869</v>
      </c>
      <c r="H4948" s="5" t="s">
        <v>21</v>
      </c>
      <c r="I4948" s="5" t="s">
        <v>12113</v>
      </c>
      <c r="J4948" s="12" t="str">
        <f>HYPERLINK("https://www.boe.es/gazeta/dias/1802/08/31/pdfs/GMD-1802-71.pdf#page=5","Abrir facsímil")</f>
        <v>Abrir facsímil</v>
      </c>
      <c r="K4948" s="15" t="s">
        <v>23</v>
      </c>
    </row>
    <row r="4949" spans="1:11" ht="42" customHeight="1">
      <c r="A4949" s="4" t="s">
        <v>12114</v>
      </c>
      <c r="B4949" s="5" t="s">
        <v>12115</v>
      </c>
      <c r="C4949" s="5" t="s">
        <v>29</v>
      </c>
      <c r="D4949" s="5" t="s">
        <v>30</v>
      </c>
      <c r="E4949" s="5" t="s">
        <v>635</v>
      </c>
      <c r="F4949" s="9">
        <v>47</v>
      </c>
      <c r="G4949" s="9">
        <v>567</v>
      </c>
      <c r="H4949" s="5" t="s">
        <v>21</v>
      </c>
      <c r="I4949" s="5" t="s">
        <v>12116</v>
      </c>
      <c r="J4949" s="12" t="str">
        <f>HYPERLINK("https://www.boe.es/gazeta/dias/1802/06/11/pdfs/GMD-1802-47.pdf#page=3","Abrir facsímil")</f>
        <v>Abrir facsímil</v>
      </c>
      <c r="K4949" s="15" t="s">
        <v>23</v>
      </c>
    </row>
    <row r="4950" spans="1:11" ht="42" customHeight="1">
      <c r="A4950" s="4" t="s">
        <v>12117</v>
      </c>
      <c r="B4950" s="5" t="s">
        <v>12117</v>
      </c>
      <c r="C4950" s="5" t="s">
        <v>35</v>
      </c>
      <c r="D4950" s="5" t="s">
        <v>36</v>
      </c>
      <c r="E4950" s="5" t="s">
        <v>385</v>
      </c>
      <c r="F4950" s="9">
        <v>70</v>
      </c>
      <c r="G4950" s="9">
        <v>863</v>
      </c>
      <c r="H4950" s="5" t="s">
        <v>21</v>
      </c>
      <c r="I4950" s="5" t="s">
        <v>12118</v>
      </c>
      <c r="J4950" s="12" t="str">
        <f>HYPERLINK("https://www.boe.es/gazeta/dias/1802/08/27/pdfs/GMD-1802-70.pdf#page=11","Abrir facsímil")</f>
        <v>Abrir facsímil</v>
      </c>
      <c r="K4950" s="15" t="s">
        <v>23</v>
      </c>
    </row>
    <row r="4951" spans="1:11" ht="42" customHeight="1">
      <c r="A4951" s="4" t="s">
        <v>12119</v>
      </c>
      <c r="B4951" s="5" t="s">
        <v>12120</v>
      </c>
      <c r="C4951" s="5" t="s">
        <v>29</v>
      </c>
      <c r="D4951" s="5" t="s">
        <v>30</v>
      </c>
      <c r="E4951" s="5" t="s">
        <v>1097</v>
      </c>
      <c r="F4951" s="9">
        <v>20</v>
      </c>
      <c r="G4951" s="9">
        <v>222</v>
      </c>
      <c r="H4951" s="5" t="s">
        <v>21</v>
      </c>
      <c r="I4951" s="5" t="s">
        <v>12121</v>
      </c>
      <c r="J4951" s="12" t="str">
        <f>HYPERLINK("https://www.boe.es/gazeta/dias/1802/03/09/pdfs/GMD-1802-20.pdf#page=10","Abrir facsímil")</f>
        <v>Abrir facsímil</v>
      </c>
      <c r="K4951" s="15" t="s">
        <v>23</v>
      </c>
    </row>
    <row r="4952" spans="1:11" ht="42" customHeight="1">
      <c r="A4952" s="4" t="s">
        <v>12122</v>
      </c>
      <c r="B4952" s="5" t="s">
        <v>12123</v>
      </c>
      <c r="C4952" s="5" t="s">
        <v>42</v>
      </c>
      <c r="D4952" s="5" t="s">
        <v>43</v>
      </c>
      <c r="E4952" s="5" t="s">
        <v>44</v>
      </c>
      <c r="F4952" s="9">
        <v>99</v>
      </c>
      <c r="G4952" s="9" t="s">
        <v>251</v>
      </c>
      <c r="H4952" s="5" t="s">
        <v>21</v>
      </c>
      <c r="I4952" s="5" t="s">
        <v>12124</v>
      </c>
      <c r="J4952" s="12" t="str">
        <f>HYPERLINK("https://www.boe.es/gazeta/dias/1802/12/07/pdfs/GMD-D-1802-99.pdf#page=6","Abrir facsímil")</f>
        <v>Abrir facsímil</v>
      </c>
      <c r="K4952" s="15" t="s">
        <v>23</v>
      </c>
    </row>
    <row r="4953" spans="1:11" ht="42" customHeight="1">
      <c r="A4953" s="4" t="s">
        <v>12125</v>
      </c>
      <c r="B4953" s="5" t="s">
        <v>12126</v>
      </c>
      <c r="C4953" s="5" t="s">
        <v>42</v>
      </c>
      <c r="D4953" s="5" t="s">
        <v>43</v>
      </c>
      <c r="E4953" s="5" t="s">
        <v>44</v>
      </c>
      <c r="F4953" s="9">
        <v>99</v>
      </c>
      <c r="G4953" s="9" t="s">
        <v>558</v>
      </c>
      <c r="H4953" s="5" t="s">
        <v>21</v>
      </c>
      <c r="I4953" s="5" t="s">
        <v>12127</v>
      </c>
      <c r="J4953" s="12" t="str">
        <f>HYPERLINK("https://www.boe.es/gazeta/dias/1802/12/07/pdfs/GMD-D-1802-99.pdf#page=1","Abrir facsímil")</f>
        <v>Abrir facsímil</v>
      </c>
      <c r="K4953" s="15" t="s">
        <v>23</v>
      </c>
    </row>
    <row r="4954" spans="1:11" ht="42" customHeight="1">
      <c r="A4954" s="4" t="s">
        <v>12128</v>
      </c>
      <c r="B4954" s="5" t="s">
        <v>12129</v>
      </c>
      <c r="C4954" s="5" t="s">
        <v>29</v>
      </c>
      <c r="D4954" s="5" t="s">
        <v>30</v>
      </c>
      <c r="E4954" s="5" t="s">
        <v>49</v>
      </c>
      <c r="F4954" s="9">
        <v>83</v>
      </c>
      <c r="G4954" s="9">
        <v>1020</v>
      </c>
      <c r="H4954" s="5" t="s">
        <v>21</v>
      </c>
      <c r="I4954" s="5" t="s">
        <v>12130</v>
      </c>
      <c r="J4954" s="12" t="str">
        <f>HYPERLINK("https://www.boe.es/gazeta/dias/1802/10/12/pdfs/GMD-1802-83.pdf#page=8","Abrir facsímil")</f>
        <v>Abrir facsímil</v>
      </c>
      <c r="K4954" s="15" t="s">
        <v>23</v>
      </c>
    </row>
    <row r="4955" spans="1:11" ht="42" customHeight="1">
      <c r="A4955" s="4" t="s">
        <v>12131</v>
      </c>
      <c r="B4955" s="5" t="s">
        <v>12132</v>
      </c>
      <c r="C4955" s="5" t="s">
        <v>29</v>
      </c>
      <c r="D4955" s="5" t="s">
        <v>30</v>
      </c>
      <c r="E4955" s="5" t="s">
        <v>37</v>
      </c>
      <c r="F4955" s="9">
        <v>106</v>
      </c>
      <c r="G4955" s="9">
        <v>1295</v>
      </c>
      <c r="H4955" s="5" t="s">
        <v>21</v>
      </c>
      <c r="I4955" s="5" t="s">
        <v>12133</v>
      </c>
      <c r="J4955" s="12" t="str">
        <f>HYPERLINK("https://www.boe.es/gazeta/dias/1802/12/31/pdfs/GMD-1802-106.pdf#page=7","Abrir facsímil")</f>
        <v>Abrir facsímil</v>
      </c>
      <c r="K4955" s="15" t="s">
        <v>23</v>
      </c>
    </row>
    <row r="4956" spans="1:11" ht="42" customHeight="1">
      <c r="A4956" s="4" t="s">
        <v>12134</v>
      </c>
      <c r="B4956" s="5" t="s">
        <v>12135</v>
      </c>
      <c r="C4956" s="5" t="s">
        <v>18</v>
      </c>
      <c r="D4956" s="5" t="s">
        <v>19</v>
      </c>
      <c r="E4956" s="5" t="s">
        <v>49</v>
      </c>
      <c r="F4956" s="9">
        <v>83</v>
      </c>
      <c r="G4956" s="9">
        <v>1023</v>
      </c>
      <c r="H4956" s="5" t="s">
        <v>21</v>
      </c>
      <c r="I4956" s="5" t="s">
        <v>12136</v>
      </c>
      <c r="J4956" s="12" t="str">
        <f>HYPERLINK("https://www.boe.es/gazeta/dias/1802/10/12/pdfs/GMD-1802-83.pdf#page=11","Abrir facsímil")</f>
        <v>Abrir facsímil</v>
      </c>
      <c r="K4956" s="15" t="s">
        <v>23</v>
      </c>
    </row>
    <row r="4957" spans="1:11" ht="42" customHeight="1">
      <c r="A4957" s="4" t="s">
        <v>12137</v>
      </c>
      <c r="B4957" s="5" t="s">
        <v>12138</v>
      </c>
      <c r="C4957" s="5" t="s">
        <v>35</v>
      </c>
      <c r="D4957" s="5" t="s">
        <v>36</v>
      </c>
      <c r="E4957" s="5" t="s">
        <v>443</v>
      </c>
      <c r="F4957" s="9">
        <v>78</v>
      </c>
      <c r="G4957" s="9">
        <v>955</v>
      </c>
      <c r="H4957" s="5" t="s">
        <v>21</v>
      </c>
      <c r="I4957" s="5" t="s">
        <v>12139</v>
      </c>
      <c r="J4957" s="12" t="str">
        <f>HYPERLINK("https://www.boe.es/gazeta/dias/1802/09/24/pdfs/GMD-1802-78.pdf#page=3","Abrir facsímil")</f>
        <v>Abrir facsímil</v>
      </c>
      <c r="K4957" s="15" t="s">
        <v>23</v>
      </c>
    </row>
    <row r="4958" spans="1:11" ht="42" customHeight="1">
      <c r="A4958" s="4" t="s">
        <v>12140</v>
      </c>
      <c r="B4958" s="5" t="s">
        <v>12141</v>
      </c>
      <c r="C4958" s="5" t="s">
        <v>35</v>
      </c>
      <c r="D4958" s="5" t="s">
        <v>36</v>
      </c>
      <c r="E4958" s="5" t="s">
        <v>60</v>
      </c>
      <c r="F4958" s="9">
        <v>5</v>
      </c>
      <c r="G4958" s="9">
        <v>46</v>
      </c>
      <c r="H4958" s="5" t="s">
        <v>21</v>
      </c>
      <c r="I4958" s="5" t="s">
        <v>12142</v>
      </c>
      <c r="J4958" s="12" t="str">
        <f>HYPERLINK("https://www.boe.es/gazeta/dias/1802/01/15/pdfs/GMD-1802-5.pdf#page=2","Abrir facsímil")</f>
        <v>Abrir facsímil</v>
      </c>
      <c r="K4958" s="15" t="s">
        <v>23</v>
      </c>
    </row>
    <row r="4959" spans="1:11" ht="42" customHeight="1">
      <c r="A4959" s="4" t="s">
        <v>12143</v>
      </c>
      <c r="B4959" s="5" t="s">
        <v>12143</v>
      </c>
      <c r="C4959" s="5" t="s">
        <v>18</v>
      </c>
      <c r="D4959" s="5" t="s">
        <v>19</v>
      </c>
      <c r="E4959" s="5" t="s">
        <v>167</v>
      </c>
      <c r="F4959" s="9">
        <v>23</v>
      </c>
      <c r="G4959" s="9">
        <v>257</v>
      </c>
      <c r="H4959" s="5" t="s">
        <v>21</v>
      </c>
      <c r="I4959" s="5" t="s">
        <v>12144</v>
      </c>
      <c r="J4959" s="12" t="str">
        <f>HYPERLINK("https://www.boe.es/gazeta/dias/1802/03/19/pdfs/GMD-1802-23.pdf#page=5","Abrir facsímil")</f>
        <v>Abrir facsímil</v>
      </c>
      <c r="K4959" s="15" t="s">
        <v>23</v>
      </c>
    </row>
    <row r="4960" spans="1:11" ht="42" customHeight="1">
      <c r="A4960" s="4" t="s">
        <v>12145</v>
      </c>
      <c r="B4960" s="5" t="s">
        <v>12146</v>
      </c>
      <c r="C4960" s="5" t="s">
        <v>42</v>
      </c>
      <c r="D4960" s="5" t="s">
        <v>43</v>
      </c>
      <c r="E4960" s="5" t="s">
        <v>44</v>
      </c>
      <c r="F4960" s="9">
        <v>99</v>
      </c>
      <c r="G4960" s="9" t="s">
        <v>262</v>
      </c>
      <c r="H4960" s="5" t="s">
        <v>21</v>
      </c>
      <c r="I4960" s="5" t="s">
        <v>12147</v>
      </c>
      <c r="J4960" s="12" t="str">
        <f>HYPERLINK("https://www.boe.es/gazeta/dias/1802/12/07/pdfs/GMD-D-1802-99.pdf#page=8","Abrir facsímil")</f>
        <v>Abrir facsímil</v>
      </c>
      <c r="K4960" s="15" t="s">
        <v>23</v>
      </c>
    </row>
    <row r="4961" spans="1:11" ht="42" customHeight="1">
      <c r="A4961" s="4" t="s">
        <v>12148</v>
      </c>
      <c r="B4961" s="5" t="s">
        <v>12148</v>
      </c>
      <c r="C4961" s="5" t="s">
        <v>35</v>
      </c>
      <c r="D4961" s="5" t="s">
        <v>36</v>
      </c>
      <c r="E4961" s="5" t="s">
        <v>865</v>
      </c>
      <c r="F4961" s="9">
        <v>12</v>
      </c>
      <c r="G4961" s="9">
        <v>119</v>
      </c>
      <c r="H4961" s="5" t="s">
        <v>21</v>
      </c>
      <c r="I4961" s="5" t="s">
        <v>12149</v>
      </c>
      <c r="J4961" s="12" t="str">
        <f>HYPERLINK("https://www.boe.es/gazeta/dias/1802/02/09/pdfs/GMD-1802-12.pdf#page=3","Abrir facsímil")</f>
        <v>Abrir facsímil</v>
      </c>
      <c r="K4961" s="15" t="s">
        <v>23</v>
      </c>
    </row>
    <row r="4962" spans="1:11" ht="42" customHeight="1">
      <c r="A4962" s="4" t="s">
        <v>12150</v>
      </c>
      <c r="B4962" s="5" t="s">
        <v>12151</v>
      </c>
      <c r="C4962" s="5" t="s">
        <v>18</v>
      </c>
      <c r="D4962" s="5" t="s">
        <v>19</v>
      </c>
      <c r="E4962" s="5" t="s">
        <v>20</v>
      </c>
      <c r="F4962" s="9">
        <v>84</v>
      </c>
      <c r="G4962" s="9">
        <v>1040</v>
      </c>
      <c r="H4962" s="5" t="s">
        <v>21</v>
      </c>
      <c r="I4962" s="5" t="s">
        <v>12152</v>
      </c>
      <c r="J4962" s="12" t="str">
        <f>HYPERLINK("https://www.boe.es/gazeta/dias/1802/10/15/pdfs/GMD-1802-84.pdf#page=8","Abrir facsímil")</f>
        <v>Abrir facsímil</v>
      </c>
      <c r="K4962" s="15" t="s">
        <v>23</v>
      </c>
    </row>
    <row r="4963" spans="1:11" ht="42" customHeight="1">
      <c r="A4963" s="4" t="s">
        <v>12153</v>
      </c>
      <c r="B4963" s="5" t="s">
        <v>12154</v>
      </c>
      <c r="C4963" s="5" t="s">
        <v>90</v>
      </c>
      <c r="D4963" s="5" t="s">
        <v>91</v>
      </c>
      <c r="E4963" s="5" t="s">
        <v>389</v>
      </c>
      <c r="F4963" s="9">
        <v>96</v>
      </c>
      <c r="G4963" s="9">
        <v>1189</v>
      </c>
      <c r="H4963" s="5" t="s">
        <v>21</v>
      </c>
      <c r="I4963" s="5" t="s">
        <v>12155</v>
      </c>
      <c r="J4963" s="12" t="str">
        <f>HYPERLINK("https://www.boe.es/gazeta/dias/1802/11/26/pdfs/GMD-1802-96.pdf#page=9","Abrir facsímil")</f>
        <v>Abrir facsímil</v>
      </c>
      <c r="K4963" s="15" t="s">
        <v>23</v>
      </c>
    </row>
    <row r="4964" spans="1:11" ht="42" customHeight="1">
      <c r="A4964" s="4" t="s">
        <v>12156</v>
      </c>
      <c r="B4964" s="5" t="s">
        <v>12157</v>
      </c>
      <c r="C4964" s="5" t="s">
        <v>18</v>
      </c>
      <c r="D4964" s="5" t="s">
        <v>19</v>
      </c>
      <c r="E4964" s="5" t="s">
        <v>814</v>
      </c>
      <c r="F4964" s="9">
        <v>41</v>
      </c>
      <c r="G4964" s="9">
        <v>488</v>
      </c>
      <c r="H4964" s="5" t="s">
        <v>21</v>
      </c>
      <c r="I4964" s="5" t="s">
        <v>12158</v>
      </c>
      <c r="J4964" s="12" t="str">
        <f>HYPERLINK("https://www.boe.es/gazeta/dias/1802/05/21/pdfs/GMD-1802-41.pdf#page=4","Abrir facsímil")</f>
        <v>Abrir facsímil</v>
      </c>
      <c r="K4964" s="15" t="s">
        <v>23</v>
      </c>
    </row>
    <row r="4965" spans="1:11" ht="42" customHeight="1">
      <c r="A4965" s="4" t="s">
        <v>12159</v>
      </c>
      <c r="B4965" s="5" t="s">
        <v>12160</v>
      </c>
      <c r="C4965" s="5" t="s">
        <v>18</v>
      </c>
      <c r="D4965" s="5" t="s">
        <v>19</v>
      </c>
      <c r="E4965" s="5" t="s">
        <v>82</v>
      </c>
      <c r="F4965" s="9">
        <v>74</v>
      </c>
      <c r="G4965" s="9">
        <v>909</v>
      </c>
      <c r="H4965" s="5" t="s">
        <v>21</v>
      </c>
      <c r="I4965" s="5" t="s">
        <v>12161</v>
      </c>
      <c r="J4965" s="12" t="str">
        <f>HYPERLINK("https://www.boe.es/gazeta/dias/1802/09/10/pdfs/GMD-1802-74.pdf#page=5","Abrir facsímil")</f>
        <v>Abrir facsímil</v>
      </c>
      <c r="K4965" s="15" t="s">
        <v>23</v>
      </c>
    </row>
    <row r="4966" spans="1:11" ht="42" customHeight="1">
      <c r="A4966" s="4" t="s">
        <v>12162</v>
      </c>
      <c r="B4966" s="5" t="s">
        <v>12163</v>
      </c>
      <c r="C4966" s="5" t="s">
        <v>90</v>
      </c>
      <c r="D4966" s="5" t="s">
        <v>91</v>
      </c>
      <c r="E4966" s="5" t="s">
        <v>181</v>
      </c>
      <c r="F4966" s="9">
        <v>55</v>
      </c>
      <c r="G4966" s="9">
        <v>667</v>
      </c>
      <c r="H4966" s="5" t="s">
        <v>21</v>
      </c>
      <c r="I4966" s="5" t="s">
        <v>12164</v>
      </c>
      <c r="J4966" s="12" t="str">
        <f>HYPERLINK("https://www.boe.es/gazeta/dias/1802/07/09/pdfs/GMD-1802-55.pdf#page=11","Abrir facsímil")</f>
        <v>Abrir facsímil</v>
      </c>
      <c r="K4966" s="15" t="s">
        <v>23</v>
      </c>
    </row>
    <row r="4967" spans="1:11" ht="42" customHeight="1">
      <c r="A4967" s="4" t="s">
        <v>12165</v>
      </c>
      <c r="B4967" s="5" t="s">
        <v>12166</v>
      </c>
      <c r="C4967" s="5" t="s">
        <v>18</v>
      </c>
      <c r="D4967" s="5" t="s">
        <v>19</v>
      </c>
      <c r="E4967" s="5" t="s">
        <v>114</v>
      </c>
      <c r="F4967" s="9">
        <v>82</v>
      </c>
      <c r="G4967" s="9">
        <v>1012</v>
      </c>
      <c r="H4967" s="5" t="s">
        <v>21</v>
      </c>
      <c r="I4967" s="5" t="s">
        <v>12167</v>
      </c>
      <c r="J4967" s="12" t="str">
        <f>HYPERLINK("https://www.boe.es/gazeta/dias/1802/10/08/pdfs/GMD-1802-82.pdf#page=12","Abrir facsímil")</f>
        <v>Abrir facsímil</v>
      </c>
      <c r="K4967" s="15" t="s">
        <v>23</v>
      </c>
    </row>
    <row r="4968" spans="1:11" ht="42" customHeight="1">
      <c r="A4968" s="4" t="s">
        <v>12168</v>
      </c>
      <c r="B4968" s="5" t="s">
        <v>12169</v>
      </c>
      <c r="C4968" s="5" t="s">
        <v>18</v>
      </c>
      <c r="D4968" s="5" t="s">
        <v>19</v>
      </c>
      <c r="E4968" s="5" t="s">
        <v>175</v>
      </c>
      <c r="F4968" s="9">
        <v>37</v>
      </c>
      <c r="G4968" s="9">
        <v>442</v>
      </c>
      <c r="H4968" s="5" t="s">
        <v>21</v>
      </c>
      <c r="I4968" s="5" t="s">
        <v>12170</v>
      </c>
      <c r="J4968" s="12" t="str">
        <f>HYPERLINK("https://www.boe.es/gazeta/dias/1802/05/07/pdfs/GMD-1802-37.pdf#page=10","Abrir facsímil")</f>
        <v>Abrir facsímil</v>
      </c>
      <c r="K4968" s="15" t="s">
        <v>23</v>
      </c>
    </row>
    <row r="4969" spans="1:11" ht="42" customHeight="1">
      <c r="A4969" s="4" t="s">
        <v>12171</v>
      </c>
      <c r="B4969" s="5" t="s">
        <v>12172</v>
      </c>
      <c r="C4969" s="5" t="s">
        <v>18</v>
      </c>
      <c r="D4969" s="5" t="s">
        <v>19</v>
      </c>
      <c r="E4969" s="5" t="s">
        <v>82</v>
      </c>
      <c r="F4969" s="9">
        <v>74</v>
      </c>
      <c r="G4969" s="9">
        <v>914</v>
      </c>
      <c r="H4969" s="5" t="s">
        <v>21</v>
      </c>
      <c r="I4969" s="5" t="s">
        <v>12173</v>
      </c>
      <c r="J4969" s="12" t="str">
        <f>HYPERLINK("https://www.boe.es/gazeta/dias/1802/09/10/pdfs/GMD-1802-74.pdf#page=10","Abrir facsímil")</f>
        <v>Abrir facsímil</v>
      </c>
      <c r="K4969" s="15" t="s">
        <v>23</v>
      </c>
    </row>
    <row r="4970" spans="1:11" ht="42" customHeight="1">
      <c r="A4970" s="4" t="s">
        <v>12174</v>
      </c>
      <c r="B4970" s="5" t="s">
        <v>12174</v>
      </c>
      <c r="C4970" s="5" t="s">
        <v>18</v>
      </c>
      <c r="D4970" s="5" t="s">
        <v>19</v>
      </c>
      <c r="E4970" s="5" t="s">
        <v>1097</v>
      </c>
      <c r="F4970" s="9">
        <v>20</v>
      </c>
      <c r="G4970" s="9">
        <v>218</v>
      </c>
      <c r="H4970" s="5" t="s">
        <v>21</v>
      </c>
      <c r="I4970" s="5" t="s">
        <v>12175</v>
      </c>
      <c r="J4970" s="12" t="str">
        <f>HYPERLINK("https://www.boe.es/gazeta/dias/1802/03/09/pdfs/GMD-1802-20.pdf#page=6","Abrir facsímil")</f>
        <v>Abrir facsímil</v>
      </c>
      <c r="K4970" s="15" t="s">
        <v>23</v>
      </c>
    </row>
    <row r="4971" spans="1:11" ht="42" customHeight="1">
      <c r="A4971" s="4" t="s">
        <v>12174</v>
      </c>
      <c r="B4971" s="5" t="s">
        <v>12174</v>
      </c>
      <c r="C4971" s="5" t="s">
        <v>29</v>
      </c>
      <c r="D4971" s="5" t="s">
        <v>30</v>
      </c>
      <c r="E4971" s="5" t="s">
        <v>71</v>
      </c>
      <c r="F4971" s="9">
        <v>21</v>
      </c>
      <c r="G4971" s="9">
        <v>228</v>
      </c>
      <c r="H4971" s="5" t="s">
        <v>21</v>
      </c>
      <c r="I4971" s="5" t="s">
        <v>12176</v>
      </c>
      <c r="J4971" s="12" t="str">
        <f>HYPERLINK("https://www.boe.es/gazeta/dias/1802/03/12/pdfs/GMD-1802-21.pdf#page=4","Abrir facsímil")</f>
        <v>Abrir facsímil</v>
      </c>
      <c r="K4971" s="15" t="s">
        <v>23</v>
      </c>
    </row>
    <row r="4972" spans="1:11" ht="42" customHeight="1">
      <c r="A4972" s="4" t="s">
        <v>12177</v>
      </c>
      <c r="B4972" s="5" t="s">
        <v>12178</v>
      </c>
      <c r="C4972" s="5" t="s">
        <v>29</v>
      </c>
      <c r="D4972" s="5" t="s">
        <v>30</v>
      </c>
      <c r="E4972" s="5" t="s">
        <v>1588</v>
      </c>
      <c r="F4972" s="9">
        <v>18</v>
      </c>
      <c r="G4972" s="9">
        <v>194</v>
      </c>
      <c r="H4972" s="5" t="s">
        <v>21</v>
      </c>
      <c r="I4972" s="5" t="s">
        <v>12179</v>
      </c>
      <c r="J4972" s="12" t="str">
        <f>HYPERLINK("https://www.boe.es/gazeta/dias/1802/03/02/pdfs/GMD-1802-18.pdf#page=6","Abrir facsímil")</f>
        <v>Abrir facsímil</v>
      </c>
      <c r="K4972" s="15" t="s">
        <v>23</v>
      </c>
    </row>
    <row r="4973" spans="1:11" ht="42" customHeight="1">
      <c r="A4973" s="4" t="s">
        <v>12180</v>
      </c>
      <c r="B4973" s="5" t="s">
        <v>12181</v>
      </c>
      <c r="C4973" s="5" t="s">
        <v>42</v>
      </c>
      <c r="D4973" s="5" t="s">
        <v>43</v>
      </c>
      <c r="E4973" s="5" t="s">
        <v>44</v>
      </c>
      <c r="F4973" s="9">
        <v>99</v>
      </c>
      <c r="G4973" s="9" t="s">
        <v>322</v>
      </c>
      <c r="H4973" s="5" t="s">
        <v>21</v>
      </c>
      <c r="I4973" s="5" t="s">
        <v>12182</v>
      </c>
      <c r="J4973" s="12" t="str">
        <f>HYPERLINK("https://www.boe.es/gazeta/dias/1802/12/07/pdfs/GMD-D-1802-99.pdf#page=10","Abrir facsímil")</f>
        <v>Abrir facsímil</v>
      </c>
      <c r="K4973" s="15" t="s">
        <v>23</v>
      </c>
    </row>
    <row r="4974" spans="1:11" ht="42" customHeight="1">
      <c r="A4974" s="4" t="s">
        <v>12183</v>
      </c>
      <c r="B4974" s="5" t="s">
        <v>12184</v>
      </c>
      <c r="C4974" s="5" t="s">
        <v>18</v>
      </c>
      <c r="D4974" s="5" t="s">
        <v>19</v>
      </c>
      <c r="E4974" s="5" t="s">
        <v>20</v>
      </c>
      <c r="F4974" s="9">
        <v>84</v>
      </c>
      <c r="G4974" s="9">
        <v>1041</v>
      </c>
      <c r="H4974" s="5" t="s">
        <v>21</v>
      </c>
      <c r="I4974" s="5" t="s">
        <v>12185</v>
      </c>
      <c r="J4974" s="12" t="str">
        <f>HYPERLINK("https://www.boe.es/gazeta/dias/1802/10/15/pdfs/GMD-1802-84.pdf#page=9","Abrir facsímil")</f>
        <v>Abrir facsímil</v>
      </c>
      <c r="K4974" s="15" t="s">
        <v>23</v>
      </c>
    </row>
    <row r="4975" spans="1:11" ht="42" customHeight="1">
      <c r="A4975" s="4" t="s">
        <v>12186</v>
      </c>
      <c r="B4975" s="5" t="s">
        <v>12187</v>
      </c>
      <c r="C4975" s="5" t="s">
        <v>29</v>
      </c>
      <c r="D4975" s="5" t="s">
        <v>30</v>
      </c>
      <c r="E4975" s="5" t="s">
        <v>181</v>
      </c>
      <c r="F4975" s="9">
        <v>55</v>
      </c>
      <c r="G4975" s="9">
        <v>667</v>
      </c>
      <c r="H4975" s="5" t="s">
        <v>21</v>
      </c>
      <c r="I4975" s="5" t="s">
        <v>12188</v>
      </c>
      <c r="J4975" s="12" t="str">
        <f>HYPERLINK("https://www.boe.es/gazeta/dias/1802/07/09/pdfs/GMD-1802-55.pdf#page=11","Abrir facsímil")</f>
        <v>Abrir facsímil</v>
      </c>
      <c r="K4975" s="15" t="s">
        <v>23</v>
      </c>
    </row>
    <row r="4976" spans="1:11" ht="42" customHeight="1">
      <c r="A4976" s="4" t="s">
        <v>12189</v>
      </c>
      <c r="B4976" s="5" t="s">
        <v>12190</v>
      </c>
      <c r="C4976" s="5" t="s">
        <v>90</v>
      </c>
      <c r="D4976" s="5" t="s">
        <v>91</v>
      </c>
      <c r="E4976" s="5" t="s">
        <v>655</v>
      </c>
      <c r="F4976" s="9">
        <v>46</v>
      </c>
      <c r="G4976" s="9">
        <v>559</v>
      </c>
      <c r="H4976" s="5" t="s">
        <v>21</v>
      </c>
      <c r="I4976" s="5" t="s">
        <v>12191</v>
      </c>
      <c r="J4976" s="12" t="str">
        <f>HYPERLINK("https://www.boe.es/gazeta/dias/1802/06/08/pdfs/GMD-1802-46.pdf#page=11","Abrir facsímil")</f>
        <v>Abrir facsímil</v>
      </c>
      <c r="K4976" s="15" t="s">
        <v>23</v>
      </c>
    </row>
    <row r="4977" spans="1:11" ht="42" customHeight="1">
      <c r="A4977" s="4" t="s">
        <v>12192</v>
      </c>
      <c r="B4977" s="5" t="s">
        <v>12193</v>
      </c>
      <c r="C4977" s="5" t="s">
        <v>90</v>
      </c>
      <c r="D4977" s="5" t="s">
        <v>91</v>
      </c>
      <c r="E4977" s="5" t="s">
        <v>900</v>
      </c>
      <c r="F4977" s="9">
        <v>16</v>
      </c>
      <c r="G4977" s="9">
        <v>170</v>
      </c>
      <c r="H4977" s="5" t="s">
        <v>21</v>
      </c>
      <c r="I4977" s="5" t="s">
        <v>12194</v>
      </c>
      <c r="J4977" s="12" t="str">
        <f>HYPERLINK("https://www.boe.es/gazeta/dias/1802/02/23/pdfs/GMD-1802-16.pdf#page=10","Abrir facsímil")</f>
        <v>Abrir facsímil</v>
      </c>
      <c r="K4977" s="15" t="s">
        <v>23</v>
      </c>
    </row>
    <row r="4978" spans="1:11" ht="42" customHeight="1">
      <c r="A4978" s="4" t="s">
        <v>12195</v>
      </c>
      <c r="B4978" s="5" t="s">
        <v>12196</v>
      </c>
      <c r="C4978" s="5" t="s">
        <v>90</v>
      </c>
      <c r="D4978" s="5" t="s">
        <v>91</v>
      </c>
      <c r="E4978" s="5" t="s">
        <v>1381</v>
      </c>
      <c r="F4978" s="9">
        <v>17</v>
      </c>
      <c r="G4978" s="9">
        <v>185</v>
      </c>
      <c r="H4978" s="5" t="s">
        <v>21</v>
      </c>
      <c r="I4978" s="5" t="s">
        <v>12197</v>
      </c>
      <c r="J4978" s="12" t="str">
        <f>HYPERLINK("https://www.boe.es/gazeta/dias/1802/02/26/pdfs/GMD-1802-17.pdf#page=9","Abrir facsímil")</f>
        <v>Abrir facsímil</v>
      </c>
      <c r="K4978" s="15" t="s">
        <v>23</v>
      </c>
    </row>
    <row r="4979" spans="1:11" ht="42" customHeight="1">
      <c r="A4979" s="4" t="s">
        <v>12198</v>
      </c>
      <c r="B4979" s="5" t="s">
        <v>12199</v>
      </c>
      <c r="C4979" s="5" t="s">
        <v>29</v>
      </c>
      <c r="D4979" s="5" t="s">
        <v>30</v>
      </c>
      <c r="E4979" s="5" t="s">
        <v>175</v>
      </c>
      <c r="F4979" s="9">
        <v>37</v>
      </c>
      <c r="G4979" s="9">
        <v>442</v>
      </c>
      <c r="H4979" s="5" t="s">
        <v>21</v>
      </c>
      <c r="I4979" s="5" t="s">
        <v>12200</v>
      </c>
      <c r="J4979" s="12" t="str">
        <f>HYPERLINK("https://www.boe.es/gazeta/dias/1802/05/07/pdfs/GMD-1802-37.pdf#page=10","Abrir facsímil")</f>
        <v>Abrir facsímil</v>
      </c>
      <c r="K4979" s="15" t="s">
        <v>23</v>
      </c>
    </row>
    <row r="4980" spans="1:11" ht="42" customHeight="1">
      <c r="A4980" s="4" t="s">
        <v>12201</v>
      </c>
      <c r="B4980" s="5" t="s">
        <v>12202</v>
      </c>
      <c r="C4980" s="5" t="s">
        <v>42</v>
      </c>
      <c r="D4980" s="5" t="s">
        <v>43</v>
      </c>
      <c r="E4980" s="5" t="s">
        <v>44</v>
      </c>
      <c r="F4980" s="9">
        <v>99</v>
      </c>
      <c r="G4980" s="9" t="s">
        <v>779</v>
      </c>
      <c r="H4980" s="5" t="s">
        <v>21</v>
      </c>
      <c r="I4980" s="5" t="s">
        <v>12203</v>
      </c>
      <c r="J4980" s="12" t="str">
        <f>HYPERLINK("https://www.boe.es/gazeta/dias/1802/12/07/pdfs/GMD-D-1802-99.pdf#page=13","Abrir facsímil")</f>
        <v>Abrir facsímil</v>
      </c>
      <c r="K4980" s="15" t="s">
        <v>23</v>
      </c>
    </row>
    <row r="4981" spans="1:11" ht="42" customHeight="1">
      <c r="A4981" s="4" t="s">
        <v>12204</v>
      </c>
      <c r="B4981" s="5" t="s">
        <v>12205</v>
      </c>
      <c r="C4981" s="5" t="s">
        <v>18</v>
      </c>
      <c r="D4981" s="5" t="s">
        <v>19</v>
      </c>
      <c r="E4981" s="5" t="s">
        <v>172</v>
      </c>
      <c r="F4981" s="9">
        <v>35</v>
      </c>
      <c r="G4981" s="9">
        <v>413</v>
      </c>
      <c r="H4981" s="5" t="s">
        <v>21</v>
      </c>
      <c r="I4981" s="5" t="s">
        <v>12206</v>
      </c>
      <c r="J4981" s="12" t="str">
        <f>HYPERLINK("https://www.boe.es/gazeta/dias/1802/04/30/pdfs/GMD-1802-35.pdf#page=13","Abrir facsímil")</f>
        <v>Abrir facsímil</v>
      </c>
      <c r="K4981" s="15" t="s">
        <v>23</v>
      </c>
    </row>
    <row r="4982" spans="1:11" ht="42" customHeight="1">
      <c r="A4982" s="4" t="s">
        <v>12207</v>
      </c>
      <c r="B4982" s="5" t="s">
        <v>12208</v>
      </c>
      <c r="C4982" s="5" t="s">
        <v>29</v>
      </c>
      <c r="D4982" s="5" t="s">
        <v>30</v>
      </c>
      <c r="E4982" s="5" t="s">
        <v>192</v>
      </c>
      <c r="F4982" s="9">
        <v>53</v>
      </c>
      <c r="G4982" s="9">
        <v>643</v>
      </c>
      <c r="H4982" s="5" t="s">
        <v>21</v>
      </c>
      <c r="I4982" s="5" t="s">
        <v>12209</v>
      </c>
      <c r="J4982" s="12" t="str">
        <f>HYPERLINK("https://www.boe.es/gazeta/dias/1802/07/02/pdfs/GMD-1802-53.pdf#page=11","Abrir facsímil")</f>
        <v>Abrir facsímil</v>
      </c>
      <c r="K4982" s="15" t="s">
        <v>23</v>
      </c>
    </row>
    <row r="4983" spans="1:11" ht="42" customHeight="1">
      <c r="A4983" s="4" t="s">
        <v>12210</v>
      </c>
      <c r="B4983" s="5" t="s">
        <v>12211</v>
      </c>
      <c r="C4983" s="5" t="s">
        <v>18</v>
      </c>
      <c r="D4983" s="5" t="s">
        <v>19</v>
      </c>
      <c r="E4983" s="5" t="s">
        <v>49</v>
      </c>
      <c r="F4983" s="9">
        <v>83</v>
      </c>
      <c r="G4983" s="9">
        <v>1026</v>
      </c>
      <c r="H4983" s="5" t="s">
        <v>21</v>
      </c>
      <c r="I4983" s="5" t="s">
        <v>12212</v>
      </c>
      <c r="J4983" s="12" t="str">
        <f>HYPERLINK("https://www.boe.es/gazeta/dias/1802/10/12/pdfs/GMD-1802-83.pdf#page=14","Abrir facsímil")</f>
        <v>Abrir facsímil</v>
      </c>
      <c r="K4983" s="15" t="s">
        <v>23</v>
      </c>
    </row>
    <row r="4984" spans="1:11" ht="42" customHeight="1">
      <c r="A4984" s="4" t="s">
        <v>12213</v>
      </c>
      <c r="B4984" s="5" t="s">
        <v>12214</v>
      </c>
      <c r="C4984" s="5" t="s">
        <v>29</v>
      </c>
      <c r="D4984" s="5" t="s">
        <v>30</v>
      </c>
      <c r="E4984" s="5" t="s">
        <v>86</v>
      </c>
      <c r="F4984" s="9">
        <v>26</v>
      </c>
      <c r="G4984" s="9">
        <v>297</v>
      </c>
      <c r="H4984" s="5" t="s">
        <v>21</v>
      </c>
      <c r="I4984" s="5" t="s">
        <v>12215</v>
      </c>
      <c r="J4984" s="12" t="str">
        <f>HYPERLINK("https://www.boe.es/gazeta/dias/1802/03/30/pdfs/GMD-1802-26.pdf#page=9","Abrir facsímil")</f>
        <v>Abrir facsímil</v>
      </c>
      <c r="K4984" s="15" t="s">
        <v>23</v>
      </c>
    </row>
    <row r="4985" spans="1:11" ht="42" customHeight="1">
      <c r="A4985" s="4" t="s">
        <v>12216</v>
      </c>
      <c r="B4985" s="5" t="s">
        <v>12217</v>
      </c>
      <c r="C4985" s="5" t="s">
        <v>18</v>
      </c>
      <c r="D4985" s="5" t="s">
        <v>19</v>
      </c>
      <c r="E4985" s="5" t="s">
        <v>20</v>
      </c>
      <c r="F4985" s="9">
        <v>84</v>
      </c>
      <c r="G4985" s="9">
        <v>1041</v>
      </c>
      <c r="H4985" s="5" t="s">
        <v>21</v>
      </c>
      <c r="I4985" s="5" t="s">
        <v>12218</v>
      </c>
      <c r="J4985" s="12" t="str">
        <f>HYPERLINK("https://www.boe.es/gazeta/dias/1802/10/15/pdfs/GMD-1802-84.pdf#page=9","Abrir facsímil")</f>
        <v>Abrir facsímil</v>
      </c>
      <c r="K4985" s="15" t="s">
        <v>23</v>
      </c>
    </row>
    <row r="4986" spans="1:11" ht="42" customHeight="1">
      <c r="A4986" s="4" t="s">
        <v>12219</v>
      </c>
      <c r="B4986" s="5" t="s">
        <v>12220</v>
      </c>
      <c r="C4986" s="5" t="s">
        <v>18</v>
      </c>
      <c r="D4986" s="5" t="s">
        <v>19</v>
      </c>
      <c r="E4986" s="5" t="s">
        <v>20</v>
      </c>
      <c r="F4986" s="9">
        <v>84</v>
      </c>
      <c r="G4986" s="9">
        <v>1044</v>
      </c>
      <c r="H4986" s="5" t="s">
        <v>21</v>
      </c>
      <c r="I4986" s="5" t="s">
        <v>12221</v>
      </c>
      <c r="J4986" s="12" t="str">
        <f>HYPERLINK("https://www.boe.es/gazeta/dias/1802/10/15/pdfs/GMD-1802-84.pdf#page=12","Abrir facsímil")</f>
        <v>Abrir facsímil</v>
      </c>
      <c r="K4986" s="15" t="s">
        <v>23</v>
      </c>
    </row>
    <row r="4987" spans="1:11" ht="42" customHeight="1">
      <c r="A4987" s="4" t="s">
        <v>12222</v>
      </c>
      <c r="B4987" s="5" t="s">
        <v>12223</v>
      </c>
      <c r="C4987" s="5" t="s">
        <v>18</v>
      </c>
      <c r="D4987" s="5" t="s">
        <v>19</v>
      </c>
      <c r="E4987" s="5" t="s">
        <v>49</v>
      </c>
      <c r="F4987" s="9">
        <v>83</v>
      </c>
      <c r="G4987" s="9">
        <v>1023</v>
      </c>
      <c r="H4987" s="5" t="s">
        <v>21</v>
      </c>
      <c r="I4987" s="5" t="s">
        <v>12224</v>
      </c>
      <c r="J4987" s="12" t="str">
        <f>HYPERLINK("https://www.boe.es/gazeta/dias/1802/10/12/pdfs/GMD-1802-83.pdf#page=11","Abrir facsímil")</f>
        <v>Abrir facsímil</v>
      </c>
      <c r="K4987" s="15" t="s">
        <v>23</v>
      </c>
    </row>
    <row r="4988" spans="1:11" ht="42" customHeight="1">
      <c r="A4988" s="4" t="s">
        <v>12225</v>
      </c>
      <c r="B4988" s="5" t="s">
        <v>12226</v>
      </c>
      <c r="C4988" s="5" t="s">
        <v>160</v>
      </c>
      <c r="D4988" s="5" t="s">
        <v>91</v>
      </c>
      <c r="E4988" s="5" t="s">
        <v>247</v>
      </c>
      <c r="F4988" s="9">
        <v>14</v>
      </c>
      <c r="G4988" s="9">
        <v>146</v>
      </c>
      <c r="H4988" s="5" t="s">
        <v>21</v>
      </c>
      <c r="I4988" s="5" t="s">
        <v>12227</v>
      </c>
      <c r="J4988" s="12" t="str">
        <f>HYPERLINK("https://www.boe.es/gazeta/dias/1802/02/16/pdfs/GMD-1802-14.pdf#page=10","Abrir facsímil")</f>
        <v>Abrir facsímil</v>
      </c>
      <c r="K4988" s="15" t="s">
        <v>23</v>
      </c>
    </row>
    <row r="4989" spans="1:11" ht="42" customHeight="1">
      <c r="A4989" s="4" t="s">
        <v>12228</v>
      </c>
      <c r="B4989" s="5" t="s">
        <v>12229</v>
      </c>
      <c r="C4989" s="5" t="s">
        <v>42</v>
      </c>
      <c r="D4989" s="5" t="s">
        <v>43</v>
      </c>
      <c r="E4989" s="5" t="s">
        <v>44</v>
      </c>
      <c r="F4989" s="9">
        <v>99</v>
      </c>
      <c r="G4989" s="9" t="s">
        <v>558</v>
      </c>
      <c r="H4989" s="5" t="s">
        <v>21</v>
      </c>
      <c r="I4989" s="5" t="s">
        <v>12230</v>
      </c>
      <c r="J4989" s="12" t="str">
        <f>HYPERLINK("https://www.boe.es/gazeta/dias/1802/12/07/pdfs/GMD-D-1802-99.pdf#page=1","Abrir facsímil")</f>
        <v>Abrir facsímil</v>
      </c>
      <c r="K4989" s="15" t="s">
        <v>23</v>
      </c>
    </row>
    <row r="4990" spans="1:11" ht="42" customHeight="1">
      <c r="A4990" s="4" t="s">
        <v>12231</v>
      </c>
      <c r="B4990" s="5" t="s">
        <v>12232</v>
      </c>
      <c r="C4990" s="5" t="s">
        <v>29</v>
      </c>
      <c r="D4990" s="5" t="s">
        <v>30</v>
      </c>
      <c r="E4990" s="5" t="s">
        <v>635</v>
      </c>
      <c r="F4990" s="9">
        <v>47</v>
      </c>
      <c r="G4990" s="9">
        <v>573</v>
      </c>
      <c r="H4990" s="5" t="s">
        <v>21</v>
      </c>
      <c r="I4990" s="5" t="s">
        <v>12233</v>
      </c>
      <c r="J4990" s="12" t="str">
        <f>HYPERLINK("https://www.boe.es/gazeta/dias/1802/06/11/pdfs/GMD-1802-47.pdf#page=9","Abrir facsímil")</f>
        <v>Abrir facsímil</v>
      </c>
      <c r="K4990" s="15" t="s">
        <v>23</v>
      </c>
    </row>
    <row r="4991" spans="1:11" ht="42" customHeight="1">
      <c r="A4991" s="4" t="s">
        <v>12234</v>
      </c>
      <c r="B4991" s="5" t="s">
        <v>12235</v>
      </c>
      <c r="C4991" s="5" t="s">
        <v>18</v>
      </c>
      <c r="D4991" s="5" t="s">
        <v>19</v>
      </c>
      <c r="E4991" s="5" t="s">
        <v>20</v>
      </c>
      <c r="F4991" s="9">
        <v>84</v>
      </c>
      <c r="G4991" s="9">
        <v>1046</v>
      </c>
      <c r="H4991" s="5" t="s">
        <v>21</v>
      </c>
      <c r="I4991" s="5" t="s">
        <v>12236</v>
      </c>
      <c r="J4991" s="12" t="str">
        <f>HYPERLINK("https://www.boe.es/gazeta/dias/1802/10/15/pdfs/GMD-1802-84.pdf#page=14","Abrir facsímil")</f>
        <v>Abrir facsímil</v>
      </c>
      <c r="K4991" s="15" t="s">
        <v>23</v>
      </c>
    </row>
    <row r="4992" spans="1:11" ht="42" customHeight="1">
      <c r="A4992" s="4" t="s">
        <v>12237</v>
      </c>
      <c r="B4992" s="5" t="s">
        <v>12238</v>
      </c>
      <c r="C4992" s="5" t="s">
        <v>18</v>
      </c>
      <c r="D4992" s="5" t="s">
        <v>19</v>
      </c>
      <c r="E4992" s="5" t="s">
        <v>49</v>
      </c>
      <c r="F4992" s="9">
        <v>83</v>
      </c>
      <c r="G4992" s="9">
        <v>1024</v>
      </c>
      <c r="H4992" s="5" t="s">
        <v>21</v>
      </c>
      <c r="I4992" s="5" t="s">
        <v>12239</v>
      </c>
      <c r="J4992" s="12" t="str">
        <f>HYPERLINK("https://www.boe.es/gazeta/dias/1802/10/12/pdfs/GMD-1802-83.pdf#page=12","Abrir facsímil")</f>
        <v>Abrir facsímil</v>
      </c>
      <c r="K4992" s="15" t="s">
        <v>23</v>
      </c>
    </row>
    <row r="4993" spans="1:11" ht="42" customHeight="1">
      <c r="A4993" s="4" t="s">
        <v>12240</v>
      </c>
      <c r="B4993" s="5" t="s">
        <v>12241</v>
      </c>
      <c r="C4993" s="5" t="s">
        <v>29</v>
      </c>
      <c r="D4993" s="5" t="s">
        <v>30</v>
      </c>
      <c r="E4993" s="5" t="s">
        <v>20</v>
      </c>
      <c r="F4993" s="9">
        <v>84</v>
      </c>
      <c r="G4993" s="9">
        <v>1040</v>
      </c>
      <c r="H4993" s="5" t="s">
        <v>21</v>
      </c>
      <c r="I4993" s="5" t="s">
        <v>12242</v>
      </c>
      <c r="J4993" s="12" t="str">
        <f>HYPERLINK("https://www.boe.es/gazeta/dias/1802/10/15/pdfs/GMD-1802-84.pdf#page=8","Abrir facsímil")</f>
        <v>Abrir facsímil</v>
      </c>
      <c r="K4993" s="15" t="s">
        <v>23</v>
      </c>
    </row>
    <row r="4994" spans="1:11" ht="42" customHeight="1">
      <c r="A4994" s="4" t="s">
        <v>12243</v>
      </c>
      <c r="B4994" s="5" t="s">
        <v>12244</v>
      </c>
      <c r="C4994" s="5" t="s">
        <v>55</v>
      </c>
      <c r="D4994" s="5" t="s">
        <v>56</v>
      </c>
      <c r="E4994" s="5" t="s">
        <v>152</v>
      </c>
      <c r="F4994" s="9">
        <v>25</v>
      </c>
      <c r="G4994" s="9">
        <v>287</v>
      </c>
      <c r="H4994" s="5" t="s">
        <v>21</v>
      </c>
      <c r="I4994" s="5" t="s">
        <v>12245</v>
      </c>
      <c r="J4994" s="12" t="str">
        <f>HYPERLINK("https://www.boe.es/gazeta/dias/1802/03/26/pdfs/GMD-1802-25.pdf#page=11","Abrir facsímil")</f>
        <v>Abrir facsímil</v>
      </c>
      <c r="K4994" s="15" t="s">
        <v>23</v>
      </c>
    </row>
    <row r="4995" spans="1:11" ht="42" customHeight="1">
      <c r="A4995" s="4" t="s">
        <v>12246</v>
      </c>
      <c r="B4995" s="5" t="s">
        <v>12247</v>
      </c>
      <c r="C4995" s="5" t="s">
        <v>29</v>
      </c>
      <c r="D4995" s="5" t="s">
        <v>30</v>
      </c>
      <c r="E4995" s="5" t="s">
        <v>530</v>
      </c>
      <c r="F4995" s="9">
        <v>48</v>
      </c>
      <c r="G4995" s="9">
        <v>586</v>
      </c>
      <c r="H4995" s="5" t="s">
        <v>21</v>
      </c>
      <c r="I4995" s="5" t="s">
        <v>12248</v>
      </c>
      <c r="J4995" s="12" t="str">
        <f>HYPERLINK("https://www.boe.es/gazeta/dias/1802/06/15/pdfs/GMD-1802-48.pdf#page=10","Abrir facsímil")</f>
        <v>Abrir facsímil</v>
      </c>
      <c r="K4995" s="15" t="s">
        <v>23</v>
      </c>
    </row>
    <row r="4996" spans="1:11" ht="42" customHeight="1">
      <c r="A4996" s="4" t="s">
        <v>12249</v>
      </c>
      <c r="B4996" s="5" t="s">
        <v>12250</v>
      </c>
      <c r="C4996" s="5" t="s">
        <v>18</v>
      </c>
      <c r="D4996" s="5" t="s">
        <v>19</v>
      </c>
      <c r="E4996" s="5" t="s">
        <v>196</v>
      </c>
      <c r="F4996" s="9">
        <v>2</v>
      </c>
      <c r="G4996" s="9">
        <v>10</v>
      </c>
      <c r="H4996" s="5" t="s">
        <v>21</v>
      </c>
      <c r="I4996" s="5" t="s">
        <v>12251</v>
      </c>
      <c r="J4996" s="12" t="str">
        <f>HYPERLINK("https://www.boe.es/gazeta/dias/1802/01/05/pdfs/GMD-1802-2.pdf#page=2","Abrir facsímil")</f>
        <v>Abrir facsímil</v>
      </c>
      <c r="K4996" s="15" t="s">
        <v>23</v>
      </c>
    </row>
    <row r="4997" spans="1:11" ht="42" customHeight="1">
      <c r="A4997" s="4" t="s">
        <v>12252</v>
      </c>
      <c r="B4997" s="5" t="s">
        <v>12252</v>
      </c>
      <c r="C4997" s="5" t="s">
        <v>29</v>
      </c>
      <c r="D4997" s="5" t="s">
        <v>30</v>
      </c>
      <c r="E4997" s="5" t="s">
        <v>655</v>
      </c>
      <c r="F4997" s="9">
        <v>46</v>
      </c>
      <c r="G4997" s="9">
        <v>557</v>
      </c>
      <c r="H4997" s="5" t="s">
        <v>21</v>
      </c>
      <c r="I4997" s="5" t="s">
        <v>12253</v>
      </c>
      <c r="J4997" s="12" t="str">
        <f>HYPERLINK("https://www.boe.es/gazeta/dias/1802/06/08/pdfs/GMD-1802-46.pdf#page=9","Abrir facsímil")</f>
        <v>Abrir facsímil</v>
      </c>
      <c r="K4997" s="15" t="s">
        <v>23</v>
      </c>
    </row>
    <row r="4998" spans="1:11" ht="42" customHeight="1">
      <c r="A4998" s="4" t="s">
        <v>12254</v>
      </c>
      <c r="B4998" s="5" t="s">
        <v>12255</v>
      </c>
      <c r="C4998" s="5" t="s">
        <v>18</v>
      </c>
      <c r="D4998" s="5" t="s">
        <v>19</v>
      </c>
      <c r="E4998" s="5" t="s">
        <v>163</v>
      </c>
      <c r="F4998" s="9">
        <v>1</v>
      </c>
      <c r="G4998" s="9">
        <v>4</v>
      </c>
      <c r="H4998" s="5" t="s">
        <v>21</v>
      </c>
      <c r="I4998" s="5" t="s">
        <v>12256</v>
      </c>
      <c r="J4998" s="12" t="str">
        <f>HYPERLINK("https://www.boe.es/gazeta/dias/1802/01/01/pdfs/GMD-1802-1.pdf#page=4","Abrir facsímil")</f>
        <v>Abrir facsímil</v>
      </c>
      <c r="K4998" s="15" t="s">
        <v>23</v>
      </c>
    </row>
    <row r="4999" spans="1:11" ht="42" customHeight="1">
      <c r="A4999" s="4" t="s">
        <v>12254</v>
      </c>
      <c r="B4999" s="5" t="s">
        <v>12255</v>
      </c>
      <c r="C4999" s="5" t="s">
        <v>18</v>
      </c>
      <c r="D4999" s="5" t="s">
        <v>19</v>
      </c>
      <c r="E4999" s="5" t="s">
        <v>163</v>
      </c>
      <c r="F4999" s="9">
        <v>1</v>
      </c>
      <c r="G4999" s="9">
        <v>5</v>
      </c>
      <c r="H4999" s="5" t="s">
        <v>21</v>
      </c>
      <c r="I4999" s="5" t="s">
        <v>12257</v>
      </c>
      <c r="J4999" s="12" t="str">
        <f>HYPERLINK("https://www.boe.es/gazeta/dias/1802/01/01/pdfs/GMD-1802-1.pdf#page=5","Abrir facsímil")</f>
        <v>Abrir facsímil</v>
      </c>
      <c r="K4999" s="15" t="s">
        <v>23</v>
      </c>
    </row>
    <row r="5000" spans="1:11" ht="42" customHeight="1">
      <c r="A5000" s="4" t="s">
        <v>12254</v>
      </c>
      <c r="B5000" s="5" t="s">
        <v>12255</v>
      </c>
      <c r="C5000" s="5" t="s">
        <v>35</v>
      </c>
      <c r="D5000" s="5" t="s">
        <v>36</v>
      </c>
      <c r="E5000" s="5" t="s">
        <v>165</v>
      </c>
      <c r="F5000" s="9">
        <v>3</v>
      </c>
      <c r="G5000" s="9">
        <v>24</v>
      </c>
      <c r="H5000" s="5" t="s">
        <v>21</v>
      </c>
      <c r="I5000" s="5" t="s">
        <v>12258</v>
      </c>
      <c r="J5000" s="12" t="str">
        <f>HYPERLINK("https://www.boe.es/gazeta/dias/1802/01/08/pdfs/GMD-1802-3.pdf#page=4","Abrir facsímil")</f>
        <v>Abrir facsímil</v>
      </c>
      <c r="K5000" s="15" t="s">
        <v>23</v>
      </c>
    </row>
    <row r="5001" spans="1:11" ht="42" customHeight="1">
      <c r="A5001" s="4" t="s">
        <v>12254</v>
      </c>
      <c r="B5001" s="5" t="s">
        <v>12255</v>
      </c>
      <c r="C5001" s="5" t="s">
        <v>18</v>
      </c>
      <c r="D5001" s="5" t="s">
        <v>19</v>
      </c>
      <c r="E5001" s="5" t="s">
        <v>1097</v>
      </c>
      <c r="F5001" s="9">
        <v>20</v>
      </c>
      <c r="G5001" s="9">
        <v>218</v>
      </c>
      <c r="H5001" s="5" t="s">
        <v>21</v>
      </c>
      <c r="I5001" s="5" t="s">
        <v>12259</v>
      </c>
      <c r="J5001" s="12" t="str">
        <f>HYPERLINK("https://www.boe.es/gazeta/dias/1802/03/09/pdfs/GMD-1802-20.pdf#page=6","Abrir facsímil")</f>
        <v>Abrir facsímil</v>
      </c>
      <c r="K5001" s="15" t="s">
        <v>23</v>
      </c>
    </row>
    <row r="5002" spans="1:11" ht="42" customHeight="1">
      <c r="A5002" s="4" t="s">
        <v>12254</v>
      </c>
      <c r="B5002" s="5" t="s">
        <v>12255</v>
      </c>
      <c r="C5002" s="5" t="s">
        <v>55</v>
      </c>
      <c r="D5002" s="5" t="s">
        <v>56</v>
      </c>
      <c r="E5002" s="5" t="s">
        <v>206</v>
      </c>
      <c r="F5002" s="9">
        <v>22</v>
      </c>
      <c r="G5002" s="9">
        <v>239</v>
      </c>
      <c r="H5002" s="5" t="s">
        <v>21</v>
      </c>
      <c r="I5002" s="5" t="s">
        <v>12260</v>
      </c>
      <c r="J5002" s="12" t="str">
        <f>HYPERLINK("https://www.boe.es/gazeta/dias/1802/03/16/pdfs/GMD-1802-22.pdf#page=7","Abrir facsímil")</f>
        <v>Abrir facsímil</v>
      </c>
      <c r="K5002" s="15" t="s">
        <v>23</v>
      </c>
    </row>
    <row r="5003" spans="1:11" ht="42" customHeight="1">
      <c r="A5003" s="4" t="s">
        <v>12254</v>
      </c>
      <c r="B5003" s="5" t="s">
        <v>12255</v>
      </c>
      <c r="C5003" s="5" t="s">
        <v>35</v>
      </c>
      <c r="D5003" s="5" t="s">
        <v>36</v>
      </c>
      <c r="E5003" s="5" t="s">
        <v>1829</v>
      </c>
      <c r="F5003" s="9">
        <v>32</v>
      </c>
      <c r="G5003" s="9">
        <v>374</v>
      </c>
      <c r="H5003" s="5" t="s">
        <v>21</v>
      </c>
      <c r="I5003" s="5" t="s">
        <v>12261</v>
      </c>
      <c r="J5003" s="12" t="str">
        <f>HYPERLINK("https://www.boe.es/gazeta/dias/1802/04/20/pdfs/GMD-1802-32.pdf#page=6","Abrir facsímil")</f>
        <v>Abrir facsímil</v>
      </c>
      <c r="K5003" s="15" t="s">
        <v>23</v>
      </c>
    </row>
    <row r="5004" spans="1:11" ht="42" customHeight="1">
      <c r="A5004" s="4" t="s">
        <v>12254</v>
      </c>
      <c r="B5004" s="5" t="s">
        <v>12255</v>
      </c>
      <c r="C5004" s="5" t="s">
        <v>18</v>
      </c>
      <c r="D5004" s="5" t="s">
        <v>19</v>
      </c>
      <c r="E5004" s="5" t="s">
        <v>25</v>
      </c>
      <c r="F5004" s="9">
        <v>44</v>
      </c>
      <c r="G5004" s="9">
        <v>531</v>
      </c>
      <c r="H5004" s="5" t="s">
        <v>21</v>
      </c>
      <c r="I5004" s="5" t="s">
        <v>12262</v>
      </c>
      <c r="J5004" s="12" t="str">
        <f>HYPERLINK("https://www.boe.es/gazeta/dias/1802/06/01/pdfs/GMD-1802-44.pdf#page=7","Abrir facsímil")</f>
        <v>Abrir facsímil</v>
      </c>
      <c r="K5004" s="15" t="s">
        <v>23</v>
      </c>
    </row>
    <row r="5005" spans="1:11" ht="42" customHeight="1">
      <c r="A5005" s="4" t="s">
        <v>12263</v>
      </c>
      <c r="B5005" s="5" t="s">
        <v>12264</v>
      </c>
      <c r="C5005" s="5" t="s">
        <v>90</v>
      </c>
      <c r="D5005" s="5" t="s">
        <v>91</v>
      </c>
      <c r="E5005" s="5" t="s">
        <v>258</v>
      </c>
      <c r="F5005" s="9">
        <v>63</v>
      </c>
      <c r="G5005" s="9">
        <v>770</v>
      </c>
      <c r="H5005" s="5" t="s">
        <v>21</v>
      </c>
      <c r="I5005" s="5" t="s">
        <v>12265</v>
      </c>
      <c r="J5005" s="12" t="str">
        <f>HYPERLINK("https://www.boe.es/gazeta/dias/1802/08/03/pdfs/GMD-1802-63.pdf#page=10","Abrir facsímil")</f>
        <v>Abrir facsímil</v>
      </c>
      <c r="K5005" s="15" t="s">
        <v>23</v>
      </c>
    </row>
    <row r="5006" spans="1:11" ht="42" customHeight="1">
      <c r="A5006" s="4" t="s">
        <v>12266</v>
      </c>
      <c r="B5006" s="5" t="s">
        <v>12267</v>
      </c>
      <c r="C5006" s="5" t="s">
        <v>29</v>
      </c>
      <c r="D5006" s="5" t="s">
        <v>30</v>
      </c>
      <c r="E5006" s="5" t="s">
        <v>678</v>
      </c>
      <c r="F5006" s="9">
        <v>15</v>
      </c>
      <c r="G5006" s="9">
        <v>158</v>
      </c>
      <c r="H5006" s="5" t="s">
        <v>21</v>
      </c>
      <c r="I5006" s="5" t="s">
        <v>12268</v>
      </c>
      <c r="J5006" s="12" t="str">
        <f>HYPERLINK("https://www.boe.es/gazeta/dias/1802/02/19/pdfs/GMD-1802-15.pdf#page=10","Abrir facsímil")</f>
        <v>Abrir facsímil</v>
      </c>
      <c r="K5006" s="15" t="s">
        <v>23</v>
      </c>
    </row>
    <row r="5007" spans="1:11" ht="42" customHeight="1">
      <c r="A5007" s="4" t="s">
        <v>12269</v>
      </c>
      <c r="B5007" s="5" t="s">
        <v>12270</v>
      </c>
      <c r="C5007" s="5" t="s">
        <v>42</v>
      </c>
      <c r="D5007" s="5" t="s">
        <v>43</v>
      </c>
      <c r="E5007" s="5" t="s">
        <v>44</v>
      </c>
      <c r="F5007" s="9">
        <v>99</v>
      </c>
      <c r="G5007" s="9" t="s">
        <v>779</v>
      </c>
      <c r="H5007" s="5" t="s">
        <v>21</v>
      </c>
      <c r="I5007" s="5" t="s">
        <v>12271</v>
      </c>
      <c r="J5007" s="12" t="str">
        <f>HYPERLINK("https://www.boe.es/gazeta/dias/1802/12/07/pdfs/GMD-D-1802-99.pdf#page=13","Abrir facsímil")</f>
        <v>Abrir facsímil</v>
      </c>
      <c r="K5007" s="15" t="s">
        <v>23</v>
      </c>
    </row>
    <row r="5008" spans="1:11" ht="42" customHeight="1">
      <c r="A5008" s="4" t="s">
        <v>12272</v>
      </c>
      <c r="B5008" s="5" t="s">
        <v>12273</v>
      </c>
      <c r="C5008" s="5" t="s">
        <v>42</v>
      </c>
      <c r="D5008" s="5" t="s">
        <v>43</v>
      </c>
      <c r="E5008" s="5" t="s">
        <v>44</v>
      </c>
      <c r="F5008" s="9">
        <v>99</v>
      </c>
      <c r="G5008" s="9" t="s">
        <v>544</v>
      </c>
      <c r="H5008" s="5" t="s">
        <v>21</v>
      </c>
      <c r="I5008" s="5" t="s">
        <v>12274</v>
      </c>
      <c r="J5008" s="12" t="str">
        <f>HYPERLINK("https://www.boe.es/gazeta/dias/1802/12/07/pdfs/GMD-D-1802-99.pdf#page=11","Abrir facsímil")</f>
        <v>Abrir facsímil</v>
      </c>
      <c r="K5008" s="15" t="s">
        <v>23</v>
      </c>
    </row>
    <row r="5009" spans="1:11" ht="42" customHeight="1">
      <c r="A5009" s="4" t="s">
        <v>12275</v>
      </c>
      <c r="B5009" s="5" t="s">
        <v>12276</v>
      </c>
      <c r="C5009" s="5" t="s">
        <v>18</v>
      </c>
      <c r="D5009" s="5" t="s">
        <v>19</v>
      </c>
      <c r="E5009" s="5" t="s">
        <v>20</v>
      </c>
      <c r="F5009" s="9">
        <v>84</v>
      </c>
      <c r="G5009" s="9">
        <v>1040</v>
      </c>
      <c r="H5009" s="5" t="s">
        <v>21</v>
      </c>
      <c r="I5009" s="5" t="s">
        <v>12277</v>
      </c>
      <c r="J5009" s="12" t="str">
        <f>HYPERLINK("https://www.boe.es/gazeta/dias/1802/10/15/pdfs/GMD-1802-84.pdf#page=8","Abrir facsímil")</f>
        <v>Abrir facsímil</v>
      </c>
      <c r="K5009" s="15" t="s">
        <v>23</v>
      </c>
    </row>
    <row r="5010" spans="1:11" ht="42" customHeight="1">
      <c r="A5010" s="4" t="s">
        <v>12278</v>
      </c>
      <c r="B5010" s="5" t="s">
        <v>12279</v>
      </c>
      <c r="C5010" s="5" t="s">
        <v>18</v>
      </c>
      <c r="D5010" s="5" t="s">
        <v>19</v>
      </c>
      <c r="E5010" s="5" t="s">
        <v>49</v>
      </c>
      <c r="F5010" s="9">
        <v>83</v>
      </c>
      <c r="G5010" s="9">
        <v>1023</v>
      </c>
      <c r="H5010" s="5" t="s">
        <v>21</v>
      </c>
      <c r="I5010" s="5" t="s">
        <v>12280</v>
      </c>
      <c r="J5010" s="12" t="str">
        <f>HYPERLINK("https://www.boe.es/gazeta/dias/1802/10/12/pdfs/GMD-1802-83.pdf#page=11","Abrir facsímil")</f>
        <v>Abrir facsímil</v>
      </c>
      <c r="K5010" s="15" t="s">
        <v>23</v>
      </c>
    </row>
    <row r="5011" spans="1:11" ht="42" customHeight="1">
      <c r="A5011" s="4" t="s">
        <v>12281</v>
      </c>
      <c r="B5011" s="5" t="s">
        <v>12282</v>
      </c>
      <c r="C5011" s="5" t="s">
        <v>29</v>
      </c>
      <c r="D5011" s="5" t="s">
        <v>30</v>
      </c>
      <c r="E5011" s="5" t="s">
        <v>188</v>
      </c>
      <c r="F5011" s="9">
        <v>49</v>
      </c>
      <c r="G5011" s="9">
        <v>599</v>
      </c>
      <c r="H5011" s="5" t="s">
        <v>21</v>
      </c>
      <c r="I5011" s="5" t="s">
        <v>12283</v>
      </c>
      <c r="J5011" s="12" t="str">
        <f>HYPERLINK("https://www.boe.es/gazeta/dias/1802/06/18/pdfs/GMD-1802-49.pdf#page=11","Abrir facsímil")</f>
        <v>Abrir facsímil</v>
      </c>
      <c r="K5011" s="15" t="s">
        <v>23</v>
      </c>
    </row>
    <row r="5012" spans="1:11" ht="42" customHeight="1">
      <c r="A5012" s="4" t="s">
        <v>12284</v>
      </c>
      <c r="B5012" s="5" t="s">
        <v>12285</v>
      </c>
      <c r="C5012" s="5" t="s">
        <v>18</v>
      </c>
      <c r="D5012" s="5" t="s">
        <v>19</v>
      </c>
      <c r="E5012" s="5" t="s">
        <v>900</v>
      </c>
      <c r="F5012" s="9">
        <v>16</v>
      </c>
      <c r="G5012" s="9">
        <v>169</v>
      </c>
      <c r="H5012" s="5" t="s">
        <v>21</v>
      </c>
      <c r="I5012" s="5" t="s">
        <v>12286</v>
      </c>
      <c r="J5012" s="12" t="str">
        <f>HYPERLINK("https://www.boe.es/gazeta/dias/1802/02/23/pdfs/GMD-1802-16.pdf#page=9","Abrir facsímil")</f>
        <v>Abrir facsímil</v>
      </c>
      <c r="K5012" s="15" t="s">
        <v>23</v>
      </c>
    </row>
    <row r="5013" spans="1:11" ht="42" customHeight="1">
      <c r="A5013" s="4" t="s">
        <v>12287</v>
      </c>
      <c r="B5013" s="5" t="s">
        <v>12288</v>
      </c>
      <c r="C5013" s="5" t="s">
        <v>18</v>
      </c>
      <c r="D5013" s="5" t="s">
        <v>19</v>
      </c>
      <c r="E5013" s="5" t="s">
        <v>49</v>
      </c>
      <c r="F5013" s="9">
        <v>83</v>
      </c>
      <c r="G5013" s="9">
        <v>1024</v>
      </c>
      <c r="H5013" s="5" t="s">
        <v>21</v>
      </c>
      <c r="I5013" s="5" t="s">
        <v>12289</v>
      </c>
      <c r="J5013" s="12" t="str">
        <f>HYPERLINK("https://www.boe.es/gazeta/dias/1802/10/12/pdfs/GMD-1802-83.pdf#page=12","Abrir facsímil")</f>
        <v>Abrir facsímil</v>
      </c>
      <c r="K5013" s="15" t="s">
        <v>23</v>
      </c>
    </row>
    <row r="5014" spans="1:11" ht="42" customHeight="1">
      <c r="A5014" s="4" t="s">
        <v>12290</v>
      </c>
      <c r="B5014" s="5" t="s">
        <v>12291</v>
      </c>
      <c r="C5014" s="5" t="s">
        <v>42</v>
      </c>
      <c r="D5014" s="5" t="s">
        <v>43</v>
      </c>
      <c r="E5014" s="5" t="s">
        <v>44</v>
      </c>
      <c r="F5014" s="9">
        <v>99</v>
      </c>
      <c r="G5014" s="9" t="s">
        <v>550</v>
      </c>
      <c r="H5014" s="5" t="s">
        <v>21</v>
      </c>
      <c r="I5014" s="5" t="s">
        <v>12292</v>
      </c>
      <c r="J5014" s="12" t="str">
        <f>HYPERLINK("https://www.boe.es/gazeta/dias/1802/12/07/pdfs/GMD-D-1802-99.pdf#page=16","Abrir facsímil")</f>
        <v>Abrir facsímil</v>
      </c>
      <c r="K5014" s="15" t="s">
        <v>23</v>
      </c>
    </row>
    <row r="5015" spans="1:11" ht="42" customHeight="1">
      <c r="A5015" s="4" t="s">
        <v>12293</v>
      </c>
      <c r="B5015" s="5" t="s">
        <v>12294</v>
      </c>
      <c r="C5015" s="5" t="s">
        <v>18</v>
      </c>
      <c r="D5015" s="5" t="s">
        <v>19</v>
      </c>
      <c r="E5015" s="5" t="s">
        <v>219</v>
      </c>
      <c r="F5015" s="9">
        <v>81</v>
      </c>
      <c r="G5015" s="9">
        <v>998</v>
      </c>
      <c r="H5015" s="5" t="s">
        <v>21</v>
      </c>
      <c r="I5015" s="5" t="s">
        <v>12295</v>
      </c>
      <c r="J5015" s="12" t="str">
        <f>HYPERLINK("https://www.boe.es/gazeta/dias/1802/10/05/pdfs/GMD-1802-81.pdf#page=10","Abrir facsímil")</f>
        <v>Abrir facsímil</v>
      </c>
      <c r="K5015" s="15" t="s">
        <v>23</v>
      </c>
    </row>
    <row r="5016" spans="1:11" ht="42" customHeight="1">
      <c r="A5016" s="4" t="s">
        <v>12296</v>
      </c>
      <c r="B5016" s="5" t="s">
        <v>12297</v>
      </c>
      <c r="C5016" s="5" t="s">
        <v>29</v>
      </c>
      <c r="D5016" s="5" t="s">
        <v>30</v>
      </c>
      <c r="E5016" s="5" t="s">
        <v>764</v>
      </c>
      <c r="F5016" s="9">
        <v>69</v>
      </c>
      <c r="G5016" s="9">
        <v>850</v>
      </c>
      <c r="H5016" s="5" t="s">
        <v>21</v>
      </c>
      <c r="I5016" s="5" t="s">
        <v>12298</v>
      </c>
      <c r="J5016" s="12" t="str">
        <f>HYPERLINK("https://www.boe.es/gazeta/dias/1802/08/24/pdfs/GMD-1802-69.pdf#page=10","Abrir facsímil")</f>
        <v>Abrir facsímil</v>
      </c>
      <c r="K5016" s="15" t="s">
        <v>23</v>
      </c>
    </row>
    <row r="5017" spans="1:11" ht="42" customHeight="1">
      <c r="A5017" s="4" t="s">
        <v>12299</v>
      </c>
      <c r="B5017" s="5" t="s">
        <v>12300</v>
      </c>
      <c r="C5017" s="5" t="s">
        <v>18</v>
      </c>
      <c r="D5017" s="5" t="s">
        <v>19</v>
      </c>
      <c r="E5017" s="5" t="s">
        <v>49</v>
      </c>
      <c r="F5017" s="9">
        <v>83</v>
      </c>
      <c r="G5017" s="9">
        <v>1023</v>
      </c>
      <c r="H5017" s="5" t="s">
        <v>21</v>
      </c>
      <c r="I5017" s="5" t="s">
        <v>12301</v>
      </c>
      <c r="J5017" s="12" t="str">
        <f>HYPERLINK("https://www.boe.es/gazeta/dias/1802/10/12/pdfs/GMD-1802-83.pdf#page=11","Abrir facsímil")</f>
        <v>Abrir facsímil</v>
      </c>
      <c r="K5017" s="15" t="s">
        <v>23</v>
      </c>
    </row>
    <row r="5018" spans="1:11" ht="42" customHeight="1">
      <c r="A5018" s="4" t="s">
        <v>12302</v>
      </c>
      <c r="B5018" s="5" t="s">
        <v>12302</v>
      </c>
      <c r="C5018" s="5" t="s">
        <v>18</v>
      </c>
      <c r="D5018" s="5" t="s">
        <v>19</v>
      </c>
      <c r="E5018" s="5" t="s">
        <v>814</v>
      </c>
      <c r="F5018" s="9">
        <v>41</v>
      </c>
      <c r="G5018" s="9">
        <v>487</v>
      </c>
      <c r="H5018" s="5" t="s">
        <v>21</v>
      </c>
      <c r="I5018" s="5" t="s">
        <v>12303</v>
      </c>
      <c r="J5018" s="12" t="str">
        <f>HYPERLINK("https://www.boe.es/gazeta/dias/1802/05/21/pdfs/GMD-1802-41.pdf#page=3","Abrir facsímil")</f>
        <v>Abrir facsímil</v>
      </c>
      <c r="K5018" s="15" t="s">
        <v>23</v>
      </c>
    </row>
    <row r="5019" spans="1:11" ht="42" customHeight="1">
      <c r="A5019" s="4" t="s">
        <v>12304</v>
      </c>
      <c r="B5019" s="5" t="s">
        <v>12304</v>
      </c>
      <c r="C5019" s="5" t="s">
        <v>35</v>
      </c>
      <c r="D5019" s="5" t="s">
        <v>36</v>
      </c>
      <c r="E5019" s="5" t="s">
        <v>491</v>
      </c>
      <c r="F5019" s="9">
        <v>57</v>
      </c>
      <c r="G5019" s="9">
        <v>686</v>
      </c>
      <c r="H5019" s="5" t="s">
        <v>21</v>
      </c>
      <c r="I5019" s="5" t="s">
        <v>12305</v>
      </c>
      <c r="J5019" s="12" t="str">
        <f>HYPERLINK("https://www.boe.es/gazeta/dias/1802/07/16/pdfs/GMD-1802-57.pdf#page=6","Abrir facsímil")</f>
        <v>Abrir facsímil</v>
      </c>
      <c r="K5019" s="15" t="s">
        <v>23</v>
      </c>
    </row>
    <row r="5020" spans="1:11" ht="42" customHeight="1">
      <c r="A5020" s="4" t="s">
        <v>12304</v>
      </c>
      <c r="B5020" s="5" t="s">
        <v>12304</v>
      </c>
      <c r="C5020" s="5" t="s">
        <v>35</v>
      </c>
      <c r="D5020" s="5" t="s">
        <v>36</v>
      </c>
      <c r="E5020" s="5" t="s">
        <v>764</v>
      </c>
      <c r="F5020" s="9">
        <v>69</v>
      </c>
      <c r="G5020" s="9">
        <v>847</v>
      </c>
      <c r="H5020" s="5" t="s">
        <v>21</v>
      </c>
      <c r="I5020" s="5" t="s">
        <v>12306</v>
      </c>
      <c r="J5020" s="12" t="str">
        <f>HYPERLINK("https://www.boe.es/gazeta/dias/1802/08/24/pdfs/GMD-1802-69.pdf#page=7","Abrir facsímil")</f>
        <v>Abrir facsímil</v>
      </c>
      <c r="K5020" s="15" t="s">
        <v>23</v>
      </c>
    </row>
    <row r="5021" spans="1:11" ht="42" customHeight="1">
      <c r="A5021" s="4" t="s">
        <v>12304</v>
      </c>
      <c r="B5021" s="5" t="s">
        <v>12304</v>
      </c>
      <c r="C5021" s="5" t="s">
        <v>18</v>
      </c>
      <c r="D5021" s="5" t="s">
        <v>19</v>
      </c>
      <c r="E5021" s="5" t="s">
        <v>714</v>
      </c>
      <c r="F5021" s="9">
        <v>89</v>
      </c>
      <c r="G5021" s="9">
        <v>1104</v>
      </c>
      <c r="H5021" s="5" t="s">
        <v>21</v>
      </c>
      <c r="I5021" s="5" t="s">
        <v>12307</v>
      </c>
      <c r="J5021" s="12" t="str">
        <f>HYPERLINK("https://www.boe.es/gazeta/dias/1802/11/02/pdfs/GMD-1802-89.pdf#page=8","Abrir facsímil")</f>
        <v>Abrir facsímil</v>
      </c>
      <c r="K5021" s="15" t="s">
        <v>23</v>
      </c>
    </row>
    <row r="5022" spans="1:11" ht="42" customHeight="1">
      <c r="A5022" s="4" t="s">
        <v>12308</v>
      </c>
      <c r="B5022" s="5" t="s">
        <v>12309</v>
      </c>
      <c r="C5022" s="5" t="s">
        <v>29</v>
      </c>
      <c r="D5022" s="5" t="s">
        <v>30</v>
      </c>
      <c r="E5022" s="5" t="s">
        <v>1097</v>
      </c>
      <c r="F5022" s="9">
        <v>20</v>
      </c>
      <c r="G5022" s="9">
        <v>222</v>
      </c>
      <c r="H5022" s="5" t="s">
        <v>21</v>
      </c>
      <c r="I5022" s="5" t="s">
        <v>12310</v>
      </c>
      <c r="J5022" s="12" t="str">
        <f>HYPERLINK("https://www.boe.es/gazeta/dias/1802/03/09/pdfs/GMD-1802-20.pdf#page=10","Abrir facsímil")</f>
        <v>Abrir facsímil</v>
      </c>
      <c r="K5022" s="15" t="s">
        <v>23</v>
      </c>
    </row>
    <row r="5023" spans="1:11" ht="42" customHeight="1">
      <c r="A5023" s="4" t="s">
        <v>12311</v>
      </c>
      <c r="B5023" s="5" t="s">
        <v>12312</v>
      </c>
      <c r="C5023" s="5" t="s">
        <v>42</v>
      </c>
      <c r="D5023" s="5" t="s">
        <v>43</v>
      </c>
      <c r="E5023" s="5" t="s">
        <v>44</v>
      </c>
      <c r="F5023" s="9">
        <v>99</v>
      </c>
      <c r="G5023" s="9" t="s">
        <v>779</v>
      </c>
      <c r="H5023" s="5" t="s">
        <v>21</v>
      </c>
      <c r="I5023" s="5" t="s">
        <v>12313</v>
      </c>
      <c r="J5023" s="12" t="str">
        <f>HYPERLINK("https://www.boe.es/gazeta/dias/1802/12/07/pdfs/GMD-D-1802-99.pdf#page=13","Abrir facsímil")</f>
        <v>Abrir facsímil</v>
      </c>
      <c r="K5023" s="15" t="s">
        <v>23</v>
      </c>
    </row>
    <row r="5024" spans="1:11" ht="42" customHeight="1">
      <c r="A5024" s="4" t="s">
        <v>12314</v>
      </c>
      <c r="B5024" s="5" t="s">
        <v>12315</v>
      </c>
      <c r="C5024" s="5" t="s">
        <v>18</v>
      </c>
      <c r="D5024" s="5" t="s">
        <v>19</v>
      </c>
      <c r="E5024" s="5" t="s">
        <v>128</v>
      </c>
      <c r="F5024" s="9">
        <v>9</v>
      </c>
      <c r="G5024" s="9">
        <v>88</v>
      </c>
      <c r="H5024" s="5" t="s">
        <v>21</v>
      </c>
      <c r="I5024" s="5" t="s">
        <v>12316</v>
      </c>
      <c r="J5024" s="12" t="str">
        <f>HYPERLINK("https://www.boe.es/gazeta/dias/1802/01/29/pdfs/GMD-1802-9.pdf#page=8","Abrir facsímil")</f>
        <v>Abrir facsímil</v>
      </c>
      <c r="K5024" s="15" t="s">
        <v>23</v>
      </c>
    </row>
    <row r="5025" spans="1:11" ht="42" customHeight="1">
      <c r="A5025" s="4" t="s">
        <v>12317</v>
      </c>
      <c r="B5025" s="5" t="s">
        <v>12318</v>
      </c>
      <c r="C5025" s="5" t="s">
        <v>90</v>
      </c>
      <c r="D5025" s="5" t="s">
        <v>91</v>
      </c>
      <c r="E5025" s="5" t="s">
        <v>102</v>
      </c>
      <c r="F5025" s="9">
        <v>73</v>
      </c>
      <c r="G5025" s="9">
        <v>902</v>
      </c>
      <c r="H5025" s="5" t="s">
        <v>21</v>
      </c>
      <c r="I5025" s="5" t="s">
        <v>12319</v>
      </c>
      <c r="J5025" s="12" t="str">
        <f>HYPERLINK("https://www.boe.es/gazeta/dias/1802/09/07/pdfs/GMD-1802-73.pdf#page=10","Abrir facsímil")</f>
        <v>Abrir facsímil</v>
      </c>
      <c r="K5025" s="15" t="s">
        <v>23</v>
      </c>
    </row>
    <row r="5026" spans="1:11" ht="42" customHeight="1">
      <c r="A5026" s="4" t="s">
        <v>12320</v>
      </c>
      <c r="B5026" s="5" t="s">
        <v>12320</v>
      </c>
      <c r="C5026" s="5" t="s">
        <v>35</v>
      </c>
      <c r="D5026" s="5" t="s">
        <v>36</v>
      </c>
      <c r="E5026" s="5" t="s">
        <v>175</v>
      </c>
      <c r="F5026" s="9">
        <v>37</v>
      </c>
      <c r="G5026" s="9">
        <v>436</v>
      </c>
      <c r="H5026" s="5" t="s">
        <v>21</v>
      </c>
      <c r="I5026" s="5" t="s">
        <v>12321</v>
      </c>
      <c r="J5026" s="12" t="str">
        <f>HYPERLINK("https://www.boe.es/gazeta/dias/1802/05/07/pdfs/GMD-1802-37.pdf#page=4","Abrir facsímil")</f>
        <v>Abrir facsímil</v>
      </c>
      <c r="K5026" s="15" t="s">
        <v>23</v>
      </c>
    </row>
    <row r="5027" spans="1:11" ht="42" customHeight="1">
      <c r="A5027" s="4" t="s">
        <v>12322</v>
      </c>
      <c r="B5027" s="5" t="s">
        <v>12323</v>
      </c>
      <c r="C5027" s="5" t="s">
        <v>42</v>
      </c>
      <c r="D5027" s="5" t="s">
        <v>43</v>
      </c>
      <c r="E5027" s="5" t="s">
        <v>44</v>
      </c>
      <c r="F5027" s="9">
        <v>99</v>
      </c>
      <c r="G5027" s="9" t="s">
        <v>779</v>
      </c>
      <c r="H5027" s="5" t="s">
        <v>21</v>
      </c>
      <c r="I5027" s="5" t="s">
        <v>12324</v>
      </c>
      <c r="J5027" s="12" t="str">
        <f>HYPERLINK("https://www.boe.es/gazeta/dias/1802/12/07/pdfs/GMD-D-1802-99.pdf#page=13","Abrir facsímil")</f>
        <v>Abrir facsímil</v>
      </c>
      <c r="K5027" s="15" t="s">
        <v>23</v>
      </c>
    </row>
    <row r="5028" spans="1:11" ht="42" customHeight="1">
      <c r="A5028" s="4" t="s">
        <v>12325</v>
      </c>
      <c r="B5028" s="5" t="s">
        <v>12326</v>
      </c>
      <c r="C5028" s="5" t="s">
        <v>35</v>
      </c>
      <c r="D5028" s="5" t="s">
        <v>36</v>
      </c>
      <c r="E5028" s="5" t="s">
        <v>175</v>
      </c>
      <c r="F5028" s="9">
        <v>37</v>
      </c>
      <c r="G5028" s="9">
        <v>437</v>
      </c>
      <c r="H5028" s="5" t="s">
        <v>21</v>
      </c>
      <c r="I5028" s="5" t="s">
        <v>12327</v>
      </c>
      <c r="J5028" s="12" t="str">
        <f>HYPERLINK("https://www.boe.es/gazeta/dias/1802/05/07/pdfs/GMD-1802-37.pdf#page=5","Abrir facsímil")</f>
        <v>Abrir facsímil</v>
      </c>
      <c r="K5028" s="15" t="s">
        <v>23</v>
      </c>
    </row>
    <row r="5029" spans="1:11" ht="42" customHeight="1">
      <c r="A5029" s="4" t="s">
        <v>12328</v>
      </c>
      <c r="B5029" s="5" t="s">
        <v>12329</v>
      </c>
      <c r="C5029" s="5" t="s">
        <v>35</v>
      </c>
      <c r="D5029" s="5" t="s">
        <v>36</v>
      </c>
      <c r="E5029" s="5" t="s">
        <v>165</v>
      </c>
      <c r="F5029" s="9">
        <v>3</v>
      </c>
      <c r="G5029" s="9">
        <v>22</v>
      </c>
      <c r="H5029" s="5" t="s">
        <v>21</v>
      </c>
      <c r="I5029" s="5" t="s">
        <v>12330</v>
      </c>
      <c r="J5029" s="12" t="str">
        <f>HYPERLINK("https://www.boe.es/gazeta/dias/1802/01/08/pdfs/GMD-1802-3.pdf#page=2","Abrir facsímil")</f>
        <v>Abrir facsímil</v>
      </c>
      <c r="K5029" s="15" t="s">
        <v>23</v>
      </c>
    </row>
    <row r="5030" spans="1:11" ht="42" customHeight="1">
      <c r="A5030" s="4" t="s">
        <v>12331</v>
      </c>
      <c r="B5030" s="5" t="s">
        <v>12332</v>
      </c>
      <c r="C5030" s="5" t="s">
        <v>35</v>
      </c>
      <c r="D5030" s="5" t="s">
        <v>36</v>
      </c>
      <c r="E5030" s="5" t="s">
        <v>109</v>
      </c>
      <c r="F5030" s="9">
        <v>10</v>
      </c>
      <c r="G5030" s="9">
        <v>95</v>
      </c>
      <c r="H5030" s="5" t="s">
        <v>21</v>
      </c>
      <c r="I5030" s="5" t="s">
        <v>12333</v>
      </c>
      <c r="J5030" s="12" t="str">
        <f>HYPERLINK("https://www.boe.es/gazeta/dias/1802/02/02/pdfs/GMD-1802-10.pdf#page=3","Abrir facsímil")</f>
        <v>Abrir facsímil</v>
      </c>
      <c r="K5030" s="15" t="s">
        <v>23</v>
      </c>
    </row>
    <row r="5031" spans="1:11" ht="42" customHeight="1">
      <c r="A5031" s="4" t="s">
        <v>12334</v>
      </c>
      <c r="B5031" s="5" t="s">
        <v>12334</v>
      </c>
      <c r="C5031" s="5" t="s">
        <v>29</v>
      </c>
      <c r="D5031" s="5" t="s">
        <v>30</v>
      </c>
      <c r="E5031" s="5" t="s">
        <v>1749</v>
      </c>
      <c r="F5031" s="9">
        <v>60</v>
      </c>
      <c r="G5031" s="9">
        <v>727</v>
      </c>
      <c r="H5031" s="5" t="s">
        <v>21</v>
      </c>
      <c r="I5031" s="5" t="s">
        <v>12335</v>
      </c>
      <c r="J5031" s="12" t="str">
        <f>HYPERLINK("https://www.boe.es/gazeta/dias/1802/07/23/pdfs/GMD-1802-60.pdf#page=11","Abrir facsímil")</f>
        <v>Abrir facsímil</v>
      </c>
      <c r="K5031" s="15" t="s">
        <v>23</v>
      </c>
    </row>
    <row r="5032" spans="1:11" ht="42" customHeight="1">
      <c r="A5032" s="4" t="s">
        <v>12336</v>
      </c>
      <c r="B5032" s="5" t="s">
        <v>12337</v>
      </c>
      <c r="C5032" s="5" t="s">
        <v>35</v>
      </c>
      <c r="D5032" s="5" t="s">
        <v>36</v>
      </c>
      <c r="E5032" s="5" t="s">
        <v>886</v>
      </c>
      <c r="F5032" s="9">
        <v>7</v>
      </c>
      <c r="G5032" s="9">
        <v>63</v>
      </c>
      <c r="H5032" s="5" t="s">
        <v>21</v>
      </c>
      <c r="I5032" s="5" t="s">
        <v>12338</v>
      </c>
      <c r="J5032" s="12" t="str">
        <f>HYPERLINK("https://www.boe.es/gazeta/dias/1802/01/22/pdfs/GMD-1802-7.pdf#page=3","Abrir facsímil")</f>
        <v>Abrir facsímil</v>
      </c>
      <c r="K5032" s="15" t="s">
        <v>23</v>
      </c>
    </row>
    <row r="5033" spans="1:11" ht="42" customHeight="1">
      <c r="A5033" s="4" t="s">
        <v>12339</v>
      </c>
      <c r="B5033" s="5" t="s">
        <v>12340</v>
      </c>
      <c r="C5033" s="5" t="s">
        <v>35</v>
      </c>
      <c r="D5033" s="5" t="s">
        <v>36</v>
      </c>
      <c r="E5033" s="5" t="s">
        <v>128</v>
      </c>
      <c r="F5033" s="9">
        <v>9</v>
      </c>
      <c r="G5033" s="9">
        <v>83</v>
      </c>
      <c r="H5033" s="5" t="s">
        <v>21</v>
      </c>
      <c r="I5033" s="5" t="s">
        <v>12341</v>
      </c>
      <c r="J5033" s="12" t="str">
        <f>HYPERLINK("https://www.boe.es/gazeta/dias/1802/01/29/pdfs/GMD-1802-9.pdf#page=3","Abrir facsímil")</f>
        <v>Abrir facsímil</v>
      </c>
      <c r="K5033" s="15" t="s">
        <v>23</v>
      </c>
    </row>
    <row r="5034" spans="1:11" ht="42" customHeight="1">
      <c r="A5034" s="4" t="s">
        <v>12342</v>
      </c>
      <c r="B5034" s="5" t="s">
        <v>12342</v>
      </c>
      <c r="C5034" s="5" t="s">
        <v>29</v>
      </c>
      <c r="D5034" s="5" t="s">
        <v>30</v>
      </c>
      <c r="E5034" s="5" t="s">
        <v>60</v>
      </c>
      <c r="F5034" s="9">
        <v>5</v>
      </c>
      <c r="G5034" s="9">
        <v>47</v>
      </c>
      <c r="H5034" s="5" t="s">
        <v>21</v>
      </c>
      <c r="I5034" s="5" t="s">
        <v>12343</v>
      </c>
      <c r="J5034" s="12" t="str">
        <f>HYPERLINK("https://www.boe.es/gazeta/dias/1802/01/15/pdfs/GMD-1802-5.pdf#page=3","Abrir facsímil")</f>
        <v>Abrir facsímil</v>
      </c>
      <c r="K5034" s="15" t="s">
        <v>23</v>
      </c>
    </row>
    <row r="5035" spans="1:11" ht="42" customHeight="1">
      <c r="A5035" s="4" t="s">
        <v>12344</v>
      </c>
      <c r="B5035" s="5" t="s">
        <v>12345</v>
      </c>
      <c r="C5035" s="5" t="s">
        <v>29</v>
      </c>
      <c r="D5035" s="5" t="s">
        <v>30</v>
      </c>
      <c r="E5035" s="5" t="s">
        <v>530</v>
      </c>
      <c r="F5035" s="9">
        <v>48</v>
      </c>
      <c r="G5035" s="9">
        <v>586</v>
      </c>
      <c r="H5035" s="5" t="s">
        <v>21</v>
      </c>
      <c r="I5035" s="5" t="s">
        <v>12346</v>
      </c>
      <c r="J5035" s="12" t="str">
        <f>HYPERLINK("https://www.boe.es/gazeta/dias/1802/06/15/pdfs/GMD-1802-48.pdf#page=10","Abrir facsímil")</f>
        <v>Abrir facsímil</v>
      </c>
      <c r="K5035" s="15" t="s">
        <v>23</v>
      </c>
    </row>
    <row r="5036" spans="1:11" ht="42" customHeight="1">
      <c r="A5036" s="4" t="s">
        <v>12347</v>
      </c>
      <c r="B5036" s="5" t="s">
        <v>12348</v>
      </c>
      <c r="C5036" s="5" t="s">
        <v>18</v>
      </c>
      <c r="D5036" s="5" t="s">
        <v>19</v>
      </c>
      <c r="E5036" s="5" t="s">
        <v>49</v>
      </c>
      <c r="F5036" s="9">
        <v>83</v>
      </c>
      <c r="G5036" s="9">
        <v>1023</v>
      </c>
      <c r="H5036" s="5" t="s">
        <v>21</v>
      </c>
      <c r="I5036" s="5" t="s">
        <v>12349</v>
      </c>
      <c r="J5036" s="12" t="str">
        <f>HYPERLINK("https://www.boe.es/gazeta/dias/1802/10/12/pdfs/GMD-1802-83.pdf#page=11","Abrir facsímil")</f>
        <v>Abrir facsímil</v>
      </c>
      <c r="K5036" s="15" t="s">
        <v>23</v>
      </c>
    </row>
    <row r="5037" spans="1:11" ht="42" customHeight="1">
      <c r="A5037" s="4" t="s">
        <v>12350</v>
      </c>
      <c r="B5037" s="5" t="s">
        <v>12351</v>
      </c>
      <c r="C5037" s="5" t="s">
        <v>18</v>
      </c>
      <c r="D5037" s="5" t="s">
        <v>19</v>
      </c>
      <c r="E5037" s="5" t="s">
        <v>49</v>
      </c>
      <c r="F5037" s="9">
        <v>83</v>
      </c>
      <c r="G5037" s="9">
        <v>1026</v>
      </c>
      <c r="H5037" s="5" t="s">
        <v>21</v>
      </c>
      <c r="I5037" s="5" t="s">
        <v>12352</v>
      </c>
      <c r="J5037" s="12" t="str">
        <f>HYPERLINK("https://www.boe.es/gazeta/dias/1802/10/12/pdfs/GMD-1802-83.pdf#page=14","Abrir facsímil")</f>
        <v>Abrir facsímil</v>
      </c>
      <c r="K5037" s="15" t="s">
        <v>23</v>
      </c>
    </row>
    <row r="5038" spans="1:11" ht="42" customHeight="1">
      <c r="A5038" s="4" t="s">
        <v>12353</v>
      </c>
      <c r="B5038" s="5" t="s">
        <v>12354</v>
      </c>
      <c r="C5038" s="5" t="s">
        <v>29</v>
      </c>
      <c r="D5038" s="5" t="s">
        <v>30</v>
      </c>
      <c r="E5038" s="5" t="s">
        <v>25</v>
      </c>
      <c r="F5038" s="9">
        <v>44</v>
      </c>
      <c r="G5038" s="9">
        <v>533</v>
      </c>
      <c r="H5038" s="5" t="s">
        <v>21</v>
      </c>
      <c r="I5038" s="5" t="s">
        <v>12355</v>
      </c>
      <c r="J5038" s="12" t="str">
        <f>HYPERLINK("https://www.boe.es/gazeta/dias/1802/06/01/pdfs/GMD-1802-44.pdf#page=9","Abrir facsímil")</f>
        <v>Abrir facsímil</v>
      </c>
      <c r="K5038" s="15" t="s">
        <v>23</v>
      </c>
    </row>
    <row r="5039" spans="1:11" ht="42" customHeight="1">
      <c r="A5039" s="4" t="s">
        <v>12356</v>
      </c>
      <c r="B5039" s="5" t="s">
        <v>12357</v>
      </c>
      <c r="C5039" s="5" t="s">
        <v>29</v>
      </c>
      <c r="D5039" s="5" t="s">
        <v>30</v>
      </c>
      <c r="E5039" s="5" t="s">
        <v>670</v>
      </c>
      <c r="F5039" s="9">
        <v>40</v>
      </c>
      <c r="G5039" s="9">
        <v>481</v>
      </c>
      <c r="H5039" s="5" t="s">
        <v>21</v>
      </c>
      <c r="I5039" s="5" t="s">
        <v>12358</v>
      </c>
      <c r="J5039" s="12" t="str">
        <f>HYPERLINK("https://www.boe.es/gazeta/dias/1802/05/18/pdfs/GMD-1802-40.pdf#page=9","Abrir facsímil")</f>
        <v>Abrir facsímil</v>
      </c>
      <c r="K5039" s="15" t="s">
        <v>23</v>
      </c>
    </row>
    <row r="5040" spans="1:11" ht="42" customHeight="1">
      <c r="A5040" s="4" t="s">
        <v>12359</v>
      </c>
      <c r="B5040" s="5" t="s">
        <v>12359</v>
      </c>
      <c r="C5040" s="5" t="s">
        <v>29</v>
      </c>
      <c r="D5040" s="5" t="s">
        <v>30</v>
      </c>
      <c r="E5040" s="5" t="s">
        <v>1264</v>
      </c>
      <c r="F5040" s="9">
        <v>105</v>
      </c>
      <c r="G5040" s="9">
        <v>1283</v>
      </c>
      <c r="H5040" s="5" t="s">
        <v>21</v>
      </c>
      <c r="I5040" s="5" t="s">
        <v>12360</v>
      </c>
      <c r="J5040" s="12" t="str">
        <f>HYPERLINK("https://www.boe.es/gazeta/dias/1802/12/28/pdfs/GMD-1802-105.pdf#page=7","Abrir facsímil")</f>
        <v>Abrir facsímil</v>
      </c>
      <c r="K5040" s="15" t="s">
        <v>23</v>
      </c>
    </row>
    <row r="5041" spans="1:11" ht="42" customHeight="1">
      <c r="A5041" s="4" t="s">
        <v>12361</v>
      </c>
      <c r="B5041" s="5" t="s">
        <v>12362</v>
      </c>
      <c r="C5041" s="5" t="s">
        <v>35</v>
      </c>
      <c r="D5041" s="5" t="s">
        <v>36</v>
      </c>
      <c r="E5041" s="5" t="s">
        <v>185</v>
      </c>
      <c r="F5041" s="9">
        <v>95</v>
      </c>
      <c r="G5041" s="9">
        <v>1169</v>
      </c>
      <c r="H5041" s="5" t="s">
        <v>21</v>
      </c>
      <c r="I5041" s="5" t="s">
        <v>12363</v>
      </c>
      <c r="J5041" s="12" t="str">
        <f>HYPERLINK("https://www.boe.es/gazeta/dias/1802/11/23/pdfs/GMD-1802-95.pdf#page=5","Abrir facsímil")</f>
        <v>Abrir facsímil</v>
      </c>
      <c r="K5041" s="15" t="s">
        <v>23</v>
      </c>
    </row>
    <row r="5042" spans="1:11" ht="42" customHeight="1">
      <c r="A5042" s="4" t="s">
        <v>12364</v>
      </c>
      <c r="B5042" s="5" t="s">
        <v>12365</v>
      </c>
      <c r="C5042" s="5" t="s">
        <v>29</v>
      </c>
      <c r="D5042" s="5" t="s">
        <v>30</v>
      </c>
      <c r="E5042" s="5" t="s">
        <v>299</v>
      </c>
      <c r="F5042" s="9">
        <v>19</v>
      </c>
      <c r="G5042" s="9">
        <v>205</v>
      </c>
      <c r="H5042" s="5" t="s">
        <v>21</v>
      </c>
      <c r="I5042" s="5" t="s">
        <v>12366</v>
      </c>
      <c r="J5042" s="12" t="str">
        <f>HYPERLINK("https://www.boe.es/gazeta/dias/1802/03/05/pdfs/GMD-1802-19.pdf#page=5","Abrir facsímil")</f>
        <v>Abrir facsímil</v>
      </c>
      <c r="K5042" s="15" t="s">
        <v>23</v>
      </c>
    </row>
    <row r="5043" spans="1:11" ht="42" customHeight="1">
      <c r="A5043" s="4" t="s">
        <v>12367</v>
      </c>
      <c r="B5043" s="5" t="s">
        <v>12367</v>
      </c>
      <c r="C5043" s="5" t="s">
        <v>90</v>
      </c>
      <c r="D5043" s="5" t="s">
        <v>91</v>
      </c>
      <c r="E5043" s="5" t="s">
        <v>152</v>
      </c>
      <c r="F5043" s="9">
        <v>25</v>
      </c>
      <c r="G5043" s="9">
        <v>279</v>
      </c>
      <c r="H5043" s="5" t="s">
        <v>21</v>
      </c>
      <c r="I5043" s="5" t="s">
        <v>12368</v>
      </c>
      <c r="J5043" s="12" t="str">
        <f>HYPERLINK("https://www.boe.es/gazeta/dias/1802/03/26/pdfs/GMD-1802-25.pdf#page=3","Abrir facsímil")</f>
        <v>Abrir facsímil</v>
      </c>
      <c r="K5043" s="15" t="s">
        <v>23</v>
      </c>
    </row>
    <row r="5044" spans="1:11" ht="42" customHeight="1">
      <c r="A5044" s="4" t="s">
        <v>12369</v>
      </c>
      <c r="B5044" s="5" t="s">
        <v>12370</v>
      </c>
      <c r="C5044" s="5" t="s">
        <v>35</v>
      </c>
      <c r="D5044" s="5" t="s">
        <v>36</v>
      </c>
      <c r="E5044" s="5" t="s">
        <v>99</v>
      </c>
      <c r="F5044" s="9">
        <v>86</v>
      </c>
      <c r="G5044" s="9">
        <v>1065</v>
      </c>
      <c r="H5044" s="5" t="s">
        <v>21</v>
      </c>
      <c r="I5044" s="5" t="s">
        <v>12371</v>
      </c>
      <c r="J5044" s="12" t="str">
        <f>HYPERLINK("https://www.boe.es/gazeta/dias/1802/10/22/pdfs/GMD-1802-86.pdf#page=5","Abrir facsímil")</f>
        <v>Abrir facsímil</v>
      </c>
      <c r="K5044" s="15" t="s">
        <v>23</v>
      </c>
    </row>
    <row r="5045" spans="1:11" ht="42" customHeight="1">
      <c r="A5045" s="4" t="s">
        <v>12372</v>
      </c>
      <c r="B5045" s="5" t="s">
        <v>12372</v>
      </c>
      <c r="C5045" s="5" t="s">
        <v>29</v>
      </c>
      <c r="D5045" s="5" t="s">
        <v>30</v>
      </c>
      <c r="E5045" s="5" t="s">
        <v>1588</v>
      </c>
      <c r="F5045" s="9">
        <v>18</v>
      </c>
      <c r="G5045" s="9">
        <v>194</v>
      </c>
      <c r="H5045" s="5" t="s">
        <v>21</v>
      </c>
      <c r="I5045" s="5" t="s">
        <v>12373</v>
      </c>
      <c r="J5045" s="12" t="str">
        <f>HYPERLINK("https://www.boe.es/gazeta/dias/1802/03/02/pdfs/GMD-1802-18.pdf#page=6","Abrir facsímil")</f>
        <v>Abrir facsímil</v>
      </c>
      <c r="K5045" s="15" t="s">
        <v>23</v>
      </c>
    </row>
    <row r="5046" spans="1:11" ht="42" customHeight="1">
      <c r="A5046" s="4" t="s">
        <v>12374</v>
      </c>
      <c r="B5046" s="5" t="s">
        <v>12375</v>
      </c>
      <c r="C5046" s="5" t="s">
        <v>18</v>
      </c>
      <c r="D5046" s="5" t="s">
        <v>19</v>
      </c>
      <c r="E5046" s="5" t="s">
        <v>49</v>
      </c>
      <c r="F5046" s="9">
        <v>83</v>
      </c>
      <c r="G5046" s="9">
        <v>1023</v>
      </c>
      <c r="H5046" s="5" t="s">
        <v>21</v>
      </c>
      <c r="I5046" s="5" t="s">
        <v>12376</v>
      </c>
      <c r="J5046" s="12" t="str">
        <f>HYPERLINK("https://www.boe.es/gazeta/dias/1802/10/12/pdfs/GMD-1802-83.pdf#page=11","Abrir facsímil")</f>
        <v>Abrir facsímil</v>
      </c>
      <c r="K5046" s="15" t="s">
        <v>23</v>
      </c>
    </row>
    <row r="5047" spans="1:11" ht="42" customHeight="1">
      <c r="A5047" s="4" t="s">
        <v>12377</v>
      </c>
      <c r="B5047" s="5" t="s">
        <v>12377</v>
      </c>
      <c r="C5047" s="5" t="s">
        <v>35</v>
      </c>
      <c r="D5047" s="5" t="s">
        <v>36</v>
      </c>
      <c r="E5047" s="5" t="s">
        <v>865</v>
      </c>
      <c r="F5047" s="9">
        <v>12</v>
      </c>
      <c r="G5047" s="9">
        <v>123</v>
      </c>
      <c r="H5047" s="5" t="s">
        <v>21</v>
      </c>
      <c r="I5047" s="5" t="s">
        <v>12378</v>
      </c>
      <c r="J5047" s="12" t="str">
        <f>HYPERLINK("https://www.boe.es/gazeta/dias/1802/02/09/pdfs/GMD-1802-12.pdf#page=7","Abrir facsímil")</f>
        <v>Abrir facsímil</v>
      </c>
      <c r="K5047" s="15" t="s">
        <v>23</v>
      </c>
    </row>
    <row r="5048" spans="1:11" ht="42" customHeight="1">
      <c r="A5048" s="4" t="s">
        <v>12379</v>
      </c>
      <c r="B5048" s="5" t="s">
        <v>12380</v>
      </c>
      <c r="C5048" s="5" t="s">
        <v>55</v>
      </c>
      <c r="D5048" s="5" t="s">
        <v>56</v>
      </c>
      <c r="E5048" s="5" t="s">
        <v>328</v>
      </c>
      <c r="F5048" s="9">
        <v>45</v>
      </c>
      <c r="G5048" s="9">
        <v>546</v>
      </c>
      <c r="H5048" s="5" t="s">
        <v>21</v>
      </c>
      <c r="I5048" s="5" t="s">
        <v>12381</v>
      </c>
      <c r="J5048" s="12" t="str">
        <f>HYPERLINK("https://www.boe.es/gazeta/dias/1802/06/04/pdfs/GMD-1802-45.pdf#page=10","Abrir facsímil")</f>
        <v>Abrir facsímil</v>
      </c>
      <c r="K5048" s="15" t="s">
        <v>23</v>
      </c>
    </row>
    <row r="5049" spans="1:11" ht="42" customHeight="1">
      <c r="A5049" s="4" t="s">
        <v>12382</v>
      </c>
      <c r="B5049" s="5" t="s">
        <v>12383</v>
      </c>
      <c r="C5049" s="5" t="s">
        <v>29</v>
      </c>
      <c r="D5049" s="5" t="s">
        <v>30</v>
      </c>
      <c r="E5049" s="5" t="s">
        <v>20</v>
      </c>
      <c r="F5049" s="9">
        <v>84</v>
      </c>
      <c r="G5049" s="9">
        <v>1042</v>
      </c>
      <c r="H5049" s="5" t="s">
        <v>21</v>
      </c>
      <c r="I5049" s="5" t="s">
        <v>12384</v>
      </c>
      <c r="J5049" s="12" t="str">
        <f>HYPERLINK("https://www.boe.es/gazeta/dias/1802/10/15/pdfs/GMD-1802-84.pdf#page=10","Abrir facsímil")</f>
        <v>Abrir facsímil</v>
      </c>
      <c r="K5049" s="15" t="s">
        <v>23</v>
      </c>
    </row>
    <row r="5050" spans="1:11" ht="42" customHeight="1">
      <c r="A5050" s="4" t="s">
        <v>12385</v>
      </c>
      <c r="B5050" s="5" t="s">
        <v>12386</v>
      </c>
      <c r="C5050" s="5" t="s">
        <v>90</v>
      </c>
      <c r="D5050" s="5" t="s">
        <v>91</v>
      </c>
      <c r="E5050" s="5" t="s">
        <v>44</v>
      </c>
      <c r="F5050" s="9">
        <v>99</v>
      </c>
      <c r="G5050" s="9">
        <v>1217</v>
      </c>
      <c r="H5050" s="5" t="s">
        <v>21</v>
      </c>
      <c r="I5050" s="5" t="s">
        <v>12387</v>
      </c>
      <c r="J5050" s="12" t="str">
        <f>HYPERLINK("https://www.boe.es/gazeta/dias/1802/12/07/pdfs/GMD-1802-99.pdf#page=1","Abrir facsímil")</f>
        <v>Abrir facsímil</v>
      </c>
      <c r="K5050" s="15" t="s">
        <v>23</v>
      </c>
    </row>
    <row r="5051" spans="1:11" ht="42" customHeight="1">
      <c r="A5051" s="4" t="s">
        <v>12388</v>
      </c>
      <c r="B5051" s="5" t="s">
        <v>12388</v>
      </c>
      <c r="C5051" s="5" t="s">
        <v>160</v>
      </c>
      <c r="D5051" s="5" t="s">
        <v>91</v>
      </c>
      <c r="E5051" s="5" t="s">
        <v>1097</v>
      </c>
      <c r="F5051" s="9">
        <v>20</v>
      </c>
      <c r="G5051" s="9">
        <v>222</v>
      </c>
      <c r="H5051" s="5" t="s">
        <v>21</v>
      </c>
      <c r="I5051" s="5" t="s">
        <v>12389</v>
      </c>
      <c r="J5051" s="12" t="str">
        <f>HYPERLINK("https://www.boe.es/gazeta/dias/1802/03/09/pdfs/GMD-1802-20.pdf#page=10","Abrir facsímil")</f>
        <v>Abrir facsímil</v>
      </c>
      <c r="K5051" s="15" t="s">
        <v>23</v>
      </c>
    </row>
    <row r="5052" spans="1:11" ht="42" customHeight="1">
      <c r="A5052" s="4" t="s">
        <v>12390</v>
      </c>
      <c r="B5052" s="5" t="s">
        <v>12390</v>
      </c>
      <c r="C5052" s="5" t="s">
        <v>90</v>
      </c>
      <c r="D5052" s="5" t="s">
        <v>91</v>
      </c>
      <c r="E5052" s="5" t="s">
        <v>745</v>
      </c>
      <c r="F5052" s="9">
        <v>92</v>
      </c>
      <c r="G5052" s="9">
        <v>1139</v>
      </c>
      <c r="H5052" s="5" t="s">
        <v>21</v>
      </c>
      <c r="I5052" s="5" t="s">
        <v>12391</v>
      </c>
      <c r="J5052" s="12" t="str">
        <f>HYPERLINK("https://www.boe.es/gazeta/dias/1802/11/12/pdfs/GMD-1802-92.pdf#page=7","Abrir facsímil")</f>
        <v>Abrir facsímil</v>
      </c>
      <c r="K5052" s="15" t="s">
        <v>23</v>
      </c>
    </row>
    <row r="5053" spans="1:11" ht="42" customHeight="1">
      <c r="A5053" s="4" t="s">
        <v>12392</v>
      </c>
      <c r="B5053" s="5" t="s">
        <v>12392</v>
      </c>
      <c r="C5053" s="5" t="s">
        <v>18</v>
      </c>
      <c r="D5053" s="5" t="s">
        <v>19</v>
      </c>
      <c r="E5053" s="5" t="s">
        <v>20</v>
      </c>
      <c r="F5053" s="9">
        <v>84</v>
      </c>
      <c r="G5053" s="9">
        <v>1045</v>
      </c>
      <c r="H5053" s="5" t="s">
        <v>21</v>
      </c>
      <c r="I5053" s="5" t="s">
        <v>12393</v>
      </c>
      <c r="J5053" s="12" t="str">
        <f>HYPERLINK("https://www.boe.es/gazeta/dias/1802/10/15/pdfs/GMD-1802-84.pdf#page=13","Abrir facsímil")</f>
        <v>Abrir facsímil</v>
      </c>
      <c r="K5053" s="15" t="s">
        <v>23</v>
      </c>
    </row>
    <row r="5054" spans="1:11" ht="42" customHeight="1">
      <c r="A5054" s="4" t="s">
        <v>12394</v>
      </c>
      <c r="B5054" s="5" t="s">
        <v>12394</v>
      </c>
      <c r="C5054" s="5" t="s">
        <v>18</v>
      </c>
      <c r="D5054" s="5" t="s">
        <v>19</v>
      </c>
      <c r="E5054" s="5" t="s">
        <v>439</v>
      </c>
      <c r="F5054" s="9">
        <v>76</v>
      </c>
      <c r="G5054" s="9">
        <v>939</v>
      </c>
      <c r="H5054" s="5" t="s">
        <v>21</v>
      </c>
      <c r="I5054" s="5" t="s">
        <v>12395</v>
      </c>
      <c r="J5054" s="12" t="str">
        <f>HYPERLINK("https://www.boe.es/gazeta/dias/1802/09/17/pdfs/GMD-1802-76.pdf#page=11","Abrir facsímil")</f>
        <v>Abrir facsímil</v>
      </c>
      <c r="K5054" s="15" t="s">
        <v>23</v>
      </c>
    </row>
    <row r="5055" spans="1:11" ht="42" customHeight="1">
      <c r="A5055" s="4" t="s">
        <v>12396</v>
      </c>
      <c r="B5055" s="5" t="s">
        <v>12396</v>
      </c>
      <c r="C5055" s="5" t="s">
        <v>29</v>
      </c>
      <c r="D5055" s="5" t="s">
        <v>30</v>
      </c>
      <c r="E5055" s="5" t="s">
        <v>109</v>
      </c>
      <c r="F5055" s="9">
        <v>10</v>
      </c>
      <c r="G5055" s="9">
        <v>98</v>
      </c>
      <c r="H5055" s="5" t="s">
        <v>21</v>
      </c>
      <c r="I5055" s="5" t="s">
        <v>12397</v>
      </c>
      <c r="J5055" s="12" t="str">
        <f>HYPERLINK("https://www.boe.es/gazeta/dias/1802/02/02/pdfs/GMD-1802-10.pdf#page=6","Abrir facsímil")</f>
        <v>Abrir facsímil</v>
      </c>
      <c r="K5055" s="15" t="s">
        <v>23</v>
      </c>
    </row>
    <row r="5056" spans="1:11" ht="42" customHeight="1">
      <c r="A5056" s="4" t="s">
        <v>12398</v>
      </c>
      <c r="B5056" s="5" t="s">
        <v>12398</v>
      </c>
      <c r="C5056" s="5" t="s">
        <v>18</v>
      </c>
      <c r="D5056" s="5" t="s">
        <v>19</v>
      </c>
      <c r="E5056" s="5" t="s">
        <v>20</v>
      </c>
      <c r="F5056" s="9">
        <v>84</v>
      </c>
      <c r="G5056" s="9">
        <v>1043</v>
      </c>
      <c r="H5056" s="5" t="s">
        <v>21</v>
      </c>
      <c r="I5056" s="5" t="s">
        <v>12399</v>
      </c>
      <c r="J5056" s="12" t="str">
        <f>HYPERLINK("https://www.boe.es/gazeta/dias/1802/10/15/pdfs/GMD-1802-84.pdf#page=11","Abrir facsímil")</f>
        <v>Abrir facsímil</v>
      </c>
      <c r="K5056" s="15" t="s">
        <v>23</v>
      </c>
    </row>
    <row r="5057" spans="1:11" ht="42" customHeight="1">
      <c r="A5057" s="4" t="s">
        <v>12400</v>
      </c>
      <c r="B5057" s="5" t="s">
        <v>12401</v>
      </c>
      <c r="C5057" s="5" t="s">
        <v>42</v>
      </c>
      <c r="D5057" s="5" t="s">
        <v>43</v>
      </c>
      <c r="E5057" s="5" t="s">
        <v>44</v>
      </c>
      <c r="F5057" s="9">
        <v>99</v>
      </c>
      <c r="G5057" s="9" t="s">
        <v>78</v>
      </c>
      <c r="H5057" s="5" t="s">
        <v>21</v>
      </c>
      <c r="I5057" s="5" t="s">
        <v>12402</v>
      </c>
      <c r="J5057" s="12" t="str">
        <f>HYPERLINK("https://www.boe.es/gazeta/dias/1802/12/07/pdfs/GMD-D-1802-99.pdf#page=15","Abrir facsímil")</f>
        <v>Abrir facsímil</v>
      </c>
      <c r="K5057" s="15" t="s">
        <v>23</v>
      </c>
    </row>
    <row r="5058" spans="1:11" ht="42" customHeight="1">
      <c r="A5058" s="4" t="s">
        <v>12403</v>
      </c>
      <c r="B5058" s="5" t="s">
        <v>12403</v>
      </c>
      <c r="C5058" s="5" t="s">
        <v>90</v>
      </c>
      <c r="D5058" s="5" t="s">
        <v>91</v>
      </c>
      <c r="E5058" s="5" t="s">
        <v>611</v>
      </c>
      <c r="F5058" s="9">
        <v>68</v>
      </c>
      <c r="G5058" s="9">
        <v>835</v>
      </c>
      <c r="H5058" s="5" t="s">
        <v>21</v>
      </c>
      <c r="I5058" s="5" t="s">
        <v>12404</v>
      </c>
      <c r="J5058" s="12" t="str">
        <f>HYPERLINK("https://www.boe.es/gazeta/dias/1802/08/20/pdfs/GMD-1802-68.pdf#page=11","Abrir facsímil")</f>
        <v>Abrir facsímil</v>
      </c>
      <c r="K5058" s="15" t="s">
        <v>23</v>
      </c>
    </row>
    <row r="5059" spans="1:11" ht="42" customHeight="1">
      <c r="A5059" s="4" t="s">
        <v>12405</v>
      </c>
      <c r="B5059" s="5" t="s">
        <v>12405</v>
      </c>
      <c r="C5059" s="5" t="s">
        <v>29</v>
      </c>
      <c r="D5059" s="5" t="s">
        <v>30</v>
      </c>
      <c r="E5059" s="5" t="s">
        <v>258</v>
      </c>
      <c r="F5059" s="9">
        <v>63</v>
      </c>
      <c r="G5059" s="9">
        <v>770</v>
      </c>
      <c r="H5059" s="5" t="s">
        <v>21</v>
      </c>
      <c r="I5059" s="5" t="s">
        <v>12406</v>
      </c>
      <c r="J5059" s="12" t="str">
        <f>HYPERLINK("https://www.boe.es/gazeta/dias/1802/08/03/pdfs/GMD-1802-63.pdf#page=10","Abrir facsímil")</f>
        <v>Abrir facsímil</v>
      </c>
      <c r="K5059" s="15" t="s">
        <v>23</v>
      </c>
    </row>
    <row r="5060" spans="1:11" ht="42" customHeight="1">
      <c r="A5060" s="4" t="s">
        <v>12407</v>
      </c>
      <c r="B5060" s="5" t="s">
        <v>12408</v>
      </c>
      <c r="C5060" s="5" t="s">
        <v>42</v>
      </c>
      <c r="D5060" s="5" t="s">
        <v>43</v>
      </c>
      <c r="E5060" s="5" t="s">
        <v>44</v>
      </c>
      <c r="F5060" s="9">
        <v>99</v>
      </c>
      <c r="G5060" s="9" t="s">
        <v>558</v>
      </c>
      <c r="H5060" s="5" t="s">
        <v>21</v>
      </c>
      <c r="I5060" s="5" t="s">
        <v>12409</v>
      </c>
      <c r="J5060" s="12" t="str">
        <f>HYPERLINK("https://www.boe.es/gazeta/dias/1802/12/07/pdfs/GMD-D-1802-99.pdf#page=1","Abrir facsímil")</f>
        <v>Abrir facsímil</v>
      </c>
      <c r="K5060" s="15" t="s">
        <v>23</v>
      </c>
    </row>
    <row r="5061" spans="1:11" ht="42" customHeight="1">
      <c r="A5061" s="4" t="s">
        <v>12410</v>
      </c>
      <c r="B5061" s="5" t="s">
        <v>12411</v>
      </c>
      <c r="C5061" s="5" t="s">
        <v>18</v>
      </c>
      <c r="D5061" s="5" t="s">
        <v>19</v>
      </c>
      <c r="E5061" s="5" t="s">
        <v>49</v>
      </c>
      <c r="F5061" s="9">
        <v>83</v>
      </c>
      <c r="G5061" s="9">
        <v>1024</v>
      </c>
      <c r="H5061" s="5" t="s">
        <v>21</v>
      </c>
      <c r="I5061" s="5" t="s">
        <v>12412</v>
      </c>
      <c r="J5061" s="12" t="str">
        <f>HYPERLINK("https://www.boe.es/gazeta/dias/1802/10/12/pdfs/GMD-1802-83.pdf#page=12","Abrir facsímil")</f>
        <v>Abrir facsímil</v>
      </c>
      <c r="K5061" s="15" t="s">
        <v>23</v>
      </c>
    </row>
    <row r="5062" spans="1:11" ht="42" customHeight="1">
      <c r="A5062" s="4" t="s">
        <v>12413</v>
      </c>
      <c r="B5062" s="5" t="s">
        <v>12414</v>
      </c>
      <c r="C5062" s="5" t="s">
        <v>18</v>
      </c>
      <c r="D5062" s="5" t="s">
        <v>19</v>
      </c>
      <c r="E5062" s="5" t="s">
        <v>49</v>
      </c>
      <c r="F5062" s="9">
        <v>83</v>
      </c>
      <c r="G5062" s="9">
        <v>1026</v>
      </c>
      <c r="H5062" s="5" t="s">
        <v>21</v>
      </c>
      <c r="I5062" s="5" t="s">
        <v>12415</v>
      </c>
      <c r="J5062" s="12" t="str">
        <f>HYPERLINK("https://www.boe.es/gazeta/dias/1802/10/12/pdfs/GMD-1802-83.pdf#page=14","Abrir facsímil")</f>
        <v>Abrir facsímil</v>
      </c>
      <c r="K5062" s="15" t="s">
        <v>23</v>
      </c>
    </row>
    <row r="5063" spans="1:11" ht="42" customHeight="1">
      <c r="A5063" s="4" t="s">
        <v>12416</v>
      </c>
      <c r="B5063" s="5" t="s">
        <v>12416</v>
      </c>
      <c r="C5063" s="5" t="s">
        <v>35</v>
      </c>
      <c r="D5063" s="5" t="s">
        <v>36</v>
      </c>
      <c r="E5063" s="5" t="s">
        <v>31</v>
      </c>
      <c r="F5063" s="9">
        <v>27</v>
      </c>
      <c r="G5063" s="9">
        <v>309</v>
      </c>
      <c r="H5063" s="5" t="s">
        <v>21</v>
      </c>
      <c r="I5063" s="5" t="s">
        <v>12417</v>
      </c>
      <c r="J5063" s="12" t="str">
        <f>HYPERLINK("https://www.boe.es/gazeta/dias/1802/04/02/pdfs/GMD-1802-27.pdf#page=5","Abrir facsímil")</f>
        <v>Abrir facsímil</v>
      </c>
      <c r="K5063" s="15" t="s">
        <v>23</v>
      </c>
    </row>
    <row r="5064" spans="1:11" ht="42" customHeight="1">
      <c r="A5064" s="4" t="s">
        <v>12418</v>
      </c>
      <c r="B5064" s="5" t="s">
        <v>12419</v>
      </c>
      <c r="C5064" s="5" t="s">
        <v>90</v>
      </c>
      <c r="D5064" s="5" t="s">
        <v>91</v>
      </c>
      <c r="E5064" s="5" t="s">
        <v>678</v>
      </c>
      <c r="F5064" s="9">
        <v>15</v>
      </c>
      <c r="G5064" s="9">
        <v>157</v>
      </c>
      <c r="H5064" s="5" t="s">
        <v>21</v>
      </c>
      <c r="I5064" s="5" t="s">
        <v>12420</v>
      </c>
      <c r="J5064" s="12" t="str">
        <f>HYPERLINK("https://www.boe.es/gazeta/dias/1802/02/19/pdfs/GMD-1802-15.pdf#page=9","Abrir facsímil")</f>
        <v>Abrir facsímil</v>
      </c>
      <c r="K5064" s="15" t="s">
        <v>23</v>
      </c>
    </row>
    <row r="5065" spans="1:11" ht="42" customHeight="1">
      <c r="A5065" s="4" t="s">
        <v>12421</v>
      </c>
      <c r="B5065" s="5" t="s">
        <v>12422</v>
      </c>
      <c r="C5065" s="5" t="s">
        <v>35</v>
      </c>
      <c r="D5065" s="5" t="s">
        <v>36</v>
      </c>
      <c r="E5065" s="5" t="s">
        <v>590</v>
      </c>
      <c r="F5065" s="9">
        <v>38</v>
      </c>
      <c r="G5065" s="9">
        <v>453</v>
      </c>
      <c r="H5065" s="5" t="s">
        <v>21</v>
      </c>
      <c r="I5065" s="5" t="s">
        <v>12423</v>
      </c>
      <c r="J5065" s="12" t="str">
        <f>HYPERLINK("https://www.boe.es/gazeta/dias/1802/05/11/pdfs/GMD-1802-38.pdf#page=9","Abrir facsímil")</f>
        <v>Abrir facsímil</v>
      </c>
      <c r="K5065" s="15" t="s">
        <v>23</v>
      </c>
    </row>
    <row r="5066" spans="1:11" ht="42" customHeight="1">
      <c r="A5066" s="4" t="s">
        <v>12424</v>
      </c>
      <c r="B5066" s="5" t="s">
        <v>12425</v>
      </c>
      <c r="C5066" s="5" t="s">
        <v>90</v>
      </c>
      <c r="D5066" s="5" t="s">
        <v>91</v>
      </c>
      <c r="E5066" s="5" t="s">
        <v>491</v>
      </c>
      <c r="F5066" s="9">
        <v>57</v>
      </c>
      <c r="G5066" s="9">
        <v>691</v>
      </c>
      <c r="H5066" s="5" t="s">
        <v>21</v>
      </c>
      <c r="I5066" s="5" t="s">
        <v>12426</v>
      </c>
      <c r="J5066" s="12" t="str">
        <f>HYPERLINK("https://www.boe.es/gazeta/dias/1802/07/16/pdfs/GMD-1802-57.pdf#page=11","Abrir facsímil")</f>
        <v>Abrir facsímil</v>
      </c>
      <c r="K5066" s="15" t="s">
        <v>23</v>
      </c>
    </row>
    <row r="5067" spans="1:11" ht="42" customHeight="1">
      <c r="A5067" s="4" t="s">
        <v>12427</v>
      </c>
      <c r="B5067" s="5" t="s">
        <v>12428</v>
      </c>
      <c r="C5067" s="5" t="s">
        <v>18</v>
      </c>
      <c r="D5067" s="5" t="s">
        <v>19</v>
      </c>
      <c r="E5067" s="5" t="s">
        <v>814</v>
      </c>
      <c r="F5067" s="9">
        <v>41</v>
      </c>
      <c r="G5067" s="9">
        <v>494</v>
      </c>
      <c r="H5067" s="5" t="s">
        <v>21</v>
      </c>
      <c r="I5067" s="5" t="s">
        <v>12429</v>
      </c>
      <c r="J5067" s="12" t="str">
        <f>HYPERLINK("https://www.boe.es/gazeta/dias/1802/05/21/pdfs/GMD-1802-41.pdf#page=10","Abrir facsímil")</f>
        <v>Abrir facsímil</v>
      </c>
      <c r="K5067" s="15" t="s">
        <v>23</v>
      </c>
    </row>
    <row r="5068" spans="1:11" ht="42" customHeight="1">
      <c r="A5068" s="4" t="s">
        <v>12430</v>
      </c>
      <c r="B5068" s="5" t="s">
        <v>12431</v>
      </c>
      <c r="C5068" s="5" t="s">
        <v>42</v>
      </c>
      <c r="D5068" s="5" t="s">
        <v>43</v>
      </c>
      <c r="E5068" s="5" t="s">
        <v>44</v>
      </c>
      <c r="F5068" s="9">
        <v>99</v>
      </c>
      <c r="G5068" s="9" t="s">
        <v>262</v>
      </c>
      <c r="H5068" s="5" t="s">
        <v>21</v>
      </c>
      <c r="I5068" s="5" t="s">
        <v>12432</v>
      </c>
      <c r="J5068" s="12" t="str">
        <f>HYPERLINK("https://www.boe.es/gazeta/dias/1802/12/07/pdfs/GMD-D-1802-99.pdf#page=8","Abrir facsímil")</f>
        <v>Abrir facsímil</v>
      </c>
      <c r="K5068" s="15" t="s">
        <v>23</v>
      </c>
    </row>
    <row r="5069" spans="1:11" ht="42" customHeight="1">
      <c r="A5069" s="4" t="s">
        <v>12433</v>
      </c>
      <c r="B5069" s="5" t="s">
        <v>12434</v>
      </c>
      <c r="C5069" s="5" t="s">
        <v>160</v>
      </c>
      <c r="D5069" s="5" t="s">
        <v>91</v>
      </c>
      <c r="E5069" s="5" t="s">
        <v>429</v>
      </c>
      <c r="F5069" s="9">
        <v>91</v>
      </c>
      <c r="G5069" s="9">
        <v>1130</v>
      </c>
      <c r="H5069" s="5" t="s">
        <v>21</v>
      </c>
      <c r="I5069" s="5" t="s">
        <v>12435</v>
      </c>
      <c r="J5069" s="12" t="str">
        <f>HYPERLINK("https://www.boe.es/gazeta/dias/1802/11/09/pdfs/GMD-1802-91.pdf#page=10","Abrir facsímil")</f>
        <v>Abrir facsímil</v>
      </c>
      <c r="K5069" s="15" t="s">
        <v>23</v>
      </c>
    </row>
    <row r="5070" spans="1:11" ht="42" customHeight="1">
      <c r="A5070" s="4" t="s">
        <v>12436</v>
      </c>
      <c r="B5070" s="5" t="s">
        <v>12437</v>
      </c>
      <c r="C5070" s="5" t="s">
        <v>42</v>
      </c>
      <c r="D5070" s="5" t="s">
        <v>43</v>
      </c>
      <c r="E5070" s="5" t="s">
        <v>44</v>
      </c>
      <c r="F5070" s="9">
        <v>99</v>
      </c>
      <c r="G5070" s="9" t="s">
        <v>558</v>
      </c>
      <c r="H5070" s="5" t="s">
        <v>21</v>
      </c>
      <c r="I5070" s="5" t="s">
        <v>12438</v>
      </c>
      <c r="J5070" s="12" t="str">
        <f>HYPERLINK("https://www.boe.es/gazeta/dias/1802/12/07/pdfs/GMD-D-1802-99.pdf#page=1","Abrir facsímil")</f>
        <v>Abrir facsímil</v>
      </c>
      <c r="K5070" s="15" t="s">
        <v>23</v>
      </c>
    </row>
    <row r="5071" spans="1:11" ht="42" customHeight="1">
      <c r="A5071" s="4" t="s">
        <v>12439</v>
      </c>
      <c r="B5071" s="5" t="s">
        <v>12440</v>
      </c>
      <c r="C5071" s="5" t="s">
        <v>42</v>
      </c>
      <c r="D5071" s="5" t="s">
        <v>43</v>
      </c>
      <c r="E5071" s="5" t="s">
        <v>44</v>
      </c>
      <c r="F5071" s="9">
        <v>99</v>
      </c>
      <c r="G5071" s="9" t="s">
        <v>322</v>
      </c>
      <c r="H5071" s="5" t="s">
        <v>21</v>
      </c>
      <c r="I5071" s="5" t="s">
        <v>12441</v>
      </c>
      <c r="J5071" s="12" t="str">
        <f>HYPERLINK("https://www.boe.es/gazeta/dias/1802/12/07/pdfs/GMD-D-1802-99.pdf#page=10","Abrir facsímil")</f>
        <v>Abrir facsímil</v>
      </c>
      <c r="K5071" s="15" t="s">
        <v>23</v>
      </c>
    </row>
    <row r="5072" spans="1:11" ht="42" customHeight="1">
      <c r="A5072" s="4" t="s">
        <v>12442</v>
      </c>
      <c r="B5072" s="5" t="s">
        <v>12443</v>
      </c>
      <c r="C5072" s="5" t="s">
        <v>42</v>
      </c>
      <c r="D5072" s="5" t="s">
        <v>43</v>
      </c>
      <c r="E5072" s="5" t="s">
        <v>44</v>
      </c>
      <c r="F5072" s="9">
        <v>99</v>
      </c>
      <c r="G5072" s="9" t="s">
        <v>262</v>
      </c>
      <c r="H5072" s="5" t="s">
        <v>21</v>
      </c>
      <c r="I5072" s="5" t="s">
        <v>12444</v>
      </c>
      <c r="J5072" s="12" t="str">
        <f>HYPERLINK("https://www.boe.es/gazeta/dias/1802/12/07/pdfs/GMD-D-1802-99.pdf#page=8","Abrir facsímil")</f>
        <v>Abrir facsímil</v>
      </c>
      <c r="K5072" s="15" t="s">
        <v>23</v>
      </c>
    </row>
    <row r="5073" spans="1:11" ht="42" customHeight="1">
      <c r="A5073" s="4" t="s">
        <v>12445</v>
      </c>
      <c r="B5073" s="5" t="s">
        <v>12445</v>
      </c>
      <c r="C5073" s="5" t="s">
        <v>35</v>
      </c>
      <c r="D5073" s="5" t="s">
        <v>36</v>
      </c>
      <c r="E5073" s="5" t="s">
        <v>1829</v>
      </c>
      <c r="F5073" s="9">
        <v>32</v>
      </c>
      <c r="G5073" s="9">
        <v>375</v>
      </c>
      <c r="H5073" s="5" t="s">
        <v>21</v>
      </c>
      <c r="I5073" s="5" t="s">
        <v>12446</v>
      </c>
      <c r="J5073" s="12" t="str">
        <f>HYPERLINK("https://www.boe.es/gazeta/dias/1802/04/20/pdfs/GMD-1802-32.pdf#page=7","Abrir facsímil")</f>
        <v>Abrir facsímil</v>
      </c>
      <c r="K5073" s="15" t="s">
        <v>23</v>
      </c>
    </row>
    <row r="5074" spans="1:11" ht="42" customHeight="1">
      <c r="A5074" s="4" t="s">
        <v>12447</v>
      </c>
      <c r="B5074" s="5" t="s">
        <v>12447</v>
      </c>
      <c r="C5074" s="5" t="s">
        <v>35</v>
      </c>
      <c r="D5074" s="5" t="s">
        <v>36</v>
      </c>
      <c r="E5074" s="5" t="s">
        <v>642</v>
      </c>
      <c r="F5074" s="9">
        <v>51</v>
      </c>
      <c r="G5074" s="9">
        <v>619</v>
      </c>
      <c r="H5074" s="5" t="s">
        <v>21</v>
      </c>
      <c r="I5074" s="5" t="s">
        <v>12448</v>
      </c>
      <c r="J5074" s="12" t="str">
        <f>HYPERLINK("https://www.boe.es/gazeta/dias/1802/06/25/pdfs/GMD-1802-51.pdf#page=7","Abrir facsímil")</f>
        <v>Abrir facsímil</v>
      </c>
      <c r="K5074" s="15" t="s">
        <v>23</v>
      </c>
    </row>
    <row r="5075" spans="1:11" ht="42" customHeight="1">
      <c r="A5075" s="4" t="s">
        <v>12449</v>
      </c>
      <c r="B5075" s="5" t="s">
        <v>12449</v>
      </c>
      <c r="C5075" s="5" t="s">
        <v>35</v>
      </c>
      <c r="D5075" s="5" t="s">
        <v>36</v>
      </c>
      <c r="E5075" s="5" t="s">
        <v>219</v>
      </c>
      <c r="F5075" s="9">
        <v>81</v>
      </c>
      <c r="G5075" s="9">
        <v>990</v>
      </c>
      <c r="H5075" s="5" t="s">
        <v>21</v>
      </c>
      <c r="I5075" s="5" t="s">
        <v>12450</v>
      </c>
      <c r="J5075" s="12" t="str">
        <f>HYPERLINK("https://www.boe.es/gazeta/dias/1802/10/05/pdfs/GMD-1802-81.pdf#page=2","Abrir facsímil")</f>
        <v>Abrir facsímil</v>
      </c>
      <c r="K5075" s="15" t="s">
        <v>23</v>
      </c>
    </row>
    <row r="5076" spans="1:11" ht="42" customHeight="1">
      <c r="A5076" s="4" t="s">
        <v>12451</v>
      </c>
      <c r="B5076" s="5" t="s">
        <v>12451</v>
      </c>
      <c r="C5076" s="5" t="s">
        <v>35</v>
      </c>
      <c r="D5076" s="5" t="s">
        <v>36</v>
      </c>
      <c r="E5076" s="5" t="s">
        <v>1051</v>
      </c>
      <c r="F5076" s="9">
        <v>43</v>
      </c>
      <c r="G5076" s="9">
        <v>511</v>
      </c>
      <c r="H5076" s="5" t="s">
        <v>21</v>
      </c>
      <c r="I5076" s="5" t="s">
        <v>12452</v>
      </c>
      <c r="J5076" s="12" t="str">
        <f>HYPERLINK("https://www.boe.es/gazeta/dias/1802/05/28/pdfs/GMD-1802-43.pdf#page=3","Abrir facsímil")</f>
        <v>Abrir facsímil</v>
      </c>
      <c r="K5076" s="15" t="s">
        <v>23</v>
      </c>
    </row>
    <row r="5077" spans="1:11" ht="42" customHeight="1">
      <c r="A5077" s="4" t="s">
        <v>12453</v>
      </c>
      <c r="B5077" s="5" t="s">
        <v>12453</v>
      </c>
      <c r="C5077" s="5" t="s">
        <v>29</v>
      </c>
      <c r="D5077" s="5" t="s">
        <v>30</v>
      </c>
      <c r="E5077" s="5" t="s">
        <v>678</v>
      </c>
      <c r="F5077" s="9">
        <v>15</v>
      </c>
      <c r="G5077" s="9">
        <v>155</v>
      </c>
      <c r="H5077" s="5" t="s">
        <v>21</v>
      </c>
      <c r="I5077" s="5" t="s">
        <v>12454</v>
      </c>
      <c r="J5077" s="12" t="str">
        <f>HYPERLINK("https://www.boe.es/gazeta/dias/1802/02/19/pdfs/GMD-1802-15.pdf#page=7","Abrir facsímil")</f>
        <v>Abrir facsímil</v>
      </c>
      <c r="K5077" s="15" t="s">
        <v>23</v>
      </c>
    </row>
    <row r="5078" spans="1:11" ht="42" customHeight="1">
      <c r="A5078" s="4" t="s">
        <v>12455</v>
      </c>
      <c r="B5078" s="5" t="s">
        <v>12455</v>
      </c>
      <c r="C5078" s="5" t="s">
        <v>29</v>
      </c>
      <c r="D5078" s="5" t="s">
        <v>30</v>
      </c>
      <c r="E5078" s="5" t="s">
        <v>172</v>
      </c>
      <c r="F5078" s="9">
        <v>35</v>
      </c>
      <c r="G5078" s="9">
        <v>405</v>
      </c>
      <c r="H5078" s="5" t="s">
        <v>21</v>
      </c>
      <c r="I5078" s="5" t="s">
        <v>12456</v>
      </c>
      <c r="J5078" s="12" t="str">
        <f>HYPERLINK("https://www.boe.es/gazeta/dias/1802/04/30/pdfs/GMD-1802-35.pdf#page=5","Abrir facsímil")</f>
        <v>Abrir facsímil</v>
      </c>
      <c r="K5078" s="15" t="s">
        <v>23</v>
      </c>
    </row>
    <row r="5079" spans="1:11" ht="42" customHeight="1">
      <c r="A5079" s="4" t="s">
        <v>12457</v>
      </c>
      <c r="B5079" s="5" t="s">
        <v>12457</v>
      </c>
      <c r="C5079" s="5" t="s">
        <v>29</v>
      </c>
      <c r="D5079" s="5" t="s">
        <v>30</v>
      </c>
      <c r="E5079" s="5" t="s">
        <v>631</v>
      </c>
      <c r="F5079" s="9">
        <v>36</v>
      </c>
      <c r="G5079" s="9">
        <v>423</v>
      </c>
      <c r="H5079" s="5" t="s">
        <v>21</v>
      </c>
      <c r="I5079" s="5" t="s">
        <v>12458</v>
      </c>
      <c r="J5079" s="12" t="str">
        <f>HYPERLINK("https://www.boe.es/gazeta/dias/1802/05/04/pdfs/GMD-1802-36.pdf#page=3","Abrir facsímil")</f>
        <v>Abrir facsímil</v>
      </c>
      <c r="K5079" s="15" t="s">
        <v>23</v>
      </c>
    </row>
    <row r="5080" spans="1:11" ht="42" customHeight="1">
      <c r="A5080" s="4" t="s">
        <v>12457</v>
      </c>
      <c r="B5080" s="5" t="s">
        <v>12457</v>
      </c>
      <c r="C5080" s="5" t="s">
        <v>29</v>
      </c>
      <c r="D5080" s="5" t="s">
        <v>30</v>
      </c>
      <c r="E5080" s="5" t="s">
        <v>181</v>
      </c>
      <c r="F5080" s="9">
        <v>55</v>
      </c>
      <c r="G5080" s="9">
        <v>659</v>
      </c>
      <c r="H5080" s="5" t="s">
        <v>21</v>
      </c>
      <c r="I5080" s="5" t="s">
        <v>12459</v>
      </c>
      <c r="J5080" s="12" t="str">
        <f>HYPERLINK("https://www.boe.es/gazeta/dias/1802/07/09/pdfs/GMD-1802-55.pdf#page=3","Abrir facsímil")</f>
        <v>Abrir facsímil</v>
      </c>
      <c r="K5080" s="15" t="s">
        <v>23</v>
      </c>
    </row>
    <row r="5081" spans="1:11" ht="42" customHeight="1">
      <c r="A5081" s="4" t="s">
        <v>12457</v>
      </c>
      <c r="B5081" s="5" t="s">
        <v>12457</v>
      </c>
      <c r="C5081" s="5" t="s">
        <v>35</v>
      </c>
      <c r="D5081" s="5" t="s">
        <v>36</v>
      </c>
      <c r="E5081" s="5" t="s">
        <v>745</v>
      </c>
      <c r="F5081" s="9">
        <v>92</v>
      </c>
      <c r="G5081" s="9">
        <v>1134</v>
      </c>
      <c r="H5081" s="5" t="s">
        <v>21</v>
      </c>
      <c r="I5081" s="5" t="s">
        <v>12460</v>
      </c>
      <c r="J5081" s="12" t="str">
        <f>HYPERLINK("https://www.boe.es/gazeta/dias/1802/11/12/pdfs/GMD-1802-92.pdf#page=2","Abrir facsímil")</f>
        <v>Abrir facsímil</v>
      </c>
      <c r="K5081" s="15" t="s">
        <v>23</v>
      </c>
    </row>
    <row r="5082" spans="1:11" ht="42" customHeight="1">
      <c r="A5082" s="4" t="s">
        <v>12461</v>
      </c>
      <c r="B5082" s="5" t="s">
        <v>12461</v>
      </c>
      <c r="C5082" s="5" t="s">
        <v>35</v>
      </c>
      <c r="D5082" s="5" t="s">
        <v>36</v>
      </c>
      <c r="E5082" s="5" t="s">
        <v>133</v>
      </c>
      <c r="F5082" s="9">
        <v>33</v>
      </c>
      <c r="G5082" s="9">
        <v>382</v>
      </c>
      <c r="H5082" s="5" t="s">
        <v>21</v>
      </c>
      <c r="I5082" s="5" t="s">
        <v>12462</v>
      </c>
      <c r="J5082" s="12" t="str">
        <f>HYPERLINK("https://www.boe.es/gazeta/dias/1802/04/23/pdfs/GMD-1802-33.pdf#page=2","Abrir facsímil")</f>
        <v>Abrir facsímil</v>
      </c>
      <c r="K5082" s="15" t="s">
        <v>23</v>
      </c>
    </row>
    <row r="5083" spans="1:11" ht="42" customHeight="1">
      <c r="A5083" s="4" t="s">
        <v>12463</v>
      </c>
      <c r="B5083" s="5" t="s">
        <v>12463</v>
      </c>
      <c r="C5083" s="5" t="s">
        <v>35</v>
      </c>
      <c r="D5083" s="5" t="s">
        <v>36</v>
      </c>
      <c r="E5083" s="5" t="s">
        <v>128</v>
      </c>
      <c r="F5083" s="9">
        <v>9</v>
      </c>
      <c r="G5083" s="9">
        <v>82</v>
      </c>
      <c r="H5083" s="5" t="s">
        <v>21</v>
      </c>
      <c r="I5083" s="5" t="s">
        <v>12464</v>
      </c>
      <c r="J5083" s="12" t="str">
        <f>HYPERLINK("https://www.boe.es/gazeta/dias/1802/01/29/pdfs/GMD-1802-9.pdf#page=2","Abrir facsímil")</f>
        <v>Abrir facsímil</v>
      </c>
      <c r="K5083" s="15" t="s">
        <v>23</v>
      </c>
    </row>
    <row r="5084" spans="1:11" ht="42" customHeight="1">
      <c r="A5084" s="4" t="s">
        <v>12465</v>
      </c>
      <c r="B5084" s="5" t="s">
        <v>12465</v>
      </c>
      <c r="C5084" s="5" t="s">
        <v>35</v>
      </c>
      <c r="D5084" s="5" t="s">
        <v>36</v>
      </c>
      <c r="E5084" s="5" t="s">
        <v>517</v>
      </c>
      <c r="F5084" s="9">
        <v>61</v>
      </c>
      <c r="G5084" s="9">
        <v>734</v>
      </c>
      <c r="H5084" s="5" t="s">
        <v>21</v>
      </c>
      <c r="I5084" s="5" t="s">
        <v>12466</v>
      </c>
      <c r="J5084" s="12" t="str">
        <f>HYPERLINK("https://www.boe.es/gazeta/dias/1802/07/27/pdfs/GMD-1802-61.pdf#page=2","Abrir facsímil")</f>
        <v>Abrir facsímil</v>
      </c>
      <c r="K5084" s="15" t="s">
        <v>23</v>
      </c>
    </row>
    <row r="5085" spans="1:11" ht="42" customHeight="1">
      <c r="A5085" s="4" t="s">
        <v>12467</v>
      </c>
      <c r="B5085" s="5" t="s">
        <v>12467</v>
      </c>
      <c r="C5085" s="5" t="s">
        <v>18</v>
      </c>
      <c r="D5085" s="5" t="s">
        <v>19</v>
      </c>
      <c r="E5085" s="5" t="s">
        <v>196</v>
      </c>
      <c r="F5085" s="9">
        <v>2</v>
      </c>
      <c r="G5085" s="9">
        <v>19</v>
      </c>
      <c r="H5085" s="5" t="s">
        <v>21</v>
      </c>
      <c r="I5085" s="5" t="s">
        <v>12468</v>
      </c>
      <c r="J5085" s="12" t="str">
        <f>HYPERLINK("https://www.boe.es/gazeta/dias/1802/01/05/pdfs/GMD-1802-2.pdf#page=11","Abrir facsímil")</f>
        <v>Abrir facsímil</v>
      </c>
      <c r="K5085" s="15" t="s">
        <v>23</v>
      </c>
    </row>
    <row r="5086" spans="1:11" ht="42" customHeight="1">
      <c r="A5086" s="4" t="s">
        <v>12469</v>
      </c>
      <c r="B5086" s="5" t="s">
        <v>12469</v>
      </c>
      <c r="C5086" s="5" t="s">
        <v>29</v>
      </c>
      <c r="D5086" s="5" t="s">
        <v>30</v>
      </c>
      <c r="E5086" s="5" t="s">
        <v>31</v>
      </c>
      <c r="F5086" s="9">
        <v>27</v>
      </c>
      <c r="G5086" s="9">
        <v>317</v>
      </c>
      <c r="H5086" s="5" t="s">
        <v>21</v>
      </c>
      <c r="I5086" s="5" t="s">
        <v>12470</v>
      </c>
      <c r="J5086" s="12" t="str">
        <f>HYPERLINK("https://www.boe.es/gazeta/dias/1802/04/02/pdfs/GMD-1802-27.pdf#page=13","Abrir facsímil")</f>
        <v>Abrir facsímil</v>
      </c>
      <c r="K5086" s="15" t="s">
        <v>23</v>
      </c>
    </row>
    <row r="5087" spans="1:11" ht="42" customHeight="1">
      <c r="A5087" s="4" t="s">
        <v>12471</v>
      </c>
      <c r="B5087" s="5" t="s">
        <v>12471</v>
      </c>
      <c r="C5087" s="5" t="s">
        <v>35</v>
      </c>
      <c r="D5087" s="5" t="s">
        <v>36</v>
      </c>
      <c r="E5087" s="5" t="s">
        <v>1051</v>
      </c>
      <c r="F5087" s="9">
        <v>43</v>
      </c>
      <c r="G5087" s="9">
        <v>511</v>
      </c>
      <c r="H5087" s="5" t="s">
        <v>21</v>
      </c>
      <c r="I5087" s="5" t="s">
        <v>12452</v>
      </c>
      <c r="J5087" s="12" t="str">
        <f>HYPERLINK("https://www.boe.es/gazeta/dias/1802/05/28/pdfs/GMD-1802-43.pdf#page=3","Abrir facsímil")</f>
        <v>Abrir facsímil</v>
      </c>
      <c r="K5087" s="15" t="s">
        <v>23</v>
      </c>
    </row>
    <row r="5088" spans="1:11" ht="42" customHeight="1">
      <c r="A5088" s="4" t="s">
        <v>12472</v>
      </c>
      <c r="B5088" s="5" t="s">
        <v>12472</v>
      </c>
      <c r="C5088" s="5" t="s">
        <v>35</v>
      </c>
      <c r="D5088" s="5" t="s">
        <v>36</v>
      </c>
      <c r="E5088" s="5" t="s">
        <v>71</v>
      </c>
      <c r="F5088" s="9">
        <v>21</v>
      </c>
      <c r="G5088" s="9">
        <v>226</v>
      </c>
      <c r="H5088" s="5" t="s">
        <v>21</v>
      </c>
      <c r="I5088" s="5" t="s">
        <v>12473</v>
      </c>
      <c r="J5088" s="12" t="str">
        <f>HYPERLINK("https://www.boe.es/gazeta/dias/1802/03/12/pdfs/GMD-1802-21.pdf#page=2","Abrir facsímil")</f>
        <v>Abrir facsímil</v>
      </c>
      <c r="K5088" s="15" t="s">
        <v>23</v>
      </c>
    </row>
    <row r="5089" spans="1:11" ht="42" customHeight="1">
      <c r="A5089" s="4" t="s">
        <v>12474</v>
      </c>
      <c r="B5089" s="5" t="s">
        <v>12474</v>
      </c>
      <c r="C5089" s="5" t="s">
        <v>35</v>
      </c>
      <c r="D5089" s="5" t="s">
        <v>36</v>
      </c>
      <c r="E5089" s="5" t="s">
        <v>131</v>
      </c>
      <c r="F5089" s="9">
        <v>11</v>
      </c>
      <c r="G5089" s="9">
        <v>105</v>
      </c>
      <c r="H5089" s="5" t="s">
        <v>21</v>
      </c>
      <c r="I5089" s="5" t="s">
        <v>12475</v>
      </c>
      <c r="J5089" s="12" t="str">
        <f>HYPERLINK("https://www.boe.es/gazeta/dias/1802/02/05/pdfs/GMD-1802-11.pdf#page=1","Abrir facsímil")</f>
        <v>Abrir facsímil</v>
      </c>
      <c r="K5089" s="15" t="s">
        <v>23</v>
      </c>
    </row>
    <row r="5090" spans="1:11" ht="42" customHeight="1">
      <c r="A5090" s="4" t="s">
        <v>12476</v>
      </c>
      <c r="B5090" s="5" t="s">
        <v>12476</v>
      </c>
      <c r="C5090" s="5" t="s">
        <v>35</v>
      </c>
      <c r="D5090" s="5" t="s">
        <v>36</v>
      </c>
      <c r="E5090" s="5" t="s">
        <v>75</v>
      </c>
      <c r="F5090" s="9">
        <v>103</v>
      </c>
      <c r="G5090" s="9">
        <v>1259</v>
      </c>
      <c r="H5090" s="5" t="s">
        <v>21</v>
      </c>
      <c r="I5090" s="5" t="s">
        <v>12477</v>
      </c>
      <c r="J5090" s="12" t="str">
        <f>HYPERLINK("https://www.boe.es/gazeta/dias/1802/12/21/pdfs/GMD-1802-103.pdf#page=3","Abrir facsímil")</f>
        <v>Abrir facsímil</v>
      </c>
      <c r="K5090" s="15" t="s">
        <v>23</v>
      </c>
    </row>
    <row r="5091" spans="1:11" ht="42" customHeight="1">
      <c r="A5091" s="4" t="s">
        <v>12478</v>
      </c>
      <c r="B5091" s="5" t="s">
        <v>12478</v>
      </c>
      <c r="C5091" s="5" t="s">
        <v>35</v>
      </c>
      <c r="D5091" s="5" t="s">
        <v>36</v>
      </c>
      <c r="E5091" s="5" t="s">
        <v>175</v>
      </c>
      <c r="F5091" s="9">
        <v>37</v>
      </c>
      <c r="G5091" s="9">
        <v>435</v>
      </c>
      <c r="H5091" s="5" t="s">
        <v>21</v>
      </c>
      <c r="I5091" s="5" t="s">
        <v>12479</v>
      </c>
      <c r="J5091" s="12" t="str">
        <f>HYPERLINK("https://www.boe.es/gazeta/dias/1802/05/07/pdfs/GMD-1802-37.pdf#page=3","Abrir facsímil")</f>
        <v>Abrir facsímil</v>
      </c>
      <c r="K5091" s="15" t="s">
        <v>23</v>
      </c>
    </row>
    <row r="5092" spans="1:11" ht="42" customHeight="1">
      <c r="A5092" s="4" t="s">
        <v>12480</v>
      </c>
      <c r="B5092" s="5" t="s">
        <v>12480</v>
      </c>
      <c r="C5092" s="5" t="s">
        <v>35</v>
      </c>
      <c r="D5092" s="5" t="s">
        <v>36</v>
      </c>
      <c r="E5092" s="5" t="s">
        <v>247</v>
      </c>
      <c r="F5092" s="9">
        <v>14</v>
      </c>
      <c r="G5092" s="9">
        <v>142</v>
      </c>
      <c r="H5092" s="5" t="s">
        <v>21</v>
      </c>
      <c r="I5092" s="5" t="s">
        <v>12481</v>
      </c>
      <c r="J5092" s="12" t="str">
        <f>HYPERLINK("https://www.boe.es/gazeta/dias/1802/02/16/pdfs/GMD-1802-14.pdf#page=6","Abrir facsímil")</f>
        <v>Abrir facsímil</v>
      </c>
      <c r="K5092" s="15" t="s">
        <v>23</v>
      </c>
    </row>
    <row r="5093" spans="1:11" ht="42" customHeight="1">
      <c r="A5093" s="4" t="s">
        <v>12482</v>
      </c>
      <c r="B5093" s="5" t="s">
        <v>12482</v>
      </c>
      <c r="C5093" s="5" t="s">
        <v>35</v>
      </c>
      <c r="D5093" s="5" t="s">
        <v>36</v>
      </c>
      <c r="E5093" s="5" t="s">
        <v>439</v>
      </c>
      <c r="F5093" s="9">
        <v>76</v>
      </c>
      <c r="G5093" s="9">
        <v>931</v>
      </c>
      <c r="H5093" s="5" t="s">
        <v>21</v>
      </c>
      <c r="I5093" s="5" t="s">
        <v>12483</v>
      </c>
      <c r="J5093" s="12" t="str">
        <f>HYPERLINK("https://www.boe.es/gazeta/dias/1802/09/17/pdfs/GMD-1802-76.pdf#page=3","Abrir facsímil")</f>
        <v>Abrir facsímil</v>
      </c>
      <c r="K5093" s="15" t="s">
        <v>23</v>
      </c>
    </row>
    <row r="5094" spans="1:11" ht="42" customHeight="1">
      <c r="A5094" s="4" t="s">
        <v>12484</v>
      </c>
      <c r="B5094" s="5" t="s">
        <v>12484</v>
      </c>
      <c r="C5094" s="5" t="s">
        <v>35</v>
      </c>
      <c r="D5094" s="5" t="s">
        <v>36</v>
      </c>
      <c r="E5094" s="5" t="s">
        <v>311</v>
      </c>
      <c r="F5094" s="9">
        <v>88</v>
      </c>
      <c r="G5094" s="9">
        <v>1086</v>
      </c>
      <c r="H5094" s="5" t="s">
        <v>21</v>
      </c>
      <c r="I5094" s="5" t="s">
        <v>12485</v>
      </c>
      <c r="J5094" s="12" t="str">
        <f>HYPERLINK("https://www.boe.es/gazeta/dias/1802/10/29/pdfs/GMD-1802-88.pdf#page=2","Abrir facsímil")</f>
        <v>Abrir facsímil</v>
      </c>
      <c r="K5094" s="15" t="s">
        <v>23</v>
      </c>
    </row>
    <row r="5095" spans="1:11" ht="42" customHeight="1">
      <c r="A5095" s="4" t="s">
        <v>12486</v>
      </c>
      <c r="B5095" s="5" t="s">
        <v>12486</v>
      </c>
      <c r="C5095" s="5" t="s">
        <v>35</v>
      </c>
      <c r="D5095" s="5" t="s">
        <v>36</v>
      </c>
      <c r="E5095" s="5" t="s">
        <v>481</v>
      </c>
      <c r="F5095" s="9">
        <v>79</v>
      </c>
      <c r="G5095" s="9">
        <v>965</v>
      </c>
      <c r="H5095" s="5" t="s">
        <v>21</v>
      </c>
      <c r="I5095" s="5" t="s">
        <v>12487</v>
      </c>
      <c r="J5095" s="12" t="str">
        <f>HYPERLINK("https://www.boe.es/gazeta/dias/1802/09/28/pdfs/GMD-1802-79.pdf#page=1","Abrir facsímil")</f>
        <v>Abrir facsímil</v>
      </c>
      <c r="K5095" s="15" t="s">
        <v>23</v>
      </c>
    </row>
    <row r="5096" spans="1:11" ht="42" customHeight="1">
      <c r="A5096" s="4" t="s">
        <v>12488</v>
      </c>
      <c r="B5096" s="5" t="s">
        <v>12488</v>
      </c>
      <c r="C5096" s="5" t="s">
        <v>18</v>
      </c>
      <c r="D5096" s="5" t="s">
        <v>19</v>
      </c>
      <c r="E5096" s="5" t="s">
        <v>1332</v>
      </c>
      <c r="F5096" s="9">
        <v>4</v>
      </c>
      <c r="G5096" s="9">
        <v>34</v>
      </c>
      <c r="H5096" s="5" t="s">
        <v>21</v>
      </c>
      <c r="I5096" s="5" t="s">
        <v>12489</v>
      </c>
      <c r="J5096" s="12" t="str">
        <f>HYPERLINK("https://www.boe.es/gazeta/dias/1802/01/12/pdfs/GMD-1802-4.pdf#page=6","Abrir facsímil")</f>
        <v>Abrir facsímil</v>
      </c>
      <c r="K5096" s="15" t="s">
        <v>23</v>
      </c>
    </row>
    <row r="5097" spans="1:11" ht="42" customHeight="1">
      <c r="A5097" s="4" t="s">
        <v>12490</v>
      </c>
      <c r="B5097" s="5" t="s">
        <v>12490</v>
      </c>
      <c r="C5097" s="5" t="s">
        <v>35</v>
      </c>
      <c r="D5097" s="5" t="s">
        <v>36</v>
      </c>
      <c r="E5097" s="5" t="s">
        <v>219</v>
      </c>
      <c r="F5097" s="9">
        <v>81</v>
      </c>
      <c r="G5097" s="9">
        <v>993</v>
      </c>
      <c r="H5097" s="5" t="s">
        <v>21</v>
      </c>
      <c r="I5097" s="5" t="s">
        <v>12491</v>
      </c>
      <c r="J5097" s="12" t="str">
        <f>HYPERLINK("https://www.boe.es/gazeta/dias/1802/10/05/pdfs/GMD-1802-81.pdf#page=5","Abrir facsímil")</f>
        <v>Abrir facsímil</v>
      </c>
      <c r="K5097" s="15" t="s">
        <v>23</v>
      </c>
    </row>
    <row r="5098" spans="1:11" ht="42" customHeight="1">
      <c r="A5098" s="4" t="s">
        <v>12492</v>
      </c>
      <c r="B5098" s="5" t="s">
        <v>12492</v>
      </c>
      <c r="C5098" s="5" t="s">
        <v>29</v>
      </c>
      <c r="D5098" s="5" t="s">
        <v>30</v>
      </c>
      <c r="E5098" s="5" t="s">
        <v>678</v>
      </c>
      <c r="F5098" s="9">
        <v>15</v>
      </c>
      <c r="G5098" s="9">
        <v>155</v>
      </c>
      <c r="H5098" s="5" t="s">
        <v>21</v>
      </c>
      <c r="I5098" s="5" t="s">
        <v>12454</v>
      </c>
      <c r="J5098" s="12" t="str">
        <f>HYPERLINK("https://www.boe.es/gazeta/dias/1802/02/19/pdfs/GMD-1802-15.pdf#page=7","Abrir facsímil")</f>
        <v>Abrir facsímil</v>
      </c>
      <c r="K5098" s="15" t="s">
        <v>23</v>
      </c>
    </row>
    <row r="5099" spans="1:11" ht="42" customHeight="1">
      <c r="A5099" s="4" t="s">
        <v>12493</v>
      </c>
      <c r="B5099" s="5" t="s">
        <v>12493</v>
      </c>
      <c r="C5099" s="5" t="s">
        <v>35</v>
      </c>
      <c r="D5099" s="5" t="s">
        <v>36</v>
      </c>
      <c r="E5099" s="5" t="s">
        <v>131</v>
      </c>
      <c r="F5099" s="9">
        <v>11</v>
      </c>
      <c r="G5099" s="9">
        <v>111</v>
      </c>
      <c r="H5099" s="5" t="s">
        <v>21</v>
      </c>
      <c r="I5099" s="5" t="s">
        <v>12494</v>
      </c>
      <c r="J5099" s="12" t="str">
        <f>HYPERLINK("https://www.boe.es/gazeta/dias/1802/02/05/pdfs/GMD-1802-11.pdf#page=7","Abrir facsímil")</f>
        <v>Abrir facsímil</v>
      </c>
      <c r="K5099" s="15" t="s">
        <v>23</v>
      </c>
    </row>
    <row r="5100" spans="1:11" ht="42" customHeight="1">
      <c r="A5100" s="4" t="s">
        <v>12493</v>
      </c>
      <c r="B5100" s="5" t="s">
        <v>12493</v>
      </c>
      <c r="C5100" s="5" t="s">
        <v>29</v>
      </c>
      <c r="D5100" s="5" t="s">
        <v>30</v>
      </c>
      <c r="E5100" s="5" t="s">
        <v>865</v>
      </c>
      <c r="F5100" s="9">
        <v>12</v>
      </c>
      <c r="G5100" s="9">
        <v>119</v>
      </c>
      <c r="H5100" s="5" t="s">
        <v>21</v>
      </c>
      <c r="I5100" s="5" t="s">
        <v>12495</v>
      </c>
      <c r="J5100" s="12" t="str">
        <f>HYPERLINK("https://www.boe.es/gazeta/dias/1802/02/09/pdfs/GMD-1802-12.pdf#page=3","Abrir facsímil")</f>
        <v>Abrir facsímil</v>
      </c>
      <c r="K5100" s="15" t="s">
        <v>23</v>
      </c>
    </row>
    <row r="5101" spans="1:11" ht="42" customHeight="1">
      <c r="A5101" s="4" t="s">
        <v>12493</v>
      </c>
      <c r="B5101" s="5" t="s">
        <v>12493</v>
      </c>
      <c r="C5101" s="5" t="s">
        <v>18</v>
      </c>
      <c r="D5101" s="5" t="s">
        <v>19</v>
      </c>
      <c r="E5101" s="5" t="s">
        <v>706</v>
      </c>
      <c r="F5101" s="9">
        <v>80</v>
      </c>
      <c r="G5101" s="9">
        <v>986</v>
      </c>
      <c r="H5101" s="5" t="s">
        <v>21</v>
      </c>
      <c r="I5101" s="5" t="s">
        <v>12496</v>
      </c>
      <c r="J5101" s="12" t="str">
        <f>HYPERLINK("https://www.boe.es/gazeta/dias/1802/10/01/pdfs/GMD-1802-80.pdf#page=10","Abrir facsímil")</f>
        <v>Abrir facsímil</v>
      </c>
      <c r="K5101" s="15" t="s">
        <v>23</v>
      </c>
    </row>
    <row r="5102" spans="1:11" ht="42" customHeight="1">
      <c r="A5102" s="4" t="s">
        <v>12497</v>
      </c>
      <c r="B5102" s="5" t="s">
        <v>12497</v>
      </c>
      <c r="C5102" s="5" t="s">
        <v>35</v>
      </c>
      <c r="D5102" s="5" t="s">
        <v>36</v>
      </c>
      <c r="E5102" s="5" t="s">
        <v>37</v>
      </c>
      <c r="F5102" s="9">
        <v>106</v>
      </c>
      <c r="G5102" s="9">
        <v>1292</v>
      </c>
      <c r="H5102" s="5" t="s">
        <v>21</v>
      </c>
      <c r="I5102" s="5" t="s">
        <v>12498</v>
      </c>
      <c r="J5102" s="12" t="str">
        <f>HYPERLINK("https://www.boe.es/gazeta/dias/1802/12/31/pdfs/GMD-1802-106.pdf#page=4","Abrir facsímil")</f>
        <v>Abrir facsímil</v>
      </c>
      <c r="K5102" s="15" t="s">
        <v>23</v>
      </c>
    </row>
    <row r="5103" spans="1:11" ht="42" customHeight="1">
      <c r="A5103" s="4" t="s">
        <v>12499</v>
      </c>
      <c r="B5103" s="5" t="s">
        <v>12499</v>
      </c>
      <c r="C5103" s="5" t="s">
        <v>35</v>
      </c>
      <c r="D5103" s="5" t="s">
        <v>36</v>
      </c>
      <c r="E5103" s="5" t="s">
        <v>109</v>
      </c>
      <c r="F5103" s="9">
        <v>10</v>
      </c>
      <c r="G5103" s="9">
        <v>97</v>
      </c>
      <c r="H5103" s="5" t="s">
        <v>21</v>
      </c>
      <c r="I5103" s="5" t="s">
        <v>12500</v>
      </c>
      <c r="J5103" s="12" t="str">
        <f>HYPERLINK("https://www.boe.es/gazeta/dias/1802/02/02/pdfs/GMD-1802-10.pdf#page=5","Abrir facsímil")</f>
        <v>Abrir facsímil</v>
      </c>
      <c r="K5103" s="15" t="s">
        <v>23</v>
      </c>
    </row>
    <row r="5104" spans="1:11" ht="42" customHeight="1">
      <c r="A5104" s="4" t="s">
        <v>12501</v>
      </c>
      <c r="B5104" s="5" t="s">
        <v>12501</v>
      </c>
      <c r="C5104" s="5" t="s">
        <v>29</v>
      </c>
      <c r="D5104" s="5" t="s">
        <v>30</v>
      </c>
      <c r="E5104" s="5" t="s">
        <v>1381</v>
      </c>
      <c r="F5104" s="9">
        <v>17</v>
      </c>
      <c r="G5104" s="9">
        <v>185</v>
      </c>
      <c r="H5104" s="5" t="s">
        <v>21</v>
      </c>
      <c r="I5104" s="5" t="s">
        <v>12502</v>
      </c>
      <c r="J5104" s="12" t="str">
        <f>HYPERLINK("https://www.boe.es/gazeta/dias/1802/02/26/pdfs/GMD-1802-17.pdf#page=9","Abrir facsímil")</f>
        <v>Abrir facsímil</v>
      </c>
      <c r="K5104" s="15" t="s">
        <v>23</v>
      </c>
    </row>
    <row r="5105" spans="1:11" ht="42" customHeight="1">
      <c r="A5105" s="4" t="s">
        <v>12503</v>
      </c>
      <c r="B5105" s="5" t="s">
        <v>12503</v>
      </c>
      <c r="C5105" s="5" t="s">
        <v>29</v>
      </c>
      <c r="D5105" s="5" t="s">
        <v>30</v>
      </c>
      <c r="E5105" s="5" t="s">
        <v>146</v>
      </c>
      <c r="F5105" s="9">
        <v>42</v>
      </c>
      <c r="G5105" s="9">
        <v>505</v>
      </c>
      <c r="H5105" s="5" t="s">
        <v>21</v>
      </c>
      <c r="I5105" s="5" t="s">
        <v>12504</v>
      </c>
      <c r="J5105" s="12" t="str">
        <f>HYPERLINK("https://www.boe.es/gazeta/dias/1802/05/25/pdfs/GMD-1802-42.pdf#page=9","Abrir facsímil")</f>
        <v>Abrir facsímil</v>
      </c>
      <c r="K5105" s="15" t="s">
        <v>23</v>
      </c>
    </row>
    <row r="5106" spans="1:11" ht="42" customHeight="1">
      <c r="A5106" s="4" t="s">
        <v>12505</v>
      </c>
      <c r="B5106" s="5" t="s">
        <v>12505</v>
      </c>
      <c r="C5106" s="5" t="s">
        <v>29</v>
      </c>
      <c r="D5106" s="5" t="s">
        <v>30</v>
      </c>
      <c r="E5106" s="5" t="s">
        <v>1332</v>
      </c>
      <c r="F5106" s="9">
        <v>4</v>
      </c>
      <c r="G5106" s="9">
        <v>38</v>
      </c>
      <c r="H5106" s="5" t="s">
        <v>21</v>
      </c>
      <c r="I5106" s="5" t="s">
        <v>12506</v>
      </c>
      <c r="J5106" s="12" t="str">
        <f>HYPERLINK("https://www.boe.es/gazeta/dias/1802/01/12/pdfs/GMD-1802-4.pdf#page=10","Abrir facsímil")</f>
        <v>Abrir facsímil</v>
      </c>
      <c r="K5106" s="15" t="s">
        <v>23</v>
      </c>
    </row>
    <row r="5107" spans="1:11" ht="42" customHeight="1">
      <c r="A5107" s="4" t="s">
        <v>12505</v>
      </c>
      <c r="B5107" s="5" t="s">
        <v>12505</v>
      </c>
      <c r="C5107" s="5" t="s">
        <v>160</v>
      </c>
      <c r="D5107" s="5" t="s">
        <v>91</v>
      </c>
      <c r="E5107" s="5" t="s">
        <v>823</v>
      </c>
      <c r="F5107" s="9">
        <v>94</v>
      </c>
      <c r="G5107" s="9">
        <v>1164</v>
      </c>
      <c r="H5107" s="5" t="s">
        <v>21</v>
      </c>
      <c r="I5107" s="5" t="s">
        <v>12507</v>
      </c>
      <c r="J5107" s="12" t="str">
        <f>HYPERLINK("https://www.boe.es/gazeta/dias/1802/11/19/pdfs/GMD-1802-94.pdf#page=12","Abrir facsímil")</f>
        <v>Abrir facsímil</v>
      </c>
      <c r="K5107" s="15" t="s">
        <v>23</v>
      </c>
    </row>
    <row r="5108" spans="1:11" ht="42" customHeight="1">
      <c r="A5108" s="4" t="s">
        <v>12508</v>
      </c>
      <c r="B5108" s="5" t="s">
        <v>12508</v>
      </c>
      <c r="C5108" s="5" t="s">
        <v>35</v>
      </c>
      <c r="D5108" s="5" t="s">
        <v>36</v>
      </c>
      <c r="E5108" s="5" t="s">
        <v>642</v>
      </c>
      <c r="F5108" s="9">
        <v>51</v>
      </c>
      <c r="G5108" s="9">
        <v>621</v>
      </c>
      <c r="H5108" s="5" t="s">
        <v>21</v>
      </c>
      <c r="I5108" s="5" t="s">
        <v>12509</v>
      </c>
      <c r="J5108" s="12" t="str">
        <f>HYPERLINK("https://www.boe.es/gazeta/dias/1802/06/25/pdfs/GMD-1802-51.pdf#page=9","Abrir facsímil")</f>
        <v>Abrir facsímil</v>
      </c>
      <c r="K5108" s="15" t="s">
        <v>23</v>
      </c>
    </row>
    <row r="5109" spans="1:11" ht="42" customHeight="1">
      <c r="A5109" s="4" t="s">
        <v>12510</v>
      </c>
      <c r="B5109" s="5" t="s">
        <v>12511</v>
      </c>
      <c r="C5109" s="5" t="s">
        <v>18</v>
      </c>
      <c r="D5109" s="5" t="s">
        <v>19</v>
      </c>
      <c r="E5109" s="5" t="s">
        <v>655</v>
      </c>
      <c r="F5109" s="9">
        <v>46</v>
      </c>
      <c r="G5109" s="9">
        <v>553</v>
      </c>
      <c r="H5109" s="5" t="s">
        <v>21</v>
      </c>
      <c r="I5109" s="5" t="s">
        <v>12512</v>
      </c>
      <c r="J5109" s="12" t="str">
        <f>HYPERLINK("https://www.boe.es/gazeta/dias/1802/06/08/pdfs/GMD-1802-46.pdf#page=5","Abrir facsímil")</f>
        <v>Abrir facsímil</v>
      </c>
      <c r="K5109" s="15" t="s">
        <v>23</v>
      </c>
    </row>
    <row r="5110" spans="1:11" ht="42" customHeight="1">
      <c r="A5110" s="4" t="s">
        <v>12513</v>
      </c>
      <c r="B5110" s="5" t="s">
        <v>12514</v>
      </c>
      <c r="C5110" s="5" t="s">
        <v>18</v>
      </c>
      <c r="D5110" s="5" t="s">
        <v>19</v>
      </c>
      <c r="E5110" s="5" t="s">
        <v>20</v>
      </c>
      <c r="F5110" s="9">
        <v>84</v>
      </c>
      <c r="G5110" s="9">
        <v>1044</v>
      </c>
      <c r="H5110" s="5" t="s">
        <v>21</v>
      </c>
      <c r="I5110" s="5" t="s">
        <v>12515</v>
      </c>
      <c r="J5110" s="12" t="str">
        <f>HYPERLINK("https://www.boe.es/gazeta/dias/1802/10/15/pdfs/GMD-1802-84.pdf#page=12","Abrir facsímil")</f>
        <v>Abrir facsímil</v>
      </c>
      <c r="K5110" s="15" t="s">
        <v>23</v>
      </c>
    </row>
    <row r="5111" spans="1:11" ht="42" customHeight="1">
      <c r="A5111" s="4" t="s">
        <v>12516</v>
      </c>
      <c r="B5111" s="5" t="s">
        <v>12517</v>
      </c>
      <c r="C5111" s="5" t="s">
        <v>18</v>
      </c>
      <c r="D5111" s="5" t="s">
        <v>19</v>
      </c>
      <c r="E5111" s="5" t="s">
        <v>20</v>
      </c>
      <c r="F5111" s="9">
        <v>84</v>
      </c>
      <c r="G5111" s="9">
        <v>1040</v>
      </c>
      <c r="H5111" s="5" t="s">
        <v>21</v>
      </c>
      <c r="I5111" s="5" t="s">
        <v>12518</v>
      </c>
      <c r="J5111" s="12" t="str">
        <f>HYPERLINK("https://www.boe.es/gazeta/dias/1802/10/15/pdfs/GMD-1802-84.pdf#page=8","Abrir facsímil")</f>
        <v>Abrir facsímil</v>
      </c>
      <c r="K5111" s="15" t="s">
        <v>23</v>
      </c>
    </row>
    <row r="5112" spans="1:11" ht="42" customHeight="1">
      <c r="A5112" s="4" t="s">
        <v>12519</v>
      </c>
      <c r="B5112" s="5" t="s">
        <v>12520</v>
      </c>
      <c r="C5112" s="5" t="s">
        <v>18</v>
      </c>
      <c r="D5112" s="5" t="s">
        <v>19</v>
      </c>
      <c r="E5112" s="5" t="s">
        <v>20</v>
      </c>
      <c r="F5112" s="9">
        <v>84</v>
      </c>
      <c r="G5112" s="9">
        <v>1041</v>
      </c>
      <c r="H5112" s="5" t="s">
        <v>21</v>
      </c>
      <c r="I5112" s="5" t="s">
        <v>12521</v>
      </c>
      <c r="J5112" s="12" t="str">
        <f>HYPERLINK("https://www.boe.es/gazeta/dias/1802/10/15/pdfs/GMD-1802-84.pdf#page=9","Abrir facsímil")</f>
        <v>Abrir facsímil</v>
      </c>
      <c r="K5112" s="15" t="s">
        <v>23</v>
      </c>
    </row>
    <row r="5113" spans="1:11" ht="42" customHeight="1">
      <c r="A5113" s="4" t="s">
        <v>12522</v>
      </c>
      <c r="B5113" s="5" t="s">
        <v>12523</v>
      </c>
      <c r="C5113" s="5" t="s">
        <v>18</v>
      </c>
      <c r="D5113" s="5" t="s">
        <v>19</v>
      </c>
      <c r="E5113" s="5" t="s">
        <v>1381</v>
      </c>
      <c r="F5113" s="9">
        <v>17</v>
      </c>
      <c r="G5113" s="9">
        <v>184</v>
      </c>
      <c r="H5113" s="5" t="s">
        <v>21</v>
      </c>
      <c r="I5113" s="5" t="s">
        <v>12524</v>
      </c>
      <c r="J5113" s="12" t="str">
        <f>HYPERLINK("https://www.boe.es/gazeta/dias/1802/02/26/pdfs/GMD-1802-17.pdf#page=8","Abrir facsímil")</f>
        <v>Abrir facsímil</v>
      </c>
      <c r="K5113" s="15" t="s">
        <v>23</v>
      </c>
    </row>
    <row r="5114" spans="1:11" ht="42" customHeight="1">
      <c r="A5114" s="4" t="s">
        <v>12525</v>
      </c>
      <c r="B5114" s="5" t="s">
        <v>12526</v>
      </c>
      <c r="C5114" s="5" t="s">
        <v>160</v>
      </c>
      <c r="D5114" s="5" t="s">
        <v>91</v>
      </c>
      <c r="E5114" s="5" t="s">
        <v>148</v>
      </c>
      <c r="F5114" s="9">
        <v>66</v>
      </c>
      <c r="G5114" s="9">
        <v>811</v>
      </c>
      <c r="H5114" s="5" t="s">
        <v>21</v>
      </c>
      <c r="I5114" s="5" t="s">
        <v>12527</v>
      </c>
      <c r="J5114" s="12" t="str">
        <f>HYPERLINK("https://www.boe.es/gazeta/dias/1802/08/13/pdfs/GMD-1802-66.pdf#page=15","Abrir facsímil")</f>
        <v>Abrir facsímil</v>
      </c>
      <c r="K5114" s="15" t="s">
        <v>23</v>
      </c>
    </row>
    <row r="5115" spans="1:11" ht="42" customHeight="1">
      <c r="A5115" s="4" t="s">
        <v>12528</v>
      </c>
      <c r="B5115" s="5" t="s">
        <v>12529</v>
      </c>
      <c r="C5115" s="5" t="s">
        <v>29</v>
      </c>
      <c r="D5115" s="5" t="s">
        <v>30</v>
      </c>
      <c r="E5115" s="5" t="s">
        <v>491</v>
      </c>
      <c r="F5115" s="9">
        <v>57</v>
      </c>
      <c r="G5115" s="9">
        <v>689</v>
      </c>
      <c r="H5115" s="5" t="s">
        <v>21</v>
      </c>
      <c r="I5115" s="5" t="s">
        <v>12530</v>
      </c>
      <c r="J5115" s="12" t="str">
        <f>HYPERLINK("https://www.boe.es/gazeta/dias/1802/07/16/pdfs/GMD-1802-57.pdf#page=9","Abrir facsímil")</f>
        <v>Abrir facsímil</v>
      </c>
      <c r="K5115" s="15" t="s">
        <v>23</v>
      </c>
    </row>
    <row r="5116" spans="1:11" ht="42" customHeight="1">
      <c r="A5116" s="4" t="s">
        <v>12531</v>
      </c>
      <c r="B5116" s="5" t="s">
        <v>12532</v>
      </c>
      <c r="C5116" s="5" t="s">
        <v>42</v>
      </c>
      <c r="D5116" s="5" t="s">
        <v>43</v>
      </c>
      <c r="E5116" s="5" t="s">
        <v>44</v>
      </c>
      <c r="F5116" s="9">
        <v>99</v>
      </c>
      <c r="G5116" s="9" t="s">
        <v>779</v>
      </c>
      <c r="H5116" s="5" t="s">
        <v>21</v>
      </c>
      <c r="I5116" s="5" t="s">
        <v>12533</v>
      </c>
      <c r="J5116" s="12" t="str">
        <f>HYPERLINK("https://www.boe.es/gazeta/dias/1802/12/07/pdfs/GMD-D-1802-99.pdf#page=13","Abrir facsímil")</f>
        <v>Abrir facsímil</v>
      </c>
      <c r="K5116" s="15" t="s">
        <v>23</v>
      </c>
    </row>
    <row r="5117" spans="1:11" ht="42" customHeight="1">
      <c r="A5117" s="4" t="s">
        <v>12534</v>
      </c>
      <c r="B5117" s="5" t="s">
        <v>12535</v>
      </c>
      <c r="C5117" s="5" t="s">
        <v>29</v>
      </c>
      <c r="D5117" s="5" t="s">
        <v>30</v>
      </c>
      <c r="E5117" s="5" t="s">
        <v>71</v>
      </c>
      <c r="F5117" s="9">
        <v>21</v>
      </c>
      <c r="G5117" s="9">
        <v>233</v>
      </c>
      <c r="H5117" s="5" t="s">
        <v>21</v>
      </c>
      <c r="I5117" s="5" t="s">
        <v>12536</v>
      </c>
      <c r="J5117" s="12" t="str">
        <f>HYPERLINK("https://www.boe.es/gazeta/dias/1802/03/12/pdfs/GMD-1802-21.pdf#page=9","Abrir facsímil")</f>
        <v>Abrir facsímil</v>
      </c>
      <c r="K5117" s="15" t="s">
        <v>23</v>
      </c>
    </row>
    <row r="5118" spans="1:11" ht="42" customHeight="1">
      <c r="A5118" s="4" t="s">
        <v>12537</v>
      </c>
      <c r="B5118" s="5" t="s">
        <v>12538</v>
      </c>
      <c r="C5118" s="5" t="s">
        <v>29</v>
      </c>
      <c r="D5118" s="5" t="s">
        <v>30</v>
      </c>
      <c r="E5118" s="5" t="s">
        <v>71</v>
      </c>
      <c r="F5118" s="9">
        <v>21</v>
      </c>
      <c r="G5118" s="9">
        <v>226</v>
      </c>
      <c r="H5118" s="5" t="s">
        <v>21</v>
      </c>
      <c r="I5118" s="5" t="s">
        <v>12539</v>
      </c>
      <c r="J5118" s="12" t="str">
        <f>HYPERLINK("https://www.boe.es/gazeta/dias/1802/03/12/pdfs/GMD-1802-21.pdf#page=2","Abrir facsímil")</f>
        <v>Abrir facsímil</v>
      </c>
      <c r="K5118" s="15" t="s">
        <v>23</v>
      </c>
    </row>
    <row r="5119" spans="1:11" ht="42" customHeight="1">
      <c r="A5119" s="4" t="s">
        <v>12540</v>
      </c>
      <c r="B5119" s="5" t="s">
        <v>12540</v>
      </c>
      <c r="C5119" s="5" t="s">
        <v>160</v>
      </c>
      <c r="D5119" s="5" t="s">
        <v>91</v>
      </c>
      <c r="E5119" s="5" t="s">
        <v>339</v>
      </c>
      <c r="F5119" s="9">
        <v>39</v>
      </c>
      <c r="G5119" s="9">
        <v>472</v>
      </c>
      <c r="H5119" s="5" t="s">
        <v>21</v>
      </c>
      <c r="I5119" s="5" t="s">
        <v>12541</v>
      </c>
      <c r="J5119" s="12" t="str">
        <f>HYPERLINK("https://www.boe.es/gazeta/dias/1802/05/14/pdfs/GMD-1802-39.pdf#page=16","Abrir facsímil")</f>
        <v>Abrir facsímil</v>
      </c>
      <c r="K5119" s="15" t="s">
        <v>23</v>
      </c>
    </row>
    <row r="5120" spans="1:11" ht="42" customHeight="1">
      <c r="A5120" s="4" t="s">
        <v>12540</v>
      </c>
      <c r="B5120" s="5" t="s">
        <v>12540</v>
      </c>
      <c r="C5120" s="5" t="s">
        <v>18</v>
      </c>
      <c r="D5120" s="5" t="s">
        <v>19</v>
      </c>
      <c r="E5120" s="5" t="s">
        <v>1051</v>
      </c>
      <c r="F5120" s="9">
        <v>43</v>
      </c>
      <c r="G5120" s="9">
        <v>520</v>
      </c>
      <c r="H5120" s="5" t="s">
        <v>21</v>
      </c>
      <c r="I5120" s="5" t="s">
        <v>12542</v>
      </c>
      <c r="J5120" s="12" t="str">
        <f>HYPERLINK("https://www.boe.es/gazeta/dias/1802/05/28/pdfs/GMD-1802-43.pdf#page=12","Abrir facsímil")</f>
        <v>Abrir facsímil</v>
      </c>
      <c r="K5120" s="15" t="s">
        <v>23</v>
      </c>
    </row>
    <row r="5121" spans="1:11" ht="42" customHeight="1">
      <c r="A5121" s="4" t="s">
        <v>12543</v>
      </c>
      <c r="B5121" s="5" t="s">
        <v>12544</v>
      </c>
      <c r="C5121" s="5" t="s">
        <v>55</v>
      </c>
      <c r="D5121" s="5" t="s">
        <v>56</v>
      </c>
      <c r="E5121" s="5" t="s">
        <v>1618</v>
      </c>
      <c r="F5121" s="9">
        <v>31</v>
      </c>
      <c r="G5121" s="9">
        <v>367</v>
      </c>
      <c r="H5121" s="5" t="s">
        <v>21</v>
      </c>
      <c r="I5121" s="5" t="s">
        <v>12545</v>
      </c>
      <c r="J5121" s="12" t="str">
        <f>HYPERLINK("https://www.boe.es/gazeta/dias/1802/04/16/pdfs/GMD-1802-31.pdf#page=11","Abrir facsímil")</f>
        <v>Abrir facsímil</v>
      </c>
      <c r="K5121" s="15" t="s">
        <v>23</v>
      </c>
    </row>
    <row r="5122" spans="1:11" ht="42" customHeight="1">
      <c r="A5122" s="4" t="s">
        <v>12543</v>
      </c>
      <c r="B5122" s="5" t="s">
        <v>12544</v>
      </c>
      <c r="C5122" s="5" t="s">
        <v>29</v>
      </c>
      <c r="D5122" s="5" t="s">
        <v>30</v>
      </c>
      <c r="E5122" s="5" t="s">
        <v>188</v>
      </c>
      <c r="F5122" s="9">
        <v>49</v>
      </c>
      <c r="G5122" s="9">
        <v>599</v>
      </c>
      <c r="H5122" s="5" t="s">
        <v>21</v>
      </c>
      <c r="I5122" s="5" t="s">
        <v>12546</v>
      </c>
      <c r="J5122" s="12" t="str">
        <f>HYPERLINK("https://www.boe.es/gazeta/dias/1802/06/18/pdfs/GMD-1802-49.pdf#page=11","Abrir facsímil")</f>
        <v>Abrir facsímil</v>
      </c>
      <c r="K5122" s="15" t="s">
        <v>23</v>
      </c>
    </row>
    <row r="5123" spans="1:11" ht="42" customHeight="1">
      <c r="A5123" s="4" t="s">
        <v>12547</v>
      </c>
      <c r="B5123" s="5" t="s">
        <v>12548</v>
      </c>
      <c r="C5123" s="5" t="s">
        <v>29</v>
      </c>
      <c r="D5123" s="5" t="s">
        <v>30</v>
      </c>
      <c r="E5123" s="5" t="s">
        <v>1374</v>
      </c>
      <c r="F5123" s="9">
        <v>71</v>
      </c>
      <c r="G5123" s="9">
        <v>866</v>
      </c>
      <c r="H5123" s="5" t="s">
        <v>21</v>
      </c>
      <c r="I5123" s="5" t="s">
        <v>12549</v>
      </c>
      <c r="J5123" s="12" t="str">
        <f>HYPERLINK("https://www.boe.es/gazeta/dias/1802/08/31/pdfs/GMD-1802-71.pdf#page=2","Abrir facsímil")</f>
        <v>Abrir facsímil</v>
      </c>
      <c r="K5123" s="15" t="s">
        <v>23</v>
      </c>
    </row>
    <row r="5124" spans="1:11" ht="42" customHeight="1">
      <c r="A5124" s="4" t="s">
        <v>12550</v>
      </c>
      <c r="B5124" s="5" t="s">
        <v>12551</v>
      </c>
      <c r="C5124" s="5" t="s">
        <v>29</v>
      </c>
      <c r="D5124" s="5" t="s">
        <v>30</v>
      </c>
      <c r="E5124" s="5" t="s">
        <v>1829</v>
      </c>
      <c r="F5124" s="9">
        <v>32</v>
      </c>
      <c r="G5124" s="9">
        <v>378</v>
      </c>
      <c r="H5124" s="5" t="s">
        <v>21</v>
      </c>
      <c r="I5124" s="5" t="s">
        <v>12552</v>
      </c>
      <c r="J5124" s="12" t="str">
        <f>HYPERLINK("https://www.boe.es/gazeta/dias/1802/04/20/pdfs/GMD-1802-32.pdf#page=10","Abrir facsímil")</f>
        <v>Abrir facsímil</v>
      </c>
      <c r="K5124" s="15" t="s">
        <v>23</v>
      </c>
    </row>
    <row r="5125" spans="1:11" ht="42" customHeight="1">
      <c r="A5125" s="4" t="s">
        <v>12553</v>
      </c>
      <c r="B5125" s="5" t="s">
        <v>12554</v>
      </c>
      <c r="C5125" s="5" t="s">
        <v>29</v>
      </c>
      <c r="D5125" s="5" t="s">
        <v>30</v>
      </c>
      <c r="E5125" s="5" t="s">
        <v>881</v>
      </c>
      <c r="F5125" s="9">
        <v>65</v>
      </c>
      <c r="G5125" s="9">
        <v>785</v>
      </c>
      <c r="H5125" s="5" t="s">
        <v>21</v>
      </c>
      <c r="I5125" s="5" t="s">
        <v>12555</v>
      </c>
      <c r="J5125" s="12" t="str">
        <f>HYPERLINK("https://www.boe.es/gazeta/dias/1802/08/10/pdfs/GMD-1802-65.pdf#page=1","Abrir facsímil")</f>
        <v>Abrir facsímil</v>
      </c>
      <c r="K5125" s="15" t="s">
        <v>23</v>
      </c>
    </row>
    <row r="5126" spans="1:11" ht="42" customHeight="1">
      <c r="A5126" s="4" t="s">
        <v>12553</v>
      </c>
      <c r="B5126" s="5" t="s">
        <v>12554</v>
      </c>
      <c r="C5126" s="5" t="s">
        <v>35</v>
      </c>
      <c r="D5126" s="5" t="s">
        <v>36</v>
      </c>
      <c r="E5126" s="5" t="s">
        <v>185</v>
      </c>
      <c r="F5126" s="9">
        <v>95</v>
      </c>
      <c r="G5126" s="9">
        <v>1166</v>
      </c>
      <c r="H5126" s="5" t="s">
        <v>21</v>
      </c>
      <c r="I5126" s="5" t="s">
        <v>12556</v>
      </c>
      <c r="J5126" s="12" t="str">
        <f>HYPERLINK("https://www.boe.es/gazeta/dias/1802/11/23/pdfs/GMD-1802-95.pdf#page=2","Abrir facsímil")</f>
        <v>Abrir facsímil</v>
      </c>
      <c r="K5126" s="15" t="s">
        <v>23</v>
      </c>
    </row>
    <row r="5127" spans="1:11" ht="42" customHeight="1">
      <c r="A5127" s="4" t="s">
        <v>12557</v>
      </c>
      <c r="B5127" s="5" t="s">
        <v>12557</v>
      </c>
      <c r="C5127" s="5" t="s">
        <v>18</v>
      </c>
      <c r="D5127" s="5" t="s">
        <v>19</v>
      </c>
      <c r="E5127" s="5" t="s">
        <v>20</v>
      </c>
      <c r="F5127" s="9">
        <v>84</v>
      </c>
      <c r="G5127" s="9">
        <v>1043</v>
      </c>
      <c r="H5127" s="5" t="s">
        <v>21</v>
      </c>
      <c r="I5127" s="5" t="s">
        <v>12558</v>
      </c>
      <c r="J5127" s="12" t="str">
        <f>HYPERLINK("https://www.boe.es/gazeta/dias/1802/10/15/pdfs/GMD-1802-84.pdf#page=11","Abrir facsímil")</f>
        <v>Abrir facsímil</v>
      </c>
      <c r="K5127" s="15" t="s">
        <v>23</v>
      </c>
    </row>
    <row r="5128" spans="1:11" ht="42" customHeight="1">
      <c r="A5128" s="4" t="s">
        <v>12559</v>
      </c>
      <c r="B5128" s="5" t="s">
        <v>12560</v>
      </c>
      <c r="C5128" s="5" t="s">
        <v>42</v>
      </c>
      <c r="D5128" s="5" t="s">
        <v>43</v>
      </c>
      <c r="E5128" s="5" t="s">
        <v>44</v>
      </c>
      <c r="F5128" s="9">
        <v>99</v>
      </c>
      <c r="G5128" s="9" t="s">
        <v>537</v>
      </c>
      <c r="H5128" s="5" t="s">
        <v>21</v>
      </c>
      <c r="I5128" s="5" t="s">
        <v>12561</v>
      </c>
      <c r="J5128" s="12" t="str">
        <f>HYPERLINK("https://www.boe.es/gazeta/dias/1802/12/07/pdfs/GMD-D-1802-99.pdf#page=9","Abrir facsímil")</f>
        <v>Abrir facsímil</v>
      </c>
      <c r="K5128" s="15" t="s">
        <v>23</v>
      </c>
    </row>
    <row r="5129" spans="1:11" ht="42" customHeight="1">
      <c r="A5129" s="4" t="s">
        <v>12562</v>
      </c>
      <c r="B5129" s="5" t="s">
        <v>12562</v>
      </c>
      <c r="C5129" s="5" t="s">
        <v>35</v>
      </c>
      <c r="D5129" s="5" t="s">
        <v>36</v>
      </c>
      <c r="E5129" s="5" t="s">
        <v>114</v>
      </c>
      <c r="F5129" s="9">
        <v>82</v>
      </c>
      <c r="G5129" s="9">
        <v>1008</v>
      </c>
      <c r="H5129" s="5" t="s">
        <v>21</v>
      </c>
      <c r="I5129" s="5" t="s">
        <v>12563</v>
      </c>
      <c r="J5129" s="12" t="str">
        <f>HYPERLINK("https://www.boe.es/gazeta/dias/1802/10/08/pdfs/GMD-1802-82.pdf#page=8","Abrir facsímil")</f>
        <v>Abrir facsímil</v>
      </c>
      <c r="K5129" s="15" t="s">
        <v>23</v>
      </c>
    </row>
    <row r="5130" spans="1:11" ht="42" customHeight="1">
      <c r="A5130" s="4" t="s">
        <v>12564</v>
      </c>
      <c r="B5130" s="5" t="s">
        <v>12565</v>
      </c>
      <c r="C5130" s="5" t="s">
        <v>42</v>
      </c>
      <c r="D5130" s="5" t="s">
        <v>43</v>
      </c>
      <c r="E5130" s="5" t="s">
        <v>44</v>
      </c>
      <c r="F5130" s="9">
        <v>99</v>
      </c>
      <c r="G5130" s="9" t="s">
        <v>548</v>
      </c>
      <c r="H5130" s="5" t="s">
        <v>21</v>
      </c>
      <c r="I5130" s="5" t="s">
        <v>12566</v>
      </c>
      <c r="J5130" s="12" t="str">
        <f>HYPERLINK("https://www.boe.es/gazeta/dias/1802/12/07/pdfs/GMD-D-1802-99.pdf#page=12","Abrir facsímil")</f>
        <v>Abrir facsímil</v>
      </c>
      <c r="K5130" s="15" t="s">
        <v>23</v>
      </c>
    </row>
    <row r="5131" spans="1:11" ht="42" customHeight="1">
      <c r="A5131" s="4" t="s">
        <v>12567</v>
      </c>
      <c r="B5131" s="5" t="s">
        <v>12568</v>
      </c>
      <c r="C5131" s="5" t="s">
        <v>55</v>
      </c>
      <c r="D5131" s="5" t="s">
        <v>56</v>
      </c>
      <c r="E5131" s="5" t="s">
        <v>1097</v>
      </c>
      <c r="F5131" s="9">
        <v>20</v>
      </c>
      <c r="G5131" s="9">
        <v>224</v>
      </c>
      <c r="H5131" s="5" t="s">
        <v>21</v>
      </c>
      <c r="I5131" s="5" t="s">
        <v>12569</v>
      </c>
      <c r="J5131" s="12" t="str">
        <f>HYPERLINK("https://www.boe.es/gazeta/dias/1802/03/09/pdfs/GMD-1802-20.pdf#page=12","Abrir facsímil")</f>
        <v>Abrir facsímil</v>
      </c>
      <c r="K5131" s="15" t="s">
        <v>23</v>
      </c>
    </row>
    <row r="5132" spans="1:11" ht="42" customHeight="1">
      <c r="A5132" s="4" t="s">
        <v>12567</v>
      </c>
      <c r="B5132" s="5" t="s">
        <v>12568</v>
      </c>
      <c r="C5132" s="5" t="s">
        <v>55</v>
      </c>
      <c r="D5132" s="5" t="s">
        <v>56</v>
      </c>
      <c r="E5132" s="5" t="s">
        <v>152</v>
      </c>
      <c r="F5132" s="9">
        <v>25</v>
      </c>
      <c r="G5132" s="9">
        <v>288</v>
      </c>
      <c r="H5132" s="5" t="s">
        <v>21</v>
      </c>
      <c r="I5132" s="5" t="s">
        <v>12570</v>
      </c>
      <c r="J5132" s="12" t="str">
        <f>HYPERLINK("https://www.boe.es/gazeta/dias/1802/03/26/pdfs/GMD-1802-25.pdf#page=12","Abrir facsímil")</f>
        <v>Abrir facsímil</v>
      </c>
      <c r="K5132" s="15" t="s">
        <v>23</v>
      </c>
    </row>
    <row r="5133" spans="1:11" ht="42" customHeight="1">
      <c r="A5133" s="4" t="s">
        <v>12567</v>
      </c>
      <c r="B5133" s="5" t="s">
        <v>12568</v>
      </c>
      <c r="C5133" s="5" t="s">
        <v>55</v>
      </c>
      <c r="D5133" s="5" t="s">
        <v>56</v>
      </c>
      <c r="E5133" s="5" t="s">
        <v>31</v>
      </c>
      <c r="F5133" s="9">
        <v>27</v>
      </c>
      <c r="G5133" s="9">
        <v>320</v>
      </c>
      <c r="H5133" s="5" t="s">
        <v>21</v>
      </c>
      <c r="I5133" s="5" t="s">
        <v>12571</v>
      </c>
      <c r="J5133" s="12" t="str">
        <f>HYPERLINK("https://www.boe.es/gazeta/dias/1802/04/02/pdfs/GMD-1802-27.pdf#page=16","Abrir facsímil")</f>
        <v>Abrir facsímil</v>
      </c>
      <c r="K5133" s="15" t="s">
        <v>23</v>
      </c>
    </row>
    <row r="5134" spans="1:11" ht="42" customHeight="1">
      <c r="A5134" s="4" t="s">
        <v>12567</v>
      </c>
      <c r="B5134" s="5" t="s">
        <v>12568</v>
      </c>
      <c r="C5134" s="5" t="s">
        <v>55</v>
      </c>
      <c r="D5134" s="5" t="s">
        <v>56</v>
      </c>
      <c r="E5134" s="5" t="s">
        <v>92</v>
      </c>
      <c r="F5134" s="9">
        <v>29</v>
      </c>
      <c r="G5134" s="9">
        <v>344</v>
      </c>
      <c r="H5134" s="5" t="s">
        <v>21</v>
      </c>
      <c r="I5134" s="5" t="s">
        <v>12572</v>
      </c>
      <c r="J5134" s="12" t="str">
        <f>HYPERLINK("https://www.boe.es/gazeta/dias/1802/04/09/pdfs/GMD-1802-29.pdf#page=12","Abrir facsímil")</f>
        <v>Abrir facsímil</v>
      </c>
      <c r="K5134" s="15" t="s">
        <v>23</v>
      </c>
    </row>
    <row r="5135" spans="1:11" ht="42" customHeight="1">
      <c r="A5135" s="4" t="s">
        <v>12573</v>
      </c>
      <c r="B5135" s="5" t="s">
        <v>12574</v>
      </c>
      <c r="C5135" s="5" t="s">
        <v>160</v>
      </c>
      <c r="D5135" s="5" t="s">
        <v>91</v>
      </c>
      <c r="E5135" s="5" t="s">
        <v>60</v>
      </c>
      <c r="F5135" s="9">
        <v>5</v>
      </c>
      <c r="G5135" s="9">
        <v>52</v>
      </c>
      <c r="H5135" s="5" t="s">
        <v>21</v>
      </c>
      <c r="I5135" s="5" t="s">
        <v>12575</v>
      </c>
      <c r="J5135" s="12" t="str">
        <f>HYPERLINK("https://www.boe.es/gazeta/dias/1802/01/15/pdfs/GMD-1802-5.pdf#page=8","Abrir facsímil")</f>
        <v>Abrir facsímil</v>
      </c>
      <c r="K5135" s="15" t="s">
        <v>23</v>
      </c>
    </row>
    <row r="5136" spans="1:11" ht="42" customHeight="1">
      <c r="A5136" s="4" t="s">
        <v>12576</v>
      </c>
      <c r="B5136" s="5" t="s">
        <v>12577</v>
      </c>
      <c r="C5136" s="5" t="s">
        <v>18</v>
      </c>
      <c r="D5136" s="5" t="s">
        <v>19</v>
      </c>
      <c r="E5136" s="5" t="s">
        <v>146</v>
      </c>
      <c r="F5136" s="9">
        <v>42</v>
      </c>
      <c r="G5136" s="9">
        <v>507</v>
      </c>
      <c r="H5136" s="5" t="s">
        <v>21</v>
      </c>
      <c r="I5136" s="5" t="s">
        <v>12578</v>
      </c>
      <c r="J5136" s="12" t="str">
        <f>HYPERLINK("https://www.boe.es/gazeta/dias/1802/05/25/pdfs/GMD-1802-42.pdf#page=11","Abrir facsímil")</f>
        <v>Abrir facsímil</v>
      </c>
      <c r="K5136" s="15" t="s">
        <v>23</v>
      </c>
    </row>
    <row r="5137" spans="1:11" ht="42" customHeight="1">
      <c r="A5137" s="4" t="s">
        <v>12573</v>
      </c>
      <c r="B5137" s="5" t="s">
        <v>12574</v>
      </c>
      <c r="C5137" s="5" t="s">
        <v>29</v>
      </c>
      <c r="D5137" s="5" t="s">
        <v>30</v>
      </c>
      <c r="E5137" s="5" t="s">
        <v>530</v>
      </c>
      <c r="F5137" s="9">
        <v>48</v>
      </c>
      <c r="G5137" s="9">
        <v>588</v>
      </c>
      <c r="H5137" s="5" t="s">
        <v>21</v>
      </c>
      <c r="I5137" s="5" t="s">
        <v>12579</v>
      </c>
      <c r="J5137" s="12" t="str">
        <f>HYPERLINK("https://www.boe.es/gazeta/dias/1802/06/15/pdfs/GMD-1802-48.pdf#page=12","Abrir facsímil")</f>
        <v>Abrir facsímil</v>
      </c>
      <c r="K5137" s="15" t="s">
        <v>23</v>
      </c>
    </row>
    <row r="5138" spans="1:11" ht="42" customHeight="1">
      <c r="A5138" s="4" t="s">
        <v>12580</v>
      </c>
      <c r="B5138" s="5" t="s">
        <v>12581</v>
      </c>
      <c r="C5138" s="5" t="s">
        <v>55</v>
      </c>
      <c r="D5138" s="5" t="s">
        <v>56</v>
      </c>
      <c r="E5138" s="5" t="s">
        <v>749</v>
      </c>
      <c r="F5138" s="9">
        <v>97</v>
      </c>
      <c r="G5138" s="9">
        <v>1204</v>
      </c>
      <c r="H5138" s="5" t="s">
        <v>21</v>
      </c>
      <c r="I5138" s="5" t="s">
        <v>12582</v>
      </c>
      <c r="J5138" s="12" t="str">
        <f>HYPERLINK("https://www.boe.es/gazeta/dias/1802/11/30/pdfs/GMD-1802-97.pdf#page=12","Abrir facsímil")</f>
        <v>Abrir facsímil</v>
      </c>
      <c r="K5138" s="15" t="s">
        <v>23</v>
      </c>
    </row>
    <row r="5139" spans="1:11" ht="42" customHeight="1">
      <c r="A5139" s="4" t="s">
        <v>12583</v>
      </c>
      <c r="B5139" s="5" t="s">
        <v>12584</v>
      </c>
      <c r="C5139" s="5" t="s">
        <v>29</v>
      </c>
      <c r="D5139" s="5" t="s">
        <v>30</v>
      </c>
      <c r="E5139" s="5" t="s">
        <v>1749</v>
      </c>
      <c r="F5139" s="9">
        <v>60</v>
      </c>
      <c r="G5139" s="9">
        <v>728</v>
      </c>
      <c r="H5139" s="5" t="s">
        <v>21</v>
      </c>
      <c r="I5139" s="5" t="s">
        <v>12585</v>
      </c>
      <c r="J5139" s="12" t="str">
        <f>HYPERLINK("https://www.boe.es/gazeta/dias/1802/07/23/pdfs/GMD-1802-60.pdf#page=12","Abrir facsímil")</f>
        <v>Abrir facsímil</v>
      </c>
      <c r="K5139" s="15" t="s">
        <v>23</v>
      </c>
    </row>
    <row r="5140" spans="1:11" ht="42" customHeight="1">
      <c r="A5140" s="4" t="s">
        <v>12586</v>
      </c>
      <c r="B5140" s="5" t="s">
        <v>12587</v>
      </c>
      <c r="C5140" s="5" t="s">
        <v>18</v>
      </c>
      <c r="D5140" s="5" t="s">
        <v>19</v>
      </c>
      <c r="E5140" s="5" t="s">
        <v>49</v>
      </c>
      <c r="F5140" s="9">
        <v>83</v>
      </c>
      <c r="G5140" s="9">
        <v>1025</v>
      </c>
      <c r="H5140" s="5" t="s">
        <v>21</v>
      </c>
      <c r="I5140" s="5" t="s">
        <v>12588</v>
      </c>
      <c r="J5140" s="12" t="str">
        <f>HYPERLINK("https://www.boe.es/gazeta/dias/1802/10/12/pdfs/GMD-1802-83.pdf#page=13","Abrir facsímil")</f>
        <v>Abrir facsímil</v>
      </c>
      <c r="K5140" s="15" t="s">
        <v>23</v>
      </c>
    </row>
    <row r="5141" spans="1:11" ht="42" customHeight="1">
      <c r="A5141" s="4" t="s">
        <v>12589</v>
      </c>
      <c r="B5141" s="5" t="s">
        <v>12590</v>
      </c>
      <c r="C5141" s="5" t="s">
        <v>18</v>
      </c>
      <c r="D5141" s="5" t="s">
        <v>19</v>
      </c>
      <c r="E5141" s="5" t="s">
        <v>49</v>
      </c>
      <c r="F5141" s="9">
        <v>83</v>
      </c>
      <c r="G5141" s="9">
        <v>1025</v>
      </c>
      <c r="H5141" s="5" t="s">
        <v>21</v>
      </c>
      <c r="I5141" s="5" t="s">
        <v>12591</v>
      </c>
      <c r="J5141" s="12" t="str">
        <f>HYPERLINK("https://www.boe.es/gazeta/dias/1802/10/12/pdfs/GMD-1802-83.pdf#page=13","Abrir facsímil")</f>
        <v>Abrir facsímil</v>
      </c>
      <c r="K5141" s="15" t="s">
        <v>23</v>
      </c>
    </row>
    <row r="5142" spans="1:11" ht="42" customHeight="1">
      <c r="A5142" s="4" t="s">
        <v>12592</v>
      </c>
      <c r="B5142" s="5" t="s">
        <v>12593</v>
      </c>
      <c r="C5142" s="5" t="s">
        <v>90</v>
      </c>
      <c r="D5142" s="5" t="s">
        <v>91</v>
      </c>
      <c r="E5142" s="5" t="s">
        <v>49</v>
      </c>
      <c r="F5142" s="9">
        <v>83</v>
      </c>
      <c r="G5142" s="9">
        <v>1027</v>
      </c>
      <c r="H5142" s="5" t="s">
        <v>21</v>
      </c>
      <c r="I5142" s="5" t="s">
        <v>12594</v>
      </c>
      <c r="J5142" s="12" t="str">
        <f>HYPERLINK("https://www.boe.es/gazeta/dias/1802/10/12/pdfs/GMD-1802-83.pdf#page=15","Abrir facsímil")</f>
        <v>Abrir facsímil</v>
      </c>
      <c r="K5142" s="15" t="s">
        <v>23</v>
      </c>
    </row>
    <row r="5143" spans="1:11" ht="42" customHeight="1">
      <c r="A5143" s="4" t="s">
        <v>12595</v>
      </c>
      <c r="B5143" s="5" t="s">
        <v>12596</v>
      </c>
      <c r="C5143" s="5" t="s">
        <v>42</v>
      </c>
      <c r="D5143" s="5" t="s">
        <v>43</v>
      </c>
      <c r="E5143" s="5" t="s">
        <v>44</v>
      </c>
      <c r="F5143" s="9">
        <v>99</v>
      </c>
      <c r="G5143" s="9" t="s">
        <v>779</v>
      </c>
      <c r="H5143" s="5" t="s">
        <v>21</v>
      </c>
      <c r="I5143" s="5" t="s">
        <v>12597</v>
      </c>
      <c r="J5143" s="12" t="str">
        <f>HYPERLINK("https://www.boe.es/gazeta/dias/1802/12/07/pdfs/GMD-D-1802-99.pdf#page=13","Abrir facsímil")</f>
        <v>Abrir facsímil</v>
      </c>
      <c r="K5143" s="15" t="s">
        <v>23</v>
      </c>
    </row>
    <row r="5144" spans="1:11" ht="42" customHeight="1">
      <c r="A5144" s="4" t="s">
        <v>12598</v>
      </c>
      <c r="B5144" s="5" t="s">
        <v>12599</v>
      </c>
      <c r="C5144" s="5" t="s">
        <v>29</v>
      </c>
      <c r="D5144" s="5" t="s">
        <v>30</v>
      </c>
      <c r="E5144" s="5" t="s">
        <v>900</v>
      </c>
      <c r="F5144" s="9">
        <v>16</v>
      </c>
      <c r="G5144" s="9">
        <v>161</v>
      </c>
      <c r="H5144" s="5" t="s">
        <v>21</v>
      </c>
      <c r="I5144" s="5" t="s">
        <v>12600</v>
      </c>
      <c r="J5144" s="12" t="str">
        <f>HYPERLINK("https://www.boe.es/gazeta/dias/1802/02/23/pdfs/GMD-1802-16.pdf#page=1","Abrir facsímil")</f>
        <v>Abrir facsímil</v>
      </c>
      <c r="K5144" s="15" t="s">
        <v>23</v>
      </c>
    </row>
    <row r="5145" spans="1:11" ht="42" customHeight="1">
      <c r="A5145" s="4" t="s">
        <v>12601</v>
      </c>
      <c r="B5145" s="5" t="s">
        <v>12602</v>
      </c>
      <c r="C5145" s="5" t="s">
        <v>35</v>
      </c>
      <c r="D5145" s="5" t="s">
        <v>36</v>
      </c>
      <c r="E5145" s="5" t="s">
        <v>389</v>
      </c>
      <c r="F5145" s="9">
        <v>96</v>
      </c>
      <c r="G5145" s="9">
        <v>1186</v>
      </c>
      <c r="H5145" s="5" t="s">
        <v>21</v>
      </c>
      <c r="I5145" s="5" t="s">
        <v>12603</v>
      </c>
      <c r="J5145" s="12" t="str">
        <f>HYPERLINK("https://www.boe.es/gazeta/dias/1802/11/26/pdfs/GMD-1802-96.pdf#page=6","Abrir facsímil")</f>
        <v>Abrir facsímil</v>
      </c>
      <c r="K5145" s="15" t="s">
        <v>23</v>
      </c>
    </row>
    <row r="5146" spans="1:11" ht="42" customHeight="1">
      <c r="A5146" s="4" t="s">
        <v>12604</v>
      </c>
      <c r="B5146" s="5" t="s">
        <v>12604</v>
      </c>
      <c r="C5146" s="5" t="s">
        <v>35</v>
      </c>
      <c r="D5146" s="5" t="s">
        <v>36</v>
      </c>
      <c r="E5146" s="5" t="s">
        <v>185</v>
      </c>
      <c r="F5146" s="9">
        <v>95</v>
      </c>
      <c r="G5146" s="9">
        <v>1172</v>
      </c>
      <c r="H5146" s="5" t="s">
        <v>21</v>
      </c>
      <c r="I5146" s="5" t="s">
        <v>12605</v>
      </c>
      <c r="J5146" s="12" t="str">
        <f>HYPERLINK("https://www.boe.es/gazeta/dias/1802/11/23/pdfs/GMD-1802-95.pdf#page=8","Abrir facsímil")</f>
        <v>Abrir facsímil</v>
      </c>
      <c r="K5146" s="15" t="s">
        <v>23</v>
      </c>
    </row>
    <row r="5147" spans="1:11" ht="42" customHeight="1">
      <c r="A5147" s="4" t="s">
        <v>12606</v>
      </c>
      <c r="B5147" s="5" t="s">
        <v>12606</v>
      </c>
      <c r="C5147" s="5" t="s">
        <v>35</v>
      </c>
      <c r="D5147" s="5" t="s">
        <v>36</v>
      </c>
      <c r="E5147" s="5" t="s">
        <v>172</v>
      </c>
      <c r="F5147" s="9">
        <v>35</v>
      </c>
      <c r="G5147" s="9">
        <v>412</v>
      </c>
      <c r="H5147" s="5" t="s">
        <v>21</v>
      </c>
      <c r="I5147" s="5" t="s">
        <v>12607</v>
      </c>
      <c r="J5147" s="12" t="str">
        <f>HYPERLINK("https://www.boe.es/gazeta/dias/1802/04/30/pdfs/GMD-1802-35.pdf#page=12","Abrir facsímil")</f>
        <v>Abrir facsímil</v>
      </c>
      <c r="K5147" s="15" t="s">
        <v>23</v>
      </c>
    </row>
    <row r="5148" spans="1:11" ht="42" customHeight="1">
      <c r="A5148" s="4" t="s">
        <v>12608</v>
      </c>
      <c r="B5148" s="5" t="s">
        <v>12608</v>
      </c>
      <c r="C5148" s="5" t="s">
        <v>29</v>
      </c>
      <c r="D5148" s="5" t="s">
        <v>30</v>
      </c>
      <c r="E5148" s="5" t="s">
        <v>92</v>
      </c>
      <c r="F5148" s="9">
        <v>29</v>
      </c>
      <c r="G5148" s="9">
        <v>335</v>
      </c>
      <c r="H5148" s="5" t="s">
        <v>21</v>
      </c>
      <c r="I5148" s="5" t="s">
        <v>12609</v>
      </c>
      <c r="J5148" s="12" t="str">
        <f>HYPERLINK("https://www.boe.es/gazeta/dias/1802/04/09/pdfs/GMD-1802-29.pdf#page=3","Abrir facsímil")</f>
        <v>Abrir facsímil</v>
      </c>
      <c r="K5148" s="15" t="s">
        <v>23</v>
      </c>
    </row>
    <row r="5149" spans="1:11" ht="42" customHeight="1">
      <c r="A5149" s="4" t="s">
        <v>12610</v>
      </c>
      <c r="B5149" s="5" t="s">
        <v>12611</v>
      </c>
      <c r="C5149" s="5" t="s">
        <v>42</v>
      </c>
      <c r="D5149" s="5" t="s">
        <v>43</v>
      </c>
      <c r="E5149" s="5" t="s">
        <v>44</v>
      </c>
      <c r="F5149" s="9">
        <v>99</v>
      </c>
      <c r="G5149" s="9" t="s">
        <v>548</v>
      </c>
      <c r="H5149" s="5" t="s">
        <v>21</v>
      </c>
      <c r="I5149" s="5" t="s">
        <v>12612</v>
      </c>
      <c r="J5149" s="12" t="str">
        <f>HYPERLINK("https://www.boe.es/gazeta/dias/1802/12/07/pdfs/GMD-D-1802-99.pdf#page=12","Abrir facsímil")</f>
        <v>Abrir facsímil</v>
      </c>
      <c r="K5149" s="15" t="s">
        <v>23</v>
      </c>
    </row>
    <row r="5150" spans="1:11" ht="42" customHeight="1">
      <c r="A5150" s="4" t="s">
        <v>12613</v>
      </c>
      <c r="B5150" s="5" t="s">
        <v>12613</v>
      </c>
      <c r="C5150" s="5" t="s">
        <v>29</v>
      </c>
      <c r="D5150" s="5" t="s">
        <v>30</v>
      </c>
      <c r="E5150" s="5" t="s">
        <v>49</v>
      </c>
      <c r="F5150" s="9">
        <v>83</v>
      </c>
      <c r="G5150" s="9">
        <v>1015</v>
      </c>
      <c r="H5150" s="5" t="s">
        <v>21</v>
      </c>
      <c r="I5150" s="5" t="s">
        <v>6861</v>
      </c>
      <c r="J5150" s="12" t="str">
        <f>HYPERLINK("https://www.boe.es/gazeta/dias/1802/10/12/pdfs/GMD-1802-83.pdf#page=3","Abrir facsímil")</f>
        <v>Abrir facsímil</v>
      </c>
      <c r="K5150" s="15" t="s">
        <v>23</v>
      </c>
    </row>
    <row r="5151" spans="1:11" ht="42" customHeight="1">
      <c r="A5151" s="4" t="s">
        <v>12614</v>
      </c>
      <c r="B5151" s="5" t="s">
        <v>12614</v>
      </c>
      <c r="C5151" s="5" t="s">
        <v>29</v>
      </c>
      <c r="D5151" s="5" t="s">
        <v>30</v>
      </c>
      <c r="E5151" s="5" t="s">
        <v>710</v>
      </c>
      <c r="F5151" s="9">
        <v>85</v>
      </c>
      <c r="G5151" s="9">
        <v>1053</v>
      </c>
      <c r="H5151" s="5" t="s">
        <v>21</v>
      </c>
      <c r="I5151" s="5" t="s">
        <v>12615</v>
      </c>
      <c r="J5151" s="12" t="str">
        <f>HYPERLINK("https://www.boe.es/gazeta/dias/1802/10/19/pdfs/GMD-1802-85.pdf#page=5","Abrir facsímil")</f>
        <v>Abrir facsímil</v>
      </c>
      <c r="K5151" s="15" t="s">
        <v>23</v>
      </c>
    </row>
    <row r="5152" spans="1:11" ht="42" customHeight="1">
      <c r="A5152" s="4" t="s">
        <v>12616</v>
      </c>
      <c r="B5152" s="5" t="s">
        <v>12617</v>
      </c>
      <c r="C5152" s="5" t="s">
        <v>55</v>
      </c>
      <c r="D5152" s="5" t="s">
        <v>56</v>
      </c>
      <c r="E5152" s="5" t="s">
        <v>751</v>
      </c>
      <c r="F5152" s="9">
        <v>98</v>
      </c>
      <c r="G5152" s="9">
        <v>1216</v>
      </c>
      <c r="H5152" s="5" t="s">
        <v>21</v>
      </c>
      <c r="I5152" s="5" t="s">
        <v>12618</v>
      </c>
      <c r="J5152" s="12" t="str">
        <f>HYPERLINK("https://www.boe.es/gazeta/dias/1802/12/03/pdfs/GMD-1802-98.pdf#page=12","Abrir facsímil")</f>
        <v>Abrir facsímil</v>
      </c>
      <c r="K5152" s="15" t="s">
        <v>23</v>
      </c>
    </row>
    <row r="5153" spans="1:11" ht="42" customHeight="1">
      <c r="A5153" s="4" t="s">
        <v>12619</v>
      </c>
      <c r="B5153" s="5" t="s">
        <v>12620</v>
      </c>
      <c r="C5153" s="5" t="s">
        <v>29</v>
      </c>
      <c r="D5153" s="5" t="s">
        <v>30</v>
      </c>
      <c r="E5153" s="5" t="s">
        <v>714</v>
      </c>
      <c r="F5153" s="9">
        <v>89</v>
      </c>
      <c r="G5153" s="9">
        <v>1107</v>
      </c>
      <c r="H5153" s="5" t="s">
        <v>21</v>
      </c>
      <c r="I5153" s="5" t="s">
        <v>12621</v>
      </c>
      <c r="J5153" s="12" t="str">
        <f>HYPERLINK("https://www.boe.es/gazeta/dias/1802/11/02/pdfs/GMD-1802-89.pdf#page=11","Abrir facsímil")</f>
        <v>Abrir facsímil</v>
      </c>
      <c r="K5153" s="15" t="s">
        <v>23</v>
      </c>
    </row>
    <row r="5154" spans="1:11" ht="42" customHeight="1">
      <c r="A5154" s="4" t="s">
        <v>12622</v>
      </c>
      <c r="B5154" s="5" t="s">
        <v>12623</v>
      </c>
      <c r="C5154" s="5" t="s">
        <v>18</v>
      </c>
      <c r="D5154" s="5" t="s">
        <v>19</v>
      </c>
      <c r="E5154" s="5" t="s">
        <v>49</v>
      </c>
      <c r="F5154" s="9">
        <v>83</v>
      </c>
      <c r="G5154" s="9">
        <v>1024</v>
      </c>
      <c r="H5154" s="5" t="s">
        <v>21</v>
      </c>
      <c r="I5154" s="5" t="s">
        <v>12624</v>
      </c>
      <c r="J5154" s="12" t="str">
        <f>HYPERLINK("https://www.boe.es/gazeta/dias/1802/10/12/pdfs/GMD-1802-83.pdf#page=12","Abrir facsímil")</f>
        <v>Abrir facsímil</v>
      </c>
      <c r="K5154" s="15" t="s">
        <v>23</v>
      </c>
    </row>
    <row r="5155" spans="1:11" ht="42" customHeight="1">
      <c r="A5155" s="4" t="s">
        <v>12625</v>
      </c>
      <c r="B5155" s="5" t="s">
        <v>12626</v>
      </c>
      <c r="C5155" s="5" t="s">
        <v>35</v>
      </c>
      <c r="D5155" s="5" t="s">
        <v>36</v>
      </c>
      <c r="E5155" s="5" t="s">
        <v>86</v>
      </c>
      <c r="F5155" s="9">
        <v>26</v>
      </c>
      <c r="G5155" s="9">
        <v>296</v>
      </c>
      <c r="H5155" s="5" t="s">
        <v>21</v>
      </c>
      <c r="I5155" s="5" t="s">
        <v>12627</v>
      </c>
      <c r="J5155" s="12" t="str">
        <f>HYPERLINK("https://www.boe.es/gazeta/dias/1802/03/30/pdfs/GMD-1802-26.pdf#page=8","Abrir facsímil")</f>
        <v>Abrir facsímil</v>
      </c>
      <c r="K5155" s="15" t="s">
        <v>23</v>
      </c>
    </row>
    <row r="5156" spans="1:11" ht="42" customHeight="1">
      <c r="A5156" s="4" t="s">
        <v>12628</v>
      </c>
      <c r="B5156" s="5" t="s">
        <v>12629</v>
      </c>
      <c r="C5156" s="5" t="s">
        <v>18</v>
      </c>
      <c r="D5156" s="5" t="s">
        <v>19</v>
      </c>
      <c r="E5156" s="5" t="s">
        <v>49</v>
      </c>
      <c r="F5156" s="9">
        <v>83</v>
      </c>
      <c r="G5156" s="9">
        <v>1023</v>
      </c>
      <c r="H5156" s="5" t="s">
        <v>21</v>
      </c>
      <c r="I5156" s="5" t="s">
        <v>12630</v>
      </c>
      <c r="J5156" s="12" t="str">
        <f>HYPERLINK("https://www.boe.es/gazeta/dias/1802/10/12/pdfs/GMD-1802-83.pdf#page=11","Abrir facsímil")</f>
        <v>Abrir facsímil</v>
      </c>
      <c r="K5156" s="15" t="s">
        <v>23</v>
      </c>
    </row>
    <row r="5157" spans="1:11" ht="42" customHeight="1">
      <c r="A5157" s="4" t="s">
        <v>12631</v>
      </c>
      <c r="B5157" s="5" t="s">
        <v>12632</v>
      </c>
      <c r="C5157" s="5" t="s">
        <v>29</v>
      </c>
      <c r="D5157" s="5" t="s">
        <v>30</v>
      </c>
      <c r="E5157" s="5" t="s">
        <v>152</v>
      </c>
      <c r="F5157" s="9">
        <v>25</v>
      </c>
      <c r="G5157" s="9">
        <v>286</v>
      </c>
      <c r="H5157" s="5" t="s">
        <v>21</v>
      </c>
      <c r="I5157" s="5" t="s">
        <v>12633</v>
      </c>
      <c r="J5157" s="12" t="str">
        <f>HYPERLINK("https://www.boe.es/gazeta/dias/1802/03/26/pdfs/GMD-1802-25.pdf#page=10","Abrir facsímil")</f>
        <v>Abrir facsímil</v>
      </c>
      <c r="K5157" s="15" t="s">
        <v>23</v>
      </c>
    </row>
    <row r="5158" spans="1:11" ht="42" customHeight="1">
      <c r="A5158" s="4" t="s">
        <v>12634</v>
      </c>
      <c r="B5158" s="5" t="s">
        <v>12634</v>
      </c>
      <c r="C5158" s="5" t="s">
        <v>35</v>
      </c>
      <c r="D5158" s="5" t="s">
        <v>36</v>
      </c>
      <c r="E5158" s="5" t="s">
        <v>183</v>
      </c>
      <c r="F5158" s="9">
        <v>56</v>
      </c>
      <c r="G5158" s="9">
        <v>673</v>
      </c>
      <c r="H5158" s="5" t="s">
        <v>21</v>
      </c>
      <c r="I5158" s="5" t="s">
        <v>12635</v>
      </c>
      <c r="J5158" s="12" t="str">
        <f>HYPERLINK("https://www.boe.es/gazeta/dias/1802/07/13/pdfs/GMD-1802-56.pdf#page=5","Abrir facsímil")</f>
        <v>Abrir facsímil</v>
      </c>
      <c r="K5158" s="15" t="s">
        <v>23</v>
      </c>
    </row>
    <row r="5159" spans="1:11" ht="42" customHeight="1">
      <c r="A5159" s="4" t="s">
        <v>12636</v>
      </c>
      <c r="B5159" s="5" t="s">
        <v>12637</v>
      </c>
      <c r="C5159" s="5" t="s">
        <v>18</v>
      </c>
      <c r="D5159" s="5" t="s">
        <v>19</v>
      </c>
      <c r="E5159" s="5" t="s">
        <v>128</v>
      </c>
      <c r="F5159" s="9">
        <v>9</v>
      </c>
      <c r="G5159" s="9">
        <v>85</v>
      </c>
      <c r="H5159" s="5" t="s">
        <v>21</v>
      </c>
      <c r="I5159" s="5" t="s">
        <v>12638</v>
      </c>
      <c r="J5159" s="12" t="str">
        <f>HYPERLINK("https://www.boe.es/gazeta/dias/1802/01/29/pdfs/GMD-1802-9.pdf#page=5","Abrir facsímil")</f>
        <v>Abrir facsímil</v>
      </c>
      <c r="K5159" s="15" t="s">
        <v>23</v>
      </c>
    </row>
    <row r="5160" spans="1:11" ht="42" customHeight="1">
      <c r="A5160" s="4" t="s">
        <v>12639</v>
      </c>
      <c r="B5160" s="5" t="s">
        <v>12640</v>
      </c>
      <c r="C5160" s="5" t="s">
        <v>35</v>
      </c>
      <c r="D5160" s="5" t="s">
        <v>36</v>
      </c>
      <c r="E5160" s="5" t="s">
        <v>381</v>
      </c>
      <c r="F5160" s="9">
        <v>13</v>
      </c>
      <c r="G5160" s="9">
        <v>129</v>
      </c>
      <c r="H5160" s="5" t="s">
        <v>21</v>
      </c>
      <c r="I5160" s="5" t="s">
        <v>12641</v>
      </c>
      <c r="J5160" s="12" t="str">
        <f>HYPERLINK("https://www.boe.es/gazeta/dias/1802/02/12/pdfs/GMD-1802-13.pdf#page=5","Abrir facsímil")</f>
        <v>Abrir facsímil</v>
      </c>
      <c r="K5160" s="15" t="s">
        <v>23</v>
      </c>
    </row>
    <row r="5161" spans="1:11" ht="42" customHeight="1">
      <c r="A5161" s="4" t="s">
        <v>12642</v>
      </c>
      <c r="B5161" s="5" t="s">
        <v>12643</v>
      </c>
      <c r="C5161" s="5" t="s">
        <v>55</v>
      </c>
      <c r="D5161" s="5" t="s">
        <v>56</v>
      </c>
      <c r="E5161" s="5" t="s">
        <v>31</v>
      </c>
      <c r="F5161" s="9">
        <v>27</v>
      </c>
      <c r="G5161" s="9">
        <v>320</v>
      </c>
      <c r="H5161" s="5" t="s">
        <v>21</v>
      </c>
      <c r="I5161" s="5" t="s">
        <v>12644</v>
      </c>
      <c r="J5161" s="12" t="str">
        <f>HYPERLINK("https://www.boe.es/gazeta/dias/1802/04/02/pdfs/GMD-1802-27.pdf#page=16","Abrir facsímil")</f>
        <v>Abrir facsímil</v>
      </c>
      <c r="K5161" s="15" t="s">
        <v>23</v>
      </c>
    </row>
    <row r="5162" spans="1:11" ht="42" customHeight="1">
      <c r="A5162" s="4" t="s">
        <v>12645</v>
      </c>
      <c r="B5162" s="5" t="s">
        <v>12646</v>
      </c>
      <c r="C5162" s="5" t="s">
        <v>55</v>
      </c>
      <c r="D5162" s="5" t="s">
        <v>56</v>
      </c>
      <c r="E5162" s="5" t="s">
        <v>749</v>
      </c>
      <c r="F5162" s="9">
        <v>97</v>
      </c>
      <c r="G5162" s="9">
        <v>1204</v>
      </c>
      <c r="H5162" s="5" t="s">
        <v>21</v>
      </c>
      <c r="I5162" s="5" t="s">
        <v>12647</v>
      </c>
      <c r="J5162" s="12" t="str">
        <f>HYPERLINK("https://www.boe.es/gazeta/dias/1802/11/30/pdfs/GMD-1802-97.pdf#page=12","Abrir facsímil")</f>
        <v>Abrir facsímil</v>
      </c>
      <c r="K5162" s="15" t="s">
        <v>23</v>
      </c>
    </row>
    <row r="5163" spans="1:11" ht="42" customHeight="1">
      <c r="A5163" s="4" t="s">
        <v>12648</v>
      </c>
      <c r="B5163" s="5" t="s">
        <v>12649</v>
      </c>
      <c r="C5163" s="5" t="s">
        <v>160</v>
      </c>
      <c r="D5163" s="5" t="s">
        <v>91</v>
      </c>
      <c r="E5163" s="5" t="s">
        <v>900</v>
      </c>
      <c r="F5163" s="9">
        <v>16</v>
      </c>
      <c r="G5163" s="9">
        <v>170</v>
      </c>
      <c r="H5163" s="5" t="s">
        <v>21</v>
      </c>
      <c r="I5163" s="5" t="s">
        <v>12650</v>
      </c>
      <c r="J5163" s="12" t="str">
        <f>HYPERLINK("https://www.boe.es/gazeta/dias/1802/02/23/pdfs/GMD-1802-16.pdf#page=10","Abrir facsímil")</f>
        <v>Abrir facsímil</v>
      </c>
      <c r="K5163" s="15" t="s">
        <v>23</v>
      </c>
    </row>
    <row r="5164" spans="1:11" ht="42" customHeight="1">
      <c r="A5164" s="4" t="s">
        <v>12651</v>
      </c>
      <c r="B5164" s="5" t="s">
        <v>12652</v>
      </c>
      <c r="C5164" s="5" t="s">
        <v>90</v>
      </c>
      <c r="D5164" s="5" t="s">
        <v>91</v>
      </c>
      <c r="E5164" s="5" t="s">
        <v>642</v>
      </c>
      <c r="F5164" s="9">
        <v>51</v>
      </c>
      <c r="G5164" s="9">
        <v>623</v>
      </c>
      <c r="H5164" s="5" t="s">
        <v>21</v>
      </c>
      <c r="I5164" s="5" t="s">
        <v>12653</v>
      </c>
      <c r="J5164" s="12" t="str">
        <f>HYPERLINK("https://www.boe.es/gazeta/dias/1802/06/25/pdfs/GMD-1802-51.pdf#page=11","Abrir facsímil")</f>
        <v>Abrir facsímil</v>
      </c>
      <c r="K5164" s="15" t="s">
        <v>23</v>
      </c>
    </row>
    <row r="5165" spans="1:11" ht="42" customHeight="1">
      <c r="A5165" s="4" t="s">
        <v>12651</v>
      </c>
      <c r="B5165" s="5" t="s">
        <v>12652</v>
      </c>
      <c r="C5165" s="5" t="s">
        <v>90</v>
      </c>
      <c r="D5165" s="5" t="s">
        <v>91</v>
      </c>
      <c r="E5165" s="5" t="s">
        <v>749</v>
      </c>
      <c r="F5165" s="9">
        <v>97</v>
      </c>
      <c r="G5165" s="9">
        <v>1203</v>
      </c>
      <c r="H5165" s="5" t="s">
        <v>21</v>
      </c>
      <c r="I5165" s="5" t="s">
        <v>12654</v>
      </c>
      <c r="J5165" s="12" t="str">
        <f>HYPERLINK("https://www.boe.es/gazeta/dias/1802/11/30/pdfs/GMD-1802-97.pdf#page=11","Abrir facsímil")</f>
        <v>Abrir facsímil</v>
      </c>
      <c r="K5165" s="15" t="s">
        <v>23</v>
      </c>
    </row>
    <row r="5166" spans="1:11" ht="42" customHeight="1">
      <c r="A5166" s="4" t="s">
        <v>12651</v>
      </c>
      <c r="B5166" s="5" t="s">
        <v>12652</v>
      </c>
      <c r="C5166" s="5" t="s">
        <v>90</v>
      </c>
      <c r="D5166" s="5" t="s">
        <v>91</v>
      </c>
      <c r="E5166" s="5" t="s">
        <v>749</v>
      </c>
      <c r="F5166" s="9">
        <v>97</v>
      </c>
      <c r="G5166" s="9">
        <v>1204</v>
      </c>
      <c r="H5166" s="5" t="s">
        <v>21</v>
      </c>
      <c r="I5166" s="5" t="s">
        <v>12655</v>
      </c>
      <c r="J5166" s="12" t="str">
        <f>HYPERLINK("https://www.boe.es/gazeta/dias/1802/11/30/pdfs/GMD-1802-97.pdf#page=12","Abrir facsímil")</f>
        <v>Abrir facsímil</v>
      </c>
      <c r="K5166" s="15" t="s">
        <v>23</v>
      </c>
    </row>
    <row r="5167" spans="1:11" ht="42" customHeight="1">
      <c r="A5167" s="4" t="s">
        <v>12656</v>
      </c>
      <c r="B5167" s="5" t="s">
        <v>12657</v>
      </c>
      <c r="C5167" s="5" t="s">
        <v>90</v>
      </c>
      <c r="D5167" s="5" t="s">
        <v>91</v>
      </c>
      <c r="E5167" s="5" t="s">
        <v>1264</v>
      </c>
      <c r="F5167" s="9">
        <v>105</v>
      </c>
      <c r="G5167" s="9">
        <v>1287</v>
      </c>
      <c r="H5167" s="5" t="s">
        <v>21</v>
      </c>
      <c r="I5167" s="5" t="s">
        <v>12658</v>
      </c>
      <c r="J5167" s="12" t="str">
        <f>HYPERLINK("https://www.boe.es/gazeta/dias/1802/12/28/pdfs/GMD-1802-105.pdf#page=11","Abrir facsímil")</f>
        <v>Abrir facsímil</v>
      </c>
      <c r="K5167" s="15" t="s">
        <v>23</v>
      </c>
    </row>
    <row r="5168" spans="1:11" ht="42" customHeight="1">
      <c r="A5168" s="4" t="s">
        <v>12659</v>
      </c>
      <c r="B5168" s="5" t="s">
        <v>12660</v>
      </c>
      <c r="C5168" s="5" t="s">
        <v>29</v>
      </c>
      <c r="D5168" s="5" t="s">
        <v>30</v>
      </c>
      <c r="E5168" s="5" t="s">
        <v>31</v>
      </c>
      <c r="F5168" s="9">
        <v>27</v>
      </c>
      <c r="G5168" s="9">
        <v>317</v>
      </c>
      <c r="H5168" s="5" t="s">
        <v>21</v>
      </c>
      <c r="I5168" s="5" t="s">
        <v>12661</v>
      </c>
      <c r="J5168" s="12" t="str">
        <f>HYPERLINK("https://www.boe.es/gazeta/dias/1802/04/02/pdfs/GMD-1802-27.pdf#page=13","Abrir facsímil")</f>
        <v>Abrir facsímil</v>
      </c>
      <c r="K5168" s="15" t="s">
        <v>23</v>
      </c>
    </row>
    <row r="5169" spans="1:11" ht="42" customHeight="1">
      <c r="A5169" s="4" t="s">
        <v>12662</v>
      </c>
      <c r="B5169" s="5" t="s">
        <v>12663</v>
      </c>
      <c r="C5169" s="5" t="s">
        <v>18</v>
      </c>
      <c r="D5169" s="5" t="s">
        <v>19</v>
      </c>
      <c r="E5169" s="5" t="s">
        <v>49</v>
      </c>
      <c r="F5169" s="9">
        <v>83</v>
      </c>
      <c r="G5169" s="9">
        <v>1022</v>
      </c>
      <c r="H5169" s="5" t="s">
        <v>21</v>
      </c>
      <c r="I5169" s="5" t="s">
        <v>12664</v>
      </c>
      <c r="J5169" s="12" t="str">
        <f>HYPERLINK("https://www.boe.es/gazeta/dias/1802/10/12/pdfs/GMD-1802-83.pdf#page=10","Abrir facsímil")</f>
        <v>Abrir facsímil</v>
      </c>
      <c r="K5169" s="15" t="s">
        <v>23</v>
      </c>
    </row>
    <row r="5170" spans="1:11" ht="42" customHeight="1">
      <c r="A5170" s="4" t="s">
        <v>12665</v>
      </c>
      <c r="B5170" s="5" t="s">
        <v>12666</v>
      </c>
      <c r="C5170" s="5" t="s">
        <v>42</v>
      </c>
      <c r="D5170" s="5" t="s">
        <v>43</v>
      </c>
      <c r="E5170" s="5" t="s">
        <v>44</v>
      </c>
      <c r="F5170" s="9">
        <v>99</v>
      </c>
      <c r="G5170" s="9" t="s">
        <v>222</v>
      </c>
      <c r="H5170" s="5" t="s">
        <v>21</v>
      </c>
      <c r="I5170" s="5" t="s">
        <v>12667</v>
      </c>
      <c r="J5170" s="12" t="str">
        <f>HYPERLINK("https://www.boe.es/gazeta/dias/1802/12/07/pdfs/GMD-D-1802-99.pdf#page=5","Abrir facsímil")</f>
        <v>Abrir facsímil</v>
      </c>
      <c r="K5170" s="15" t="s">
        <v>23</v>
      </c>
    </row>
    <row r="5171" spans="1:11" ht="42" customHeight="1">
      <c r="A5171" s="4" t="s">
        <v>12668</v>
      </c>
      <c r="B5171" s="5" t="s">
        <v>12669</v>
      </c>
      <c r="C5171" s="5" t="s">
        <v>29</v>
      </c>
      <c r="D5171" s="5" t="s">
        <v>30</v>
      </c>
      <c r="E5171" s="5" t="s">
        <v>1097</v>
      </c>
      <c r="F5171" s="9">
        <v>20</v>
      </c>
      <c r="G5171" s="9">
        <v>222</v>
      </c>
      <c r="H5171" s="5" t="s">
        <v>21</v>
      </c>
      <c r="I5171" s="5" t="s">
        <v>12670</v>
      </c>
      <c r="J5171" s="12" t="str">
        <f>HYPERLINK("https://www.boe.es/gazeta/dias/1802/03/09/pdfs/GMD-1802-20.pdf#page=10","Abrir facsímil")</f>
        <v>Abrir facsímil</v>
      </c>
      <c r="K5171" s="15" t="s">
        <v>23</v>
      </c>
    </row>
    <row r="5172" spans="1:11" ht="42" customHeight="1">
      <c r="A5172" s="4" t="s">
        <v>12671</v>
      </c>
      <c r="B5172" s="5" t="s">
        <v>12672</v>
      </c>
      <c r="C5172" s="5" t="s">
        <v>18</v>
      </c>
      <c r="D5172" s="5" t="s">
        <v>19</v>
      </c>
      <c r="E5172" s="5" t="s">
        <v>20</v>
      </c>
      <c r="F5172" s="9">
        <v>84</v>
      </c>
      <c r="G5172" s="9">
        <v>1046</v>
      </c>
      <c r="H5172" s="5" t="s">
        <v>21</v>
      </c>
      <c r="I5172" s="5" t="s">
        <v>12673</v>
      </c>
      <c r="J5172" s="12" t="str">
        <f>HYPERLINK("https://www.boe.es/gazeta/dias/1802/10/15/pdfs/GMD-1802-84.pdf#page=14","Abrir facsímil")</f>
        <v>Abrir facsímil</v>
      </c>
      <c r="K5172" s="15" t="s">
        <v>23</v>
      </c>
    </row>
    <row r="5173" spans="1:11" ht="42" customHeight="1">
      <c r="A5173" s="4" t="s">
        <v>12674</v>
      </c>
      <c r="B5173" s="5" t="s">
        <v>12675</v>
      </c>
      <c r="C5173" s="5" t="s">
        <v>90</v>
      </c>
      <c r="D5173" s="5" t="s">
        <v>91</v>
      </c>
      <c r="E5173" s="5" t="s">
        <v>436</v>
      </c>
      <c r="F5173" s="9">
        <v>58</v>
      </c>
      <c r="G5173" s="9">
        <v>701</v>
      </c>
      <c r="H5173" s="5" t="s">
        <v>21</v>
      </c>
      <c r="I5173" s="5" t="s">
        <v>12676</v>
      </c>
      <c r="J5173" s="12" t="str">
        <f>HYPERLINK("https://www.boe.es/gazeta/dias/1802/07/20/pdfs/GMD-1802-58.pdf#page=9","Abrir facsímil")</f>
        <v>Abrir facsímil</v>
      </c>
      <c r="K5173" s="15" t="s">
        <v>23</v>
      </c>
    </row>
    <row r="5174" spans="1:11" ht="42" customHeight="1">
      <c r="A5174" s="4" t="s">
        <v>12677</v>
      </c>
      <c r="B5174" s="5" t="s">
        <v>12678</v>
      </c>
      <c r="C5174" s="5" t="s">
        <v>29</v>
      </c>
      <c r="D5174" s="5" t="s">
        <v>30</v>
      </c>
      <c r="E5174" s="5" t="s">
        <v>73</v>
      </c>
      <c r="F5174" s="9">
        <v>102</v>
      </c>
      <c r="G5174" s="9">
        <v>1254</v>
      </c>
      <c r="H5174" s="5" t="s">
        <v>21</v>
      </c>
      <c r="I5174" s="5" t="s">
        <v>12679</v>
      </c>
      <c r="J5174" s="12" t="str">
        <f>HYPERLINK("https://www.boe.es/gazeta/dias/1802/12/17/pdfs/GMD-1802-102.pdf#page=10","Abrir facsímil")</f>
        <v>Abrir facsímil</v>
      </c>
      <c r="K5174" s="15" t="s">
        <v>23</v>
      </c>
    </row>
    <row r="5175" spans="1:11" ht="42" customHeight="1">
      <c r="A5175" s="4" t="s">
        <v>12680</v>
      </c>
      <c r="B5175" s="5" t="s">
        <v>12681</v>
      </c>
      <c r="C5175" s="5" t="s">
        <v>29</v>
      </c>
      <c r="D5175" s="5" t="s">
        <v>30</v>
      </c>
      <c r="E5175" s="5" t="s">
        <v>1097</v>
      </c>
      <c r="F5175" s="9">
        <v>20</v>
      </c>
      <c r="G5175" s="9">
        <v>222</v>
      </c>
      <c r="H5175" s="5" t="s">
        <v>21</v>
      </c>
      <c r="I5175" s="5" t="s">
        <v>12682</v>
      </c>
      <c r="J5175" s="12" t="str">
        <f>HYPERLINK("https://www.boe.es/gazeta/dias/1802/03/09/pdfs/GMD-1802-20.pdf#page=10","Abrir facsímil")</f>
        <v>Abrir facsímil</v>
      </c>
      <c r="K5175" s="15" t="s">
        <v>23</v>
      </c>
    </row>
    <row r="5176" spans="1:11" ht="42" customHeight="1">
      <c r="A5176" s="4" t="s">
        <v>12683</v>
      </c>
      <c r="B5176" s="5" t="s">
        <v>12684</v>
      </c>
      <c r="C5176" s="5" t="s">
        <v>29</v>
      </c>
      <c r="D5176" s="5" t="s">
        <v>30</v>
      </c>
      <c r="E5176" s="5" t="s">
        <v>299</v>
      </c>
      <c r="F5176" s="9">
        <v>19</v>
      </c>
      <c r="G5176" s="9">
        <v>210</v>
      </c>
      <c r="H5176" s="5" t="s">
        <v>21</v>
      </c>
      <c r="I5176" s="5" t="s">
        <v>12685</v>
      </c>
      <c r="J5176" s="12" t="str">
        <f>HYPERLINK("https://www.boe.es/gazeta/dias/1802/03/05/pdfs/GMD-1802-19.pdf#page=10","Abrir facsímil")</f>
        <v>Abrir facsímil</v>
      </c>
      <c r="K5176" s="15" t="s">
        <v>23</v>
      </c>
    </row>
    <row r="5177" spans="1:11" ht="42" customHeight="1">
      <c r="A5177" s="4" t="s">
        <v>12686</v>
      </c>
      <c r="B5177" s="5" t="s">
        <v>12686</v>
      </c>
      <c r="C5177" s="5" t="s">
        <v>18</v>
      </c>
      <c r="D5177" s="5" t="s">
        <v>19</v>
      </c>
      <c r="E5177" s="5" t="s">
        <v>530</v>
      </c>
      <c r="F5177" s="9">
        <v>48</v>
      </c>
      <c r="G5177" s="9">
        <v>584</v>
      </c>
      <c r="H5177" s="5" t="s">
        <v>21</v>
      </c>
      <c r="I5177" s="5" t="s">
        <v>12687</v>
      </c>
      <c r="J5177" s="12" t="str">
        <f>HYPERLINK("https://www.boe.es/gazeta/dias/1802/06/15/pdfs/GMD-1802-48.pdf#page=8","Abrir facsímil")</f>
        <v>Abrir facsímil</v>
      </c>
      <c r="K5177" s="15" t="s">
        <v>23</v>
      </c>
    </row>
    <row r="5178" spans="1:11" ht="42" customHeight="1">
      <c r="A5178" s="4" t="s">
        <v>12688</v>
      </c>
      <c r="B5178" s="5" t="s">
        <v>12689</v>
      </c>
      <c r="C5178" s="5" t="s">
        <v>35</v>
      </c>
      <c r="D5178" s="5" t="s">
        <v>36</v>
      </c>
      <c r="E5178" s="5" t="s">
        <v>1374</v>
      </c>
      <c r="F5178" s="9">
        <v>71</v>
      </c>
      <c r="G5178" s="9">
        <v>872</v>
      </c>
      <c r="H5178" s="5" t="s">
        <v>21</v>
      </c>
      <c r="I5178" s="5" t="s">
        <v>12690</v>
      </c>
      <c r="J5178" s="12" t="str">
        <f>HYPERLINK("https://www.boe.es/gazeta/dias/1802/08/31/pdfs/GMD-1802-71.pdf#page=8","Abrir facsímil")</f>
        <v>Abrir facsímil</v>
      </c>
      <c r="K5178" s="15" t="s">
        <v>23</v>
      </c>
    </row>
    <row r="5179" spans="1:11" ht="42" customHeight="1">
      <c r="A5179" s="4" t="s">
        <v>12691</v>
      </c>
      <c r="B5179" s="5" t="s">
        <v>12692</v>
      </c>
      <c r="C5179" s="5" t="s">
        <v>18</v>
      </c>
      <c r="D5179" s="5" t="s">
        <v>19</v>
      </c>
      <c r="E5179" s="5" t="s">
        <v>49</v>
      </c>
      <c r="F5179" s="9">
        <v>83</v>
      </c>
      <c r="G5179" s="9">
        <v>1025</v>
      </c>
      <c r="H5179" s="5" t="s">
        <v>21</v>
      </c>
      <c r="I5179" s="5" t="s">
        <v>12693</v>
      </c>
      <c r="J5179" s="12" t="str">
        <f>HYPERLINK("https://www.boe.es/gazeta/dias/1802/10/12/pdfs/GMD-1802-83.pdf#page=13","Abrir facsímil")</f>
        <v>Abrir facsímil</v>
      </c>
      <c r="K5179" s="15" t="s">
        <v>23</v>
      </c>
    </row>
    <row r="5180" spans="1:11" ht="42" customHeight="1">
      <c r="A5180" s="4" t="s">
        <v>12694</v>
      </c>
      <c r="B5180" s="5" t="s">
        <v>12695</v>
      </c>
      <c r="C5180" s="5" t="s">
        <v>18</v>
      </c>
      <c r="D5180" s="5" t="s">
        <v>19</v>
      </c>
      <c r="E5180" s="5" t="s">
        <v>128</v>
      </c>
      <c r="F5180" s="9">
        <v>9</v>
      </c>
      <c r="G5180" s="9">
        <v>85</v>
      </c>
      <c r="H5180" s="5" t="s">
        <v>21</v>
      </c>
      <c r="I5180" s="5" t="s">
        <v>12696</v>
      </c>
      <c r="J5180" s="12" t="str">
        <f>HYPERLINK("https://www.boe.es/gazeta/dias/1802/01/29/pdfs/GMD-1802-9.pdf#page=5","Abrir facsímil")</f>
        <v>Abrir facsímil</v>
      </c>
      <c r="K5180" s="15" t="s">
        <v>23</v>
      </c>
    </row>
    <row r="5181" spans="1:11" ht="42" customHeight="1">
      <c r="A5181" s="4" t="s">
        <v>12694</v>
      </c>
      <c r="B5181" s="5" t="s">
        <v>12695</v>
      </c>
      <c r="C5181" s="5" t="s">
        <v>35</v>
      </c>
      <c r="D5181" s="5" t="s">
        <v>36</v>
      </c>
      <c r="E5181" s="5" t="s">
        <v>1381</v>
      </c>
      <c r="F5181" s="9">
        <v>17</v>
      </c>
      <c r="G5181" s="9">
        <v>180</v>
      </c>
      <c r="H5181" s="5" t="s">
        <v>21</v>
      </c>
      <c r="I5181" s="5" t="s">
        <v>12697</v>
      </c>
      <c r="J5181" s="12" t="str">
        <f>HYPERLINK("https://www.boe.es/gazeta/dias/1802/02/26/pdfs/GMD-1802-17.pdf#page=4","Abrir facsímil")</f>
        <v>Abrir facsímil</v>
      </c>
      <c r="K5181" s="15" t="s">
        <v>23</v>
      </c>
    </row>
    <row r="5182" spans="1:11" ht="42" customHeight="1">
      <c r="A5182" s="4" t="s">
        <v>12694</v>
      </c>
      <c r="B5182" s="5" t="s">
        <v>12695</v>
      </c>
      <c r="C5182" s="5" t="s">
        <v>29</v>
      </c>
      <c r="D5182" s="5" t="s">
        <v>30</v>
      </c>
      <c r="E5182" s="5" t="s">
        <v>232</v>
      </c>
      <c r="F5182" s="9">
        <v>30</v>
      </c>
      <c r="G5182" s="9">
        <v>348</v>
      </c>
      <c r="H5182" s="5" t="s">
        <v>21</v>
      </c>
      <c r="I5182" s="5" t="s">
        <v>12698</v>
      </c>
      <c r="J5182" s="12" t="str">
        <f>HYPERLINK("https://www.boe.es/gazeta/dias/1802/04/13/pdfs/GMD-1802-30.pdf#page=4","Abrir facsímil")</f>
        <v>Abrir facsímil</v>
      </c>
      <c r="K5182" s="15" t="s">
        <v>23</v>
      </c>
    </row>
    <row r="5183" spans="1:11" ht="42" customHeight="1">
      <c r="A5183" s="4" t="s">
        <v>12694</v>
      </c>
      <c r="B5183" s="5" t="s">
        <v>12695</v>
      </c>
      <c r="C5183" s="5" t="s">
        <v>29</v>
      </c>
      <c r="D5183" s="5" t="s">
        <v>30</v>
      </c>
      <c r="E5183" s="5" t="s">
        <v>276</v>
      </c>
      <c r="F5183" s="9">
        <v>75</v>
      </c>
      <c r="G5183" s="9">
        <v>920</v>
      </c>
      <c r="H5183" s="5" t="s">
        <v>21</v>
      </c>
      <c r="I5183" s="5" t="s">
        <v>12699</v>
      </c>
      <c r="J5183" s="12" t="str">
        <f>HYPERLINK("https://www.boe.es/gazeta/dias/1802/09/14/pdfs/GMD-1802-75.pdf#page=4","Abrir facsímil")</f>
        <v>Abrir facsímil</v>
      </c>
      <c r="K5183" s="15" t="s">
        <v>23</v>
      </c>
    </row>
    <row r="5184" spans="1:11" ht="42" customHeight="1">
      <c r="A5184" s="4" t="s">
        <v>12700</v>
      </c>
      <c r="B5184" s="5" t="s">
        <v>12701</v>
      </c>
      <c r="C5184" s="5" t="s">
        <v>160</v>
      </c>
      <c r="D5184" s="5" t="s">
        <v>91</v>
      </c>
      <c r="E5184" s="5" t="s">
        <v>86</v>
      </c>
      <c r="F5184" s="9">
        <v>26</v>
      </c>
      <c r="G5184" s="9">
        <v>294</v>
      </c>
      <c r="H5184" s="5" t="s">
        <v>21</v>
      </c>
      <c r="I5184" s="5" t="s">
        <v>12702</v>
      </c>
      <c r="J5184" s="12" t="str">
        <f>HYPERLINK("https://www.boe.es/gazeta/dias/1802/03/30/pdfs/GMD-1802-26.pdf#page=6","Abrir facsímil")</f>
        <v>Abrir facsímil</v>
      </c>
      <c r="K5184" s="15" t="s">
        <v>23</v>
      </c>
    </row>
    <row r="5185" spans="1:11" ht="42" customHeight="1">
      <c r="A5185" s="4" t="s">
        <v>12703</v>
      </c>
      <c r="B5185" s="5" t="s">
        <v>12704</v>
      </c>
      <c r="C5185" s="5" t="s">
        <v>29</v>
      </c>
      <c r="D5185" s="5" t="s">
        <v>30</v>
      </c>
      <c r="E5185" s="5" t="s">
        <v>710</v>
      </c>
      <c r="F5185" s="9">
        <v>85</v>
      </c>
      <c r="G5185" s="9">
        <v>1058</v>
      </c>
      <c r="H5185" s="5" t="s">
        <v>21</v>
      </c>
      <c r="I5185" s="5" t="s">
        <v>12705</v>
      </c>
      <c r="J5185" s="12" t="str">
        <f>HYPERLINK("https://www.boe.es/gazeta/dias/1802/10/19/pdfs/GMD-1802-85.pdf#page=10","Abrir facsímil")</f>
        <v>Abrir facsímil</v>
      </c>
      <c r="K5185" s="15" t="s">
        <v>23</v>
      </c>
    </row>
    <row r="5186" spans="1:11" ht="42" customHeight="1">
      <c r="A5186" s="4" t="s">
        <v>12706</v>
      </c>
      <c r="B5186" s="5" t="s">
        <v>12706</v>
      </c>
      <c r="C5186" s="5" t="s">
        <v>35</v>
      </c>
      <c r="D5186" s="5" t="s">
        <v>36</v>
      </c>
      <c r="E5186" s="5" t="s">
        <v>745</v>
      </c>
      <c r="F5186" s="9">
        <v>92</v>
      </c>
      <c r="G5186" s="9">
        <v>1135</v>
      </c>
      <c r="H5186" s="5" t="s">
        <v>21</v>
      </c>
      <c r="I5186" s="5" t="s">
        <v>12707</v>
      </c>
      <c r="J5186" s="12" t="str">
        <f>HYPERLINK("https://www.boe.es/gazeta/dias/1802/11/12/pdfs/GMD-1802-92.pdf#page=3","Abrir facsímil")</f>
        <v>Abrir facsímil</v>
      </c>
      <c r="K5186" s="15" t="s">
        <v>23</v>
      </c>
    </row>
    <row r="5187" spans="1:11" ht="42" customHeight="1">
      <c r="A5187" s="4" t="s">
        <v>12706</v>
      </c>
      <c r="B5187" s="5" t="s">
        <v>12706</v>
      </c>
      <c r="C5187" s="5" t="s">
        <v>35</v>
      </c>
      <c r="D5187" s="5" t="s">
        <v>36</v>
      </c>
      <c r="E5187" s="5" t="s">
        <v>823</v>
      </c>
      <c r="F5187" s="9">
        <v>94</v>
      </c>
      <c r="G5187" s="9">
        <v>1156</v>
      </c>
      <c r="H5187" s="5" t="s">
        <v>21</v>
      </c>
      <c r="I5187" s="5" t="s">
        <v>12708</v>
      </c>
      <c r="J5187" s="12" t="str">
        <f>HYPERLINK("https://www.boe.es/gazeta/dias/1802/11/19/pdfs/GMD-1802-94.pdf#page=4","Abrir facsímil")</f>
        <v>Abrir facsímil</v>
      </c>
      <c r="K5187" s="15" t="s">
        <v>23</v>
      </c>
    </row>
    <row r="5188" spans="1:11" ht="42" customHeight="1">
      <c r="A5188" s="4" t="s">
        <v>12706</v>
      </c>
      <c r="B5188" s="5" t="s">
        <v>12706</v>
      </c>
      <c r="C5188" s="5" t="s">
        <v>35</v>
      </c>
      <c r="D5188" s="5" t="s">
        <v>36</v>
      </c>
      <c r="E5188" s="5" t="s">
        <v>389</v>
      </c>
      <c r="F5188" s="9">
        <v>96</v>
      </c>
      <c r="G5188" s="9">
        <v>1185</v>
      </c>
      <c r="H5188" s="5" t="s">
        <v>21</v>
      </c>
      <c r="I5188" s="5" t="s">
        <v>12709</v>
      </c>
      <c r="J5188" s="12" t="str">
        <f>HYPERLINK("https://www.boe.es/gazeta/dias/1802/11/26/pdfs/GMD-1802-96.pdf#page=5","Abrir facsímil")</f>
        <v>Abrir facsímil</v>
      </c>
      <c r="K5188" s="15" t="s">
        <v>23</v>
      </c>
    </row>
    <row r="5189" spans="1:11" ht="42" customHeight="1">
      <c r="A5189" s="4" t="s">
        <v>12710</v>
      </c>
      <c r="B5189" s="5" t="s">
        <v>12711</v>
      </c>
      <c r="C5189" s="5" t="s">
        <v>18</v>
      </c>
      <c r="D5189" s="5" t="s">
        <v>19</v>
      </c>
      <c r="E5189" s="5" t="s">
        <v>900</v>
      </c>
      <c r="F5189" s="9">
        <v>16</v>
      </c>
      <c r="G5189" s="9">
        <v>172</v>
      </c>
      <c r="H5189" s="5" t="s">
        <v>21</v>
      </c>
      <c r="I5189" s="5" t="s">
        <v>12712</v>
      </c>
      <c r="J5189" s="12" t="str">
        <f>HYPERLINK("https://www.boe.es/gazeta/dias/1802/02/23/pdfs/GMD-1802-16.pdf#page=12","Abrir facsímil")</f>
        <v>Abrir facsímil</v>
      </c>
      <c r="K5189" s="15" t="s">
        <v>23</v>
      </c>
    </row>
    <row r="5190" spans="1:11" ht="42" customHeight="1">
      <c r="A5190" s="4" t="s">
        <v>12713</v>
      </c>
      <c r="B5190" s="5" t="s">
        <v>12714</v>
      </c>
      <c r="C5190" s="5" t="s">
        <v>42</v>
      </c>
      <c r="D5190" s="5" t="s">
        <v>43</v>
      </c>
      <c r="E5190" s="5" t="s">
        <v>44</v>
      </c>
      <c r="F5190" s="9">
        <v>99</v>
      </c>
      <c r="G5190" s="9" t="s">
        <v>537</v>
      </c>
      <c r="H5190" s="5" t="s">
        <v>21</v>
      </c>
      <c r="I5190" s="5" t="s">
        <v>12715</v>
      </c>
      <c r="J5190" s="12" t="str">
        <f>HYPERLINK("https://www.boe.es/gazeta/dias/1802/12/07/pdfs/GMD-D-1802-99.pdf#page=9","Abrir facsímil")</f>
        <v>Abrir facsímil</v>
      </c>
      <c r="K5190" s="15" t="s">
        <v>23</v>
      </c>
    </row>
    <row r="5191" spans="1:11" ht="42" customHeight="1">
      <c r="A5191" s="4" t="s">
        <v>12716</v>
      </c>
      <c r="B5191" s="5" t="s">
        <v>12717</v>
      </c>
      <c r="C5191" s="5" t="s">
        <v>90</v>
      </c>
      <c r="D5191" s="5" t="s">
        <v>91</v>
      </c>
      <c r="E5191" s="5" t="s">
        <v>381</v>
      </c>
      <c r="F5191" s="9">
        <v>13</v>
      </c>
      <c r="G5191" s="9">
        <v>130</v>
      </c>
      <c r="H5191" s="5" t="s">
        <v>21</v>
      </c>
      <c r="I5191" s="5" t="s">
        <v>12718</v>
      </c>
      <c r="J5191" s="12" t="str">
        <f>HYPERLINK("https://www.boe.es/gazeta/dias/1802/02/12/pdfs/GMD-1802-13.pdf#page=6","Abrir facsímil")</f>
        <v>Abrir facsímil</v>
      </c>
      <c r="K5191" s="15" t="s">
        <v>23</v>
      </c>
    </row>
    <row r="5192" spans="1:11" ht="42" customHeight="1">
      <c r="A5192" s="4" t="s">
        <v>12719</v>
      </c>
      <c r="B5192" s="5" t="s">
        <v>12720</v>
      </c>
      <c r="C5192" s="5" t="s">
        <v>29</v>
      </c>
      <c r="D5192" s="5" t="s">
        <v>30</v>
      </c>
      <c r="E5192" s="5" t="s">
        <v>311</v>
      </c>
      <c r="F5192" s="9">
        <v>88</v>
      </c>
      <c r="G5192" s="9">
        <v>1093</v>
      </c>
      <c r="H5192" s="5" t="s">
        <v>21</v>
      </c>
      <c r="I5192" s="5" t="s">
        <v>12721</v>
      </c>
      <c r="J5192" s="12" t="str">
        <f>HYPERLINK("https://www.boe.es/gazeta/dias/1802/10/29/pdfs/GMD-1802-88.pdf#page=9","Abrir facsímil")</f>
        <v>Abrir facsímil</v>
      </c>
      <c r="K5192" s="15" t="s">
        <v>23</v>
      </c>
    </row>
    <row r="5193" spans="1:11" ht="42" customHeight="1">
      <c r="A5193" s="4" t="s">
        <v>12722</v>
      </c>
      <c r="B5193" s="5" t="s">
        <v>12723</v>
      </c>
      <c r="C5193" s="5" t="s">
        <v>18</v>
      </c>
      <c r="D5193" s="5" t="s">
        <v>19</v>
      </c>
      <c r="E5193" s="5" t="s">
        <v>20</v>
      </c>
      <c r="F5193" s="9">
        <v>84</v>
      </c>
      <c r="G5193" s="9">
        <v>1046</v>
      </c>
      <c r="H5193" s="5" t="s">
        <v>21</v>
      </c>
      <c r="I5193" s="5" t="s">
        <v>12724</v>
      </c>
      <c r="J5193" s="12" t="str">
        <f>HYPERLINK("https://www.boe.es/gazeta/dias/1802/10/15/pdfs/GMD-1802-84.pdf#page=14","Abrir facsímil")</f>
        <v>Abrir facsímil</v>
      </c>
      <c r="K5193" s="15" t="s">
        <v>23</v>
      </c>
    </row>
    <row r="5194" spans="1:11" ht="42" customHeight="1">
      <c r="A5194" s="4" t="s">
        <v>12725</v>
      </c>
      <c r="B5194" s="5" t="s">
        <v>12726</v>
      </c>
      <c r="C5194" s="5" t="s">
        <v>160</v>
      </c>
      <c r="D5194" s="5" t="s">
        <v>91</v>
      </c>
      <c r="E5194" s="5" t="s">
        <v>25</v>
      </c>
      <c r="F5194" s="9">
        <v>44</v>
      </c>
      <c r="G5194" s="9">
        <v>535</v>
      </c>
      <c r="H5194" s="5" t="s">
        <v>21</v>
      </c>
      <c r="I5194" s="5" t="s">
        <v>12727</v>
      </c>
      <c r="J5194" s="12" t="str">
        <f>HYPERLINK("https://www.boe.es/gazeta/dias/1802/06/01/pdfs/GMD-1802-44.pdf#page=11","Abrir facsímil")</f>
        <v>Abrir facsímil</v>
      </c>
      <c r="K5194" s="15" t="s">
        <v>23</v>
      </c>
    </row>
    <row r="5195" spans="1:11" ht="42" customHeight="1">
      <c r="A5195" s="4" t="s">
        <v>12728</v>
      </c>
      <c r="B5195" s="5" t="s">
        <v>12729</v>
      </c>
      <c r="C5195" s="5" t="s">
        <v>29</v>
      </c>
      <c r="D5195" s="5" t="s">
        <v>30</v>
      </c>
      <c r="E5195" s="5" t="s">
        <v>678</v>
      </c>
      <c r="F5195" s="9">
        <v>15</v>
      </c>
      <c r="G5195" s="9">
        <v>158</v>
      </c>
      <c r="H5195" s="5" t="s">
        <v>21</v>
      </c>
      <c r="I5195" s="5" t="s">
        <v>12730</v>
      </c>
      <c r="J5195" s="12" t="str">
        <f>HYPERLINK("https://www.boe.es/gazeta/dias/1802/02/19/pdfs/GMD-1802-15.pdf#page=10","Abrir facsímil")</f>
        <v>Abrir facsímil</v>
      </c>
      <c r="K5195" s="15" t="s">
        <v>23</v>
      </c>
    </row>
    <row r="5196" spans="1:11" ht="42" customHeight="1">
      <c r="A5196" s="4" t="s">
        <v>12731</v>
      </c>
      <c r="B5196" s="5" t="s">
        <v>12732</v>
      </c>
      <c r="C5196" s="5" t="s">
        <v>42</v>
      </c>
      <c r="D5196" s="5" t="s">
        <v>43</v>
      </c>
      <c r="E5196" s="5" t="s">
        <v>44</v>
      </c>
      <c r="F5196" s="9">
        <v>99</v>
      </c>
      <c r="G5196" s="9" t="s">
        <v>548</v>
      </c>
      <c r="H5196" s="5" t="s">
        <v>21</v>
      </c>
      <c r="I5196" s="5" t="s">
        <v>12733</v>
      </c>
      <c r="J5196" s="12" t="str">
        <f>HYPERLINK("https://www.boe.es/gazeta/dias/1802/12/07/pdfs/GMD-D-1802-99.pdf#page=12","Abrir facsímil")</f>
        <v>Abrir facsímil</v>
      </c>
      <c r="K5196" s="15" t="s">
        <v>23</v>
      </c>
    </row>
    <row r="5197" spans="1:11" ht="42" customHeight="1">
      <c r="A5197" s="4" t="s">
        <v>12734</v>
      </c>
      <c r="B5197" s="5" t="s">
        <v>12735</v>
      </c>
      <c r="C5197" s="5" t="s">
        <v>18</v>
      </c>
      <c r="D5197" s="5" t="s">
        <v>19</v>
      </c>
      <c r="E5197" s="5" t="s">
        <v>20</v>
      </c>
      <c r="F5197" s="9">
        <v>84</v>
      </c>
      <c r="G5197" s="9">
        <v>1045</v>
      </c>
      <c r="H5197" s="5" t="s">
        <v>21</v>
      </c>
      <c r="I5197" s="5" t="s">
        <v>12736</v>
      </c>
      <c r="J5197" s="12" t="str">
        <f>HYPERLINK("https://www.boe.es/gazeta/dias/1802/10/15/pdfs/GMD-1802-84.pdf#page=13","Abrir facsímil")</f>
        <v>Abrir facsímil</v>
      </c>
      <c r="K5197" s="15" t="s">
        <v>23</v>
      </c>
    </row>
    <row r="5198" spans="1:11" ht="42" customHeight="1">
      <c r="A5198" s="4" t="s">
        <v>12737</v>
      </c>
      <c r="B5198" s="5" t="s">
        <v>12738</v>
      </c>
      <c r="C5198" s="5" t="s">
        <v>160</v>
      </c>
      <c r="D5198" s="5" t="s">
        <v>91</v>
      </c>
      <c r="E5198" s="5" t="s">
        <v>49</v>
      </c>
      <c r="F5198" s="9">
        <v>83</v>
      </c>
      <c r="G5198" s="9">
        <v>1020</v>
      </c>
      <c r="H5198" s="5" t="s">
        <v>21</v>
      </c>
      <c r="I5198" s="5" t="s">
        <v>12739</v>
      </c>
      <c r="J5198" s="12" t="str">
        <f>HYPERLINK("https://www.boe.es/gazeta/dias/1802/10/12/pdfs/GMD-1802-83.pdf#page=8","Abrir facsímil")</f>
        <v>Abrir facsímil</v>
      </c>
      <c r="K5198" s="15" t="s">
        <v>23</v>
      </c>
    </row>
    <row r="5199" spans="1:11" ht="42" customHeight="1">
      <c r="A5199" s="4" t="s">
        <v>12740</v>
      </c>
      <c r="B5199" s="5" t="s">
        <v>12741</v>
      </c>
      <c r="C5199" s="5" t="s">
        <v>18</v>
      </c>
      <c r="D5199" s="5" t="s">
        <v>19</v>
      </c>
      <c r="E5199" s="5" t="s">
        <v>49</v>
      </c>
      <c r="F5199" s="9">
        <v>83</v>
      </c>
      <c r="G5199" s="9">
        <v>1024</v>
      </c>
      <c r="H5199" s="5" t="s">
        <v>21</v>
      </c>
      <c r="I5199" s="5" t="s">
        <v>12742</v>
      </c>
      <c r="J5199" s="12" t="str">
        <f>HYPERLINK("https://www.boe.es/gazeta/dias/1802/10/12/pdfs/GMD-1802-83.pdf#page=12","Abrir facsímil")</f>
        <v>Abrir facsímil</v>
      </c>
      <c r="K5199" s="15" t="s">
        <v>23</v>
      </c>
    </row>
    <row r="5200" spans="1:11" ht="42" customHeight="1">
      <c r="A5200" s="4" t="s">
        <v>12743</v>
      </c>
      <c r="B5200" s="5" t="s">
        <v>12744</v>
      </c>
      <c r="C5200" s="5" t="s">
        <v>29</v>
      </c>
      <c r="D5200" s="5" t="s">
        <v>30</v>
      </c>
      <c r="E5200" s="5" t="s">
        <v>206</v>
      </c>
      <c r="F5200" s="9">
        <v>22</v>
      </c>
      <c r="G5200" s="9">
        <v>242</v>
      </c>
      <c r="H5200" s="5" t="s">
        <v>21</v>
      </c>
      <c r="I5200" s="5" t="s">
        <v>12745</v>
      </c>
      <c r="J5200" s="12" t="str">
        <f>HYPERLINK("https://www.boe.es/gazeta/dias/1802/03/16/pdfs/GMD-1802-22.pdf#page=10","Abrir facsímil")</f>
        <v>Abrir facsímil</v>
      </c>
      <c r="K5200" s="15" t="s">
        <v>23</v>
      </c>
    </row>
    <row r="5201" spans="1:11" ht="42" customHeight="1">
      <c r="A5201" s="4" t="s">
        <v>12746</v>
      </c>
      <c r="B5201" s="5" t="s">
        <v>12747</v>
      </c>
      <c r="C5201" s="5" t="s">
        <v>18</v>
      </c>
      <c r="D5201" s="5" t="s">
        <v>19</v>
      </c>
      <c r="E5201" s="5" t="s">
        <v>1381</v>
      </c>
      <c r="F5201" s="9">
        <v>17</v>
      </c>
      <c r="G5201" s="9">
        <v>185</v>
      </c>
      <c r="H5201" s="5" t="s">
        <v>21</v>
      </c>
      <c r="I5201" s="5" t="s">
        <v>12748</v>
      </c>
      <c r="J5201" s="12" t="str">
        <f>HYPERLINK("https://www.boe.es/gazeta/dias/1802/02/26/pdfs/GMD-1802-17.pdf#page=9","Abrir facsímil")</f>
        <v>Abrir facsímil</v>
      </c>
      <c r="K5201" s="15" t="s">
        <v>23</v>
      </c>
    </row>
    <row r="5202" spans="1:11" ht="42" customHeight="1">
      <c r="A5202" s="4" t="s">
        <v>12749</v>
      </c>
      <c r="B5202" s="5" t="s">
        <v>12750</v>
      </c>
      <c r="C5202" s="5" t="s">
        <v>29</v>
      </c>
      <c r="D5202" s="5" t="s">
        <v>30</v>
      </c>
      <c r="E5202" s="5" t="s">
        <v>710</v>
      </c>
      <c r="F5202" s="9">
        <v>85</v>
      </c>
      <c r="G5202" s="9">
        <v>1058</v>
      </c>
      <c r="H5202" s="5" t="s">
        <v>21</v>
      </c>
      <c r="I5202" s="5" t="s">
        <v>12751</v>
      </c>
      <c r="J5202" s="12" t="str">
        <f>HYPERLINK("https://www.boe.es/gazeta/dias/1802/10/19/pdfs/GMD-1802-85.pdf#page=10","Abrir facsímil")</f>
        <v>Abrir facsímil</v>
      </c>
      <c r="K5202" s="15" t="s">
        <v>23</v>
      </c>
    </row>
    <row r="5203" spans="1:11" ht="42" customHeight="1">
      <c r="A5203" s="4" t="s">
        <v>12752</v>
      </c>
      <c r="B5203" s="5" t="s">
        <v>12753</v>
      </c>
      <c r="C5203" s="5" t="s">
        <v>18</v>
      </c>
      <c r="D5203" s="5" t="s">
        <v>19</v>
      </c>
      <c r="E5203" s="5" t="s">
        <v>49</v>
      </c>
      <c r="F5203" s="9">
        <v>83</v>
      </c>
      <c r="G5203" s="9">
        <v>1026</v>
      </c>
      <c r="H5203" s="5" t="s">
        <v>21</v>
      </c>
      <c r="I5203" s="5" t="s">
        <v>12754</v>
      </c>
      <c r="J5203" s="12" t="str">
        <f>HYPERLINK("https://www.boe.es/gazeta/dias/1802/10/12/pdfs/GMD-1802-83.pdf#page=14","Abrir facsímil")</f>
        <v>Abrir facsímil</v>
      </c>
      <c r="K5203" s="15" t="s">
        <v>23</v>
      </c>
    </row>
    <row r="5204" spans="1:11" ht="42" customHeight="1">
      <c r="A5204" s="4" t="s">
        <v>12755</v>
      </c>
      <c r="B5204" s="5" t="s">
        <v>12756</v>
      </c>
      <c r="C5204" s="5" t="s">
        <v>42</v>
      </c>
      <c r="D5204" s="5" t="s">
        <v>43</v>
      </c>
      <c r="E5204" s="5" t="s">
        <v>44</v>
      </c>
      <c r="F5204" s="9">
        <v>99</v>
      </c>
      <c r="G5204" s="9" t="s">
        <v>45</v>
      </c>
      <c r="H5204" s="5" t="s">
        <v>21</v>
      </c>
      <c r="I5204" s="5" t="s">
        <v>12757</v>
      </c>
      <c r="J5204" s="12" t="str">
        <f>HYPERLINK("https://www.boe.es/gazeta/dias/1802/12/07/pdfs/GMD-D-1802-99.pdf#page=14","Abrir facsímil")</f>
        <v>Abrir facsímil</v>
      </c>
      <c r="K5204" s="15" t="s">
        <v>23</v>
      </c>
    </row>
    <row r="5205" spans="1:11" ht="42" customHeight="1">
      <c r="A5205" s="4" t="s">
        <v>12755</v>
      </c>
      <c r="B5205" s="5" t="s">
        <v>12756</v>
      </c>
      <c r="C5205" s="5" t="s">
        <v>42</v>
      </c>
      <c r="D5205" s="5" t="s">
        <v>43</v>
      </c>
      <c r="E5205" s="5" t="s">
        <v>44</v>
      </c>
      <c r="F5205" s="9">
        <v>99</v>
      </c>
      <c r="G5205" s="9" t="s">
        <v>251</v>
      </c>
      <c r="H5205" s="5" t="s">
        <v>21</v>
      </c>
      <c r="I5205" s="5" t="s">
        <v>12758</v>
      </c>
      <c r="J5205" s="12" t="str">
        <f>HYPERLINK("https://www.boe.es/gazeta/dias/1802/12/07/pdfs/GMD-D-1802-99.pdf#page=6","Abrir facsímil")</f>
        <v>Abrir facsímil</v>
      </c>
      <c r="K5205" s="15" t="s">
        <v>23</v>
      </c>
    </row>
    <row r="5206" spans="1:11" ht="42" customHeight="1">
      <c r="A5206" s="4" t="s">
        <v>12759</v>
      </c>
      <c r="B5206" s="5" t="s">
        <v>12759</v>
      </c>
      <c r="C5206" s="5" t="s">
        <v>29</v>
      </c>
      <c r="D5206" s="5" t="s">
        <v>30</v>
      </c>
      <c r="E5206" s="5" t="s">
        <v>258</v>
      </c>
      <c r="F5206" s="9">
        <v>63</v>
      </c>
      <c r="G5206" s="9">
        <v>766</v>
      </c>
      <c r="H5206" s="5" t="s">
        <v>21</v>
      </c>
      <c r="I5206" s="5" t="s">
        <v>12760</v>
      </c>
      <c r="J5206" s="12" t="str">
        <f>HYPERLINK("https://www.boe.es/gazeta/dias/1802/08/03/pdfs/GMD-1802-63.pdf#page=6","Abrir facsímil")</f>
        <v>Abrir facsímil</v>
      </c>
      <c r="K5206" s="15" t="s">
        <v>23</v>
      </c>
    </row>
    <row r="5207" spans="1:11" ht="42" customHeight="1">
      <c r="A5207" s="4" t="s">
        <v>12761</v>
      </c>
      <c r="B5207" s="5" t="s">
        <v>12761</v>
      </c>
      <c r="C5207" s="5" t="s">
        <v>29</v>
      </c>
      <c r="D5207" s="5" t="s">
        <v>30</v>
      </c>
      <c r="E5207" s="5" t="s">
        <v>258</v>
      </c>
      <c r="F5207" s="9">
        <v>63</v>
      </c>
      <c r="G5207" s="9">
        <v>767</v>
      </c>
      <c r="H5207" s="5" t="s">
        <v>21</v>
      </c>
      <c r="I5207" s="5" t="s">
        <v>12762</v>
      </c>
      <c r="J5207" s="12" t="str">
        <f>HYPERLINK("https://www.boe.es/gazeta/dias/1802/08/03/pdfs/GMD-1802-63.pdf#page=7","Abrir facsímil")</f>
        <v>Abrir facsímil</v>
      </c>
      <c r="K5207" s="15" t="s">
        <v>23</v>
      </c>
    </row>
    <row r="5208" spans="1:11" ht="42" customHeight="1">
      <c r="A5208" s="4" t="s">
        <v>12763</v>
      </c>
      <c r="B5208" s="5" t="s">
        <v>12764</v>
      </c>
      <c r="C5208" s="5" t="s">
        <v>18</v>
      </c>
      <c r="D5208" s="5" t="s">
        <v>19</v>
      </c>
      <c r="E5208" s="5" t="s">
        <v>49</v>
      </c>
      <c r="F5208" s="9">
        <v>83</v>
      </c>
      <c r="G5208" s="9">
        <v>1024</v>
      </c>
      <c r="H5208" s="5" t="s">
        <v>21</v>
      </c>
      <c r="I5208" s="5" t="s">
        <v>12765</v>
      </c>
      <c r="J5208" s="12" t="str">
        <f>HYPERLINK("https://www.boe.es/gazeta/dias/1802/10/12/pdfs/GMD-1802-83.pdf#page=12","Abrir facsímil")</f>
        <v>Abrir facsímil</v>
      </c>
      <c r="K5208" s="15" t="s">
        <v>23</v>
      </c>
    </row>
    <row r="5209" spans="1:11" ht="42" customHeight="1">
      <c r="A5209" s="4" t="s">
        <v>12766</v>
      </c>
      <c r="B5209" s="5" t="s">
        <v>12767</v>
      </c>
      <c r="C5209" s="5" t="s">
        <v>18</v>
      </c>
      <c r="D5209" s="5" t="s">
        <v>19</v>
      </c>
      <c r="E5209" s="5" t="s">
        <v>749</v>
      </c>
      <c r="F5209" s="9">
        <v>97</v>
      </c>
      <c r="G5209" s="9">
        <v>1201</v>
      </c>
      <c r="H5209" s="5" t="s">
        <v>21</v>
      </c>
      <c r="I5209" s="5" t="s">
        <v>12768</v>
      </c>
      <c r="J5209" s="12" t="str">
        <f>HYPERLINK("https://www.boe.es/gazeta/dias/1802/11/30/pdfs/GMD-1802-97.pdf#page=9","Abrir facsímil")</f>
        <v>Abrir facsímil</v>
      </c>
      <c r="K5209" s="15" t="s">
        <v>23</v>
      </c>
    </row>
    <row r="5210" spans="1:11" ht="42" customHeight="1">
      <c r="A5210" s="4" t="s">
        <v>12769</v>
      </c>
      <c r="B5210" s="5" t="s">
        <v>12770</v>
      </c>
      <c r="C5210" s="5" t="s">
        <v>160</v>
      </c>
      <c r="D5210" s="5" t="s">
        <v>91</v>
      </c>
      <c r="E5210" s="5" t="s">
        <v>142</v>
      </c>
      <c r="F5210" s="9">
        <v>64</v>
      </c>
      <c r="G5210" s="9">
        <v>782</v>
      </c>
      <c r="H5210" s="5" t="s">
        <v>21</v>
      </c>
      <c r="I5210" s="5" t="s">
        <v>12771</v>
      </c>
      <c r="J5210" s="12" t="str">
        <f>HYPERLINK("https://www.boe.es/gazeta/dias/1802/08/06/pdfs/GMD-1802-64.pdf#page=10","Abrir facsímil")</f>
        <v>Abrir facsímil</v>
      </c>
      <c r="K5210" s="15" t="s">
        <v>23</v>
      </c>
    </row>
    <row r="5211" spans="1:11" ht="42" customHeight="1">
      <c r="A5211" s="4" t="s">
        <v>12772</v>
      </c>
      <c r="B5211" s="5" t="s">
        <v>12773</v>
      </c>
      <c r="C5211" s="5" t="s">
        <v>29</v>
      </c>
      <c r="D5211" s="5" t="s">
        <v>30</v>
      </c>
      <c r="E5211" s="5" t="s">
        <v>44</v>
      </c>
      <c r="F5211" s="9">
        <v>99</v>
      </c>
      <c r="G5211" s="9">
        <v>1222</v>
      </c>
      <c r="H5211" s="5" t="s">
        <v>21</v>
      </c>
      <c r="I5211" s="5" t="s">
        <v>12774</v>
      </c>
      <c r="J5211" s="12" t="str">
        <f>HYPERLINK("https://www.boe.es/gazeta/dias/1802/12/07/pdfs/GMD-1802-99.pdf#page=6","Abrir facsímil")</f>
        <v>Abrir facsímil</v>
      </c>
      <c r="K5211" s="15" t="s">
        <v>23</v>
      </c>
    </row>
    <row r="5212" spans="1:11" ht="42" customHeight="1">
      <c r="A5212" s="4" t="s">
        <v>12775</v>
      </c>
      <c r="B5212" s="5" t="s">
        <v>12776</v>
      </c>
      <c r="C5212" s="5" t="s">
        <v>18</v>
      </c>
      <c r="D5212" s="5" t="s">
        <v>19</v>
      </c>
      <c r="E5212" s="5" t="s">
        <v>714</v>
      </c>
      <c r="F5212" s="9">
        <v>89</v>
      </c>
      <c r="G5212" s="9">
        <v>1108</v>
      </c>
      <c r="H5212" s="5" t="s">
        <v>21</v>
      </c>
      <c r="I5212" s="5" t="s">
        <v>12777</v>
      </c>
      <c r="J5212" s="12" t="str">
        <f>HYPERLINK("https://www.boe.es/gazeta/dias/1802/11/02/pdfs/GMD-1802-89.pdf#page=12","Abrir facsímil")</f>
        <v>Abrir facsímil</v>
      </c>
      <c r="K5212" s="15" t="s">
        <v>23</v>
      </c>
    </row>
    <row r="5213" spans="1:11" ht="42" customHeight="1">
      <c r="A5213" s="4" t="s">
        <v>12778</v>
      </c>
      <c r="B5213" s="5" t="s">
        <v>12779</v>
      </c>
      <c r="C5213" s="5" t="s">
        <v>90</v>
      </c>
      <c r="D5213" s="5" t="s">
        <v>91</v>
      </c>
      <c r="E5213" s="5" t="s">
        <v>1051</v>
      </c>
      <c r="F5213" s="9">
        <v>43</v>
      </c>
      <c r="G5213" s="9">
        <v>517</v>
      </c>
      <c r="H5213" s="5" t="s">
        <v>21</v>
      </c>
      <c r="I5213" s="5" t="s">
        <v>12780</v>
      </c>
      <c r="J5213" s="12" t="str">
        <f>HYPERLINK("https://www.boe.es/gazeta/dias/1802/05/28/pdfs/GMD-1802-43.pdf#page=9","Abrir facsímil")</f>
        <v>Abrir facsímil</v>
      </c>
      <c r="K5213" s="15" t="s">
        <v>23</v>
      </c>
    </row>
    <row r="5214" spans="1:11" ht="42" customHeight="1">
      <c r="A5214" s="4" t="s">
        <v>12781</v>
      </c>
      <c r="B5214" s="5" t="s">
        <v>12782</v>
      </c>
      <c r="C5214" s="5" t="s">
        <v>18</v>
      </c>
      <c r="D5214" s="5" t="s">
        <v>19</v>
      </c>
      <c r="E5214" s="5" t="s">
        <v>20</v>
      </c>
      <c r="F5214" s="9">
        <v>84</v>
      </c>
      <c r="G5214" s="9">
        <v>1041</v>
      </c>
      <c r="H5214" s="5" t="s">
        <v>21</v>
      </c>
      <c r="I5214" s="5" t="s">
        <v>12783</v>
      </c>
      <c r="J5214" s="12" t="str">
        <f>HYPERLINK("https://www.boe.es/gazeta/dias/1802/10/15/pdfs/GMD-1802-84.pdf#page=9","Abrir facsímil")</f>
        <v>Abrir facsímil</v>
      </c>
      <c r="K5214" s="15" t="s">
        <v>23</v>
      </c>
    </row>
    <row r="5215" spans="1:11" ht="42" customHeight="1">
      <c r="A5215" s="4" t="s">
        <v>12784</v>
      </c>
      <c r="B5215" s="5" t="s">
        <v>12785</v>
      </c>
      <c r="C5215" s="5" t="s">
        <v>18</v>
      </c>
      <c r="D5215" s="5" t="s">
        <v>19</v>
      </c>
      <c r="E5215" s="5" t="s">
        <v>49</v>
      </c>
      <c r="F5215" s="9">
        <v>83</v>
      </c>
      <c r="G5215" s="9">
        <v>1026</v>
      </c>
      <c r="H5215" s="5" t="s">
        <v>21</v>
      </c>
      <c r="I5215" s="5" t="s">
        <v>12786</v>
      </c>
      <c r="J5215" s="12" t="str">
        <f>HYPERLINK("https://www.boe.es/gazeta/dias/1802/10/12/pdfs/GMD-1802-83.pdf#page=14","Abrir facsímil")</f>
        <v>Abrir facsímil</v>
      </c>
      <c r="K5215" s="15" t="s">
        <v>23</v>
      </c>
    </row>
    <row r="5216" spans="1:11" ht="42" customHeight="1">
      <c r="A5216" s="4" t="s">
        <v>12787</v>
      </c>
      <c r="B5216" s="5" t="s">
        <v>12788</v>
      </c>
      <c r="C5216" s="5" t="s">
        <v>29</v>
      </c>
      <c r="D5216" s="5" t="s">
        <v>30</v>
      </c>
      <c r="E5216" s="5" t="s">
        <v>128</v>
      </c>
      <c r="F5216" s="9">
        <v>9</v>
      </c>
      <c r="G5216" s="9">
        <v>90</v>
      </c>
      <c r="H5216" s="5" t="s">
        <v>21</v>
      </c>
      <c r="I5216" s="5" t="s">
        <v>12789</v>
      </c>
      <c r="J5216" s="12" t="str">
        <f>HYPERLINK("https://www.boe.es/gazeta/dias/1802/01/29/pdfs/GMD-1802-9.pdf#page=10","Abrir facsímil")</f>
        <v>Abrir facsímil</v>
      </c>
      <c r="K5216" s="15" t="s">
        <v>23</v>
      </c>
    </row>
    <row r="5217" spans="1:11" ht="42" customHeight="1">
      <c r="A5217" s="4" t="s">
        <v>12790</v>
      </c>
      <c r="B5217" s="5" t="s">
        <v>12791</v>
      </c>
      <c r="C5217" s="5" t="s">
        <v>42</v>
      </c>
      <c r="D5217" s="5" t="s">
        <v>43</v>
      </c>
      <c r="E5217" s="5" t="s">
        <v>44</v>
      </c>
      <c r="F5217" s="9">
        <v>99</v>
      </c>
      <c r="G5217" s="9" t="s">
        <v>314</v>
      </c>
      <c r="H5217" s="5" t="s">
        <v>21</v>
      </c>
      <c r="I5217" s="5" t="s">
        <v>12792</v>
      </c>
      <c r="J5217" s="12" t="str">
        <f>HYPERLINK("https://www.boe.es/gazeta/dias/1802/12/07/pdfs/GMD-D-1802-99.pdf#page=2","Abrir facsímil")</f>
        <v>Abrir facsímil</v>
      </c>
      <c r="K5217" s="15" t="s">
        <v>23</v>
      </c>
    </row>
    <row r="5218" spans="1:11" ht="42" customHeight="1">
      <c r="A5218" s="4" t="s">
        <v>12793</v>
      </c>
      <c r="B5218" s="5" t="s">
        <v>12794</v>
      </c>
      <c r="C5218" s="5" t="s">
        <v>18</v>
      </c>
      <c r="D5218" s="5" t="s">
        <v>19</v>
      </c>
      <c r="E5218" s="5" t="s">
        <v>49</v>
      </c>
      <c r="F5218" s="9">
        <v>83</v>
      </c>
      <c r="G5218" s="9">
        <v>1019</v>
      </c>
      <c r="H5218" s="5" t="s">
        <v>21</v>
      </c>
      <c r="I5218" s="5" t="s">
        <v>12795</v>
      </c>
      <c r="J5218" s="12" t="str">
        <f>HYPERLINK("https://www.boe.es/gazeta/dias/1802/10/12/pdfs/GMD-1802-83.pdf#page=7","Abrir facsímil")</f>
        <v>Abrir facsímil</v>
      </c>
      <c r="K5218" s="15" t="s">
        <v>23</v>
      </c>
    </row>
    <row r="5219" spans="1:11" ht="42" customHeight="1">
      <c r="A5219" s="4" t="s">
        <v>12796</v>
      </c>
      <c r="B5219" s="5" t="s">
        <v>12797</v>
      </c>
      <c r="C5219" s="5" t="s">
        <v>90</v>
      </c>
      <c r="D5219" s="5" t="s">
        <v>91</v>
      </c>
      <c r="E5219" s="5" t="s">
        <v>102</v>
      </c>
      <c r="F5219" s="9">
        <v>73</v>
      </c>
      <c r="G5219" s="9">
        <v>901</v>
      </c>
      <c r="H5219" s="5" t="s">
        <v>21</v>
      </c>
      <c r="I5219" s="5" t="s">
        <v>12798</v>
      </c>
      <c r="J5219" s="12" t="str">
        <f>HYPERLINK("https://www.boe.es/gazeta/dias/1802/09/07/pdfs/GMD-1802-73.pdf#page=9","Abrir facsímil")</f>
        <v>Abrir facsímil</v>
      </c>
      <c r="K5219" s="15" t="s">
        <v>23</v>
      </c>
    </row>
    <row r="5220" spans="1:11" ht="42" customHeight="1">
      <c r="A5220" s="4" t="s">
        <v>12799</v>
      </c>
      <c r="B5220" s="5" t="s">
        <v>12800</v>
      </c>
      <c r="C5220" s="5" t="s">
        <v>35</v>
      </c>
      <c r="D5220" s="5" t="s">
        <v>36</v>
      </c>
      <c r="E5220" s="5" t="s">
        <v>332</v>
      </c>
      <c r="F5220" s="9">
        <v>24</v>
      </c>
      <c r="G5220" s="9">
        <v>271</v>
      </c>
      <c r="H5220" s="5" t="s">
        <v>21</v>
      </c>
      <c r="I5220" s="5" t="s">
        <v>12801</v>
      </c>
      <c r="J5220" s="12" t="str">
        <f>HYPERLINK("https://www.boe.es/gazeta/dias/1802/03/23/pdfs/GMD-1802-24.pdf#page=7","Abrir facsímil")</f>
        <v>Abrir facsímil</v>
      </c>
      <c r="K5220" s="15" t="s">
        <v>23</v>
      </c>
    </row>
    <row r="5221" spans="1:11" ht="42" customHeight="1">
      <c r="A5221" s="4" t="s">
        <v>12802</v>
      </c>
      <c r="B5221" s="5" t="s">
        <v>12803</v>
      </c>
      <c r="C5221" s="5" t="s">
        <v>55</v>
      </c>
      <c r="D5221" s="5" t="s">
        <v>56</v>
      </c>
      <c r="E5221" s="5" t="s">
        <v>1185</v>
      </c>
      <c r="F5221" s="9">
        <v>93</v>
      </c>
      <c r="G5221" s="9">
        <v>1151</v>
      </c>
      <c r="H5221" s="5" t="s">
        <v>21</v>
      </c>
      <c r="I5221" s="5" t="s">
        <v>12804</v>
      </c>
      <c r="J5221" s="12" t="str">
        <f>HYPERLINK("https://www.boe.es/gazeta/dias/1802/11/16/pdfs/GMD-1802-93.pdf#page=11","Abrir facsímil")</f>
        <v>Abrir facsímil</v>
      </c>
      <c r="K5221" s="15" t="s">
        <v>23</v>
      </c>
    </row>
    <row r="5222" spans="1:11" ht="42" customHeight="1">
      <c r="A5222" s="4" t="s">
        <v>12805</v>
      </c>
      <c r="B5222" s="5" t="s">
        <v>12806</v>
      </c>
      <c r="C5222" s="5" t="s">
        <v>18</v>
      </c>
      <c r="D5222" s="5" t="s">
        <v>19</v>
      </c>
      <c r="E5222" s="5" t="s">
        <v>128</v>
      </c>
      <c r="F5222" s="9">
        <v>9</v>
      </c>
      <c r="G5222" s="9">
        <v>88</v>
      </c>
      <c r="H5222" s="5" t="s">
        <v>21</v>
      </c>
      <c r="I5222" s="5" t="s">
        <v>12807</v>
      </c>
      <c r="J5222" s="12" t="str">
        <f>HYPERLINK("https://www.boe.es/gazeta/dias/1802/01/29/pdfs/GMD-1802-9.pdf#page=8","Abrir facsímil")</f>
        <v>Abrir facsímil</v>
      </c>
      <c r="K5222" s="15" t="s">
        <v>23</v>
      </c>
    </row>
    <row r="5223" spans="1:11" ht="42" customHeight="1">
      <c r="A5223" s="4" t="s">
        <v>12808</v>
      </c>
      <c r="B5223" s="5" t="s">
        <v>12809</v>
      </c>
      <c r="C5223" s="5" t="s">
        <v>18</v>
      </c>
      <c r="D5223" s="5" t="s">
        <v>19</v>
      </c>
      <c r="E5223" s="5" t="s">
        <v>49</v>
      </c>
      <c r="F5223" s="9">
        <v>83</v>
      </c>
      <c r="G5223" s="9">
        <v>1025</v>
      </c>
      <c r="H5223" s="5" t="s">
        <v>21</v>
      </c>
      <c r="I5223" s="5" t="s">
        <v>12810</v>
      </c>
      <c r="J5223" s="12" t="str">
        <f>HYPERLINK("https://www.boe.es/gazeta/dias/1802/10/12/pdfs/GMD-1802-83.pdf#page=13","Abrir facsímil")</f>
        <v>Abrir facsímil</v>
      </c>
      <c r="K5223" s="15" t="s">
        <v>23</v>
      </c>
    </row>
    <row r="5224" spans="1:11" ht="42" customHeight="1">
      <c r="A5224" s="4" t="s">
        <v>12811</v>
      </c>
      <c r="B5224" s="5" t="s">
        <v>12812</v>
      </c>
      <c r="C5224" s="5" t="s">
        <v>42</v>
      </c>
      <c r="D5224" s="5" t="s">
        <v>43</v>
      </c>
      <c r="E5224" s="5" t="s">
        <v>44</v>
      </c>
      <c r="F5224" s="9">
        <v>99</v>
      </c>
      <c r="G5224" s="9" t="s">
        <v>262</v>
      </c>
      <c r="H5224" s="5" t="s">
        <v>21</v>
      </c>
      <c r="I5224" s="5" t="s">
        <v>12813</v>
      </c>
      <c r="J5224" s="12" t="str">
        <f>HYPERLINK("https://www.boe.es/gazeta/dias/1802/12/07/pdfs/GMD-D-1802-99.pdf#page=8","Abrir facsímil")</f>
        <v>Abrir facsímil</v>
      </c>
      <c r="K5224" s="15" t="s">
        <v>23</v>
      </c>
    </row>
    <row r="5225" spans="1:11" ht="42" customHeight="1">
      <c r="A5225" s="4" t="s">
        <v>12814</v>
      </c>
      <c r="B5225" s="5" t="s">
        <v>12815</v>
      </c>
      <c r="C5225" s="5" t="s">
        <v>29</v>
      </c>
      <c r="D5225" s="5" t="s">
        <v>30</v>
      </c>
      <c r="E5225" s="5" t="s">
        <v>49</v>
      </c>
      <c r="F5225" s="9">
        <v>83</v>
      </c>
      <c r="G5225" s="9">
        <v>1021</v>
      </c>
      <c r="H5225" s="5" t="s">
        <v>21</v>
      </c>
      <c r="I5225" s="5" t="s">
        <v>12816</v>
      </c>
      <c r="J5225" s="12" t="str">
        <f>HYPERLINK("https://www.boe.es/gazeta/dias/1802/10/12/pdfs/GMD-1802-83.pdf#page=9","Abrir facsímil")</f>
        <v>Abrir facsímil</v>
      </c>
      <c r="K5225" s="15" t="s">
        <v>23</v>
      </c>
    </row>
    <row r="5226" spans="1:11" ht="42" customHeight="1">
      <c r="A5226" s="4" t="s">
        <v>12817</v>
      </c>
      <c r="B5226" s="5" t="s">
        <v>12818</v>
      </c>
      <c r="C5226" s="5" t="s">
        <v>18</v>
      </c>
      <c r="D5226" s="5" t="s">
        <v>19</v>
      </c>
      <c r="E5226" s="5" t="s">
        <v>31</v>
      </c>
      <c r="F5226" s="9">
        <v>27</v>
      </c>
      <c r="G5226" s="9">
        <v>317</v>
      </c>
      <c r="H5226" s="5" t="s">
        <v>21</v>
      </c>
      <c r="I5226" s="5" t="s">
        <v>12819</v>
      </c>
      <c r="J5226" s="12" t="str">
        <f>HYPERLINK("https://www.boe.es/gazeta/dias/1802/04/02/pdfs/GMD-1802-27.pdf#page=13","Abrir facsímil")</f>
        <v>Abrir facsímil</v>
      </c>
      <c r="K5226" s="15" t="s">
        <v>23</v>
      </c>
    </row>
    <row r="5227" spans="1:11" ht="42" customHeight="1">
      <c r="A5227" s="4" t="s">
        <v>12820</v>
      </c>
      <c r="B5227" s="5" t="s">
        <v>12821</v>
      </c>
      <c r="C5227" s="5" t="s">
        <v>42</v>
      </c>
      <c r="D5227" s="5" t="s">
        <v>43</v>
      </c>
      <c r="E5227" s="5" t="s">
        <v>44</v>
      </c>
      <c r="F5227" s="9">
        <v>99</v>
      </c>
      <c r="G5227" s="9" t="s">
        <v>251</v>
      </c>
      <c r="H5227" s="5" t="s">
        <v>21</v>
      </c>
      <c r="I5227" s="5" t="s">
        <v>12822</v>
      </c>
      <c r="J5227" s="12" t="str">
        <f>HYPERLINK("https://www.boe.es/gazeta/dias/1802/12/07/pdfs/GMD-D-1802-99.pdf#page=6","Abrir facsímil")</f>
        <v>Abrir facsímil</v>
      </c>
      <c r="K5227" s="15" t="s">
        <v>23</v>
      </c>
    </row>
    <row r="5228" spans="1:11" ht="42" customHeight="1">
      <c r="A5228" s="4" t="s">
        <v>12823</v>
      </c>
      <c r="B5228" s="5" t="s">
        <v>12824</v>
      </c>
      <c r="C5228" s="5" t="s">
        <v>42</v>
      </c>
      <c r="D5228" s="5" t="s">
        <v>43</v>
      </c>
      <c r="E5228" s="5" t="s">
        <v>44</v>
      </c>
      <c r="F5228" s="9">
        <v>99</v>
      </c>
      <c r="G5228" s="9" t="s">
        <v>78</v>
      </c>
      <c r="H5228" s="5" t="s">
        <v>21</v>
      </c>
      <c r="I5228" s="5" t="s">
        <v>12825</v>
      </c>
      <c r="J5228" s="12" t="str">
        <f>HYPERLINK("https://www.boe.es/gazeta/dias/1802/12/07/pdfs/GMD-D-1802-99.pdf#page=15","Abrir facsímil")</f>
        <v>Abrir facsímil</v>
      </c>
      <c r="K5228" s="15" t="s">
        <v>23</v>
      </c>
    </row>
    <row r="5229" spans="1:11" ht="42" customHeight="1">
      <c r="A5229" s="4" t="s">
        <v>12826</v>
      </c>
      <c r="B5229" s="5" t="s">
        <v>12827</v>
      </c>
      <c r="C5229" s="5" t="s">
        <v>35</v>
      </c>
      <c r="D5229" s="5" t="s">
        <v>36</v>
      </c>
      <c r="E5229" s="5" t="s">
        <v>655</v>
      </c>
      <c r="F5229" s="9">
        <v>46</v>
      </c>
      <c r="G5229" s="9">
        <v>549</v>
      </c>
      <c r="H5229" s="5" t="s">
        <v>21</v>
      </c>
      <c r="I5229" s="5" t="s">
        <v>12828</v>
      </c>
      <c r="J5229" s="12" t="str">
        <f>HYPERLINK("https://www.boe.es/gazeta/dias/1802/06/08/pdfs/GMD-1802-46.pdf#page=1","Abrir facsímil")</f>
        <v>Abrir facsímil</v>
      </c>
      <c r="K5229" s="15" t="s">
        <v>23</v>
      </c>
    </row>
    <row r="5230" spans="1:11" ht="42" customHeight="1">
      <c r="A5230" s="4" t="s">
        <v>12826</v>
      </c>
      <c r="B5230" s="5" t="s">
        <v>12827</v>
      </c>
      <c r="C5230" s="5" t="s">
        <v>35</v>
      </c>
      <c r="D5230" s="5" t="s">
        <v>36</v>
      </c>
      <c r="E5230" s="5" t="s">
        <v>642</v>
      </c>
      <c r="F5230" s="9">
        <v>51</v>
      </c>
      <c r="G5230" s="9">
        <v>620</v>
      </c>
      <c r="H5230" s="5" t="s">
        <v>21</v>
      </c>
      <c r="I5230" s="5" t="s">
        <v>12829</v>
      </c>
      <c r="J5230" s="12" t="str">
        <f>HYPERLINK("https://www.boe.es/gazeta/dias/1802/06/25/pdfs/GMD-1802-51.pdf#page=8","Abrir facsímil")</f>
        <v>Abrir facsímil</v>
      </c>
      <c r="K5230" s="15" t="s">
        <v>23</v>
      </c>
    </row>
    <row r="5231" spans="1:11" ht="42" customHeight="1">
      <c r="A5231" s="4" t="s">
        <v>12826</v>
      </c>
      <c r="B5231" s="5" t="s">
        <v>12827</v>
      </c>
      <c r="C5231" s="5" t="s">
        <v>29</v>
      </c>
      <c r="D5231" s="5" t="s">
        <v>30</v>
      </c>
      <c r="E5231" s="5" t="s">
        <v>642</v>
      </c>
      <c r="F5231" s="9">
        <v>51</v>
      </c>
      <c r="G5231" s="9">
        <v>622</v>
      </c>
      <c r="H5231" s="5" t="s">
        <v>21</v>
      </c>
      <c r="I5231" s="5" t="s">
        <v>12830</v>
      </c>
      <c r="J5231" s="12" t="str">
        <f>HYPERLINK("https://www.boe.es/gazeta/dias/1802/06/25/pdfs/GMD-1802-51.pdf#page=10","Abrir facsímil")</f>
        <v>Abrir facsímil</v>
      </c>
      <c r="K5231" s="15" t="s">
        <v>23</v>
      </c>
    </row>
    <row r="5232" spans="1:11" ht="42" customHeight="1">
      <c r="A5232" s="4" t="s">
        <v>12826</v>
      </c>
      <c r="B5232" s="5" t="s">
        <v>12827</v>
      </c>
      <c r="C5232" s="5" t="s">
        <v>29</v>
      </c>
      <c r="D5232" s="5" t="s">
        <v>30</v>
      </c>
      <c r="E5232" s="5" t="s">
        <v>44</v>
      </c>
      <c r="F5232" s="9">
        <v>99</v>
      </c>
      <c r="G5232" s="9">
        <v>1218</v>
      </c>
      <c r="H5232" s="5" t="s">
        <v>21</v>
      </c>
      <c r="I5232" s="5" t="s">
        <v>12831</v>
      </c>
      <c r="J5232" s="12" t="str">
        <f>HYPERLINK("https://www.boe.es/gazeta/dias/1802/12/07/pdfs/GMD-1802-99.pdf#page=2","Abrir facsímil")</f>
        <v>Abrir facsímil</v>
      </c>
      <c r="K5232" s="15" t="s">
        <v>23</v>
      </c>
    </row>
    <row r="5233" spans="1:11" ht="42" customHeight="1">
      <c r="A5233" s="4" t="s">
        <v>12832</v>
      </c>
      <c r="B5233" s="5" t="s">
        <v>12832</v>
      </c>
      <c r="C5233" s="5" t="s">
        <v>160</v>
      </c>
      <c r="D5233" s="5" t="s">
        <v>91</v>
      </c>
      <c r="E5233" s="5" t="s">
        <v>814</v>
      </c>
      <c r="F5233" s="9">
        <v>41</v>
      </c>
      <c r="G5233" s="9">
        <v>488</v>
      </c>
      <c r="H5233" s="5" t="s">
        <v>21</v>
      </c>
      <c r="I5233" s="5" t="s">
        <v>12833</v>
      </c>
      <c r="J5233" s="12" t="str">
        <f>HYPERLINK("https://www.boe.es/gazeta/dias/1802/05/21/pdfs/GMD-1802-41.pdf#page=4","Abrir facsímil")</f>
        <v>Abrir facsímil</v>
      </c>
      <c r="K5233" s="15" t="s">
        <v>23</v>
      </c>
    </row>
    <row r="5234" spans="1:11" ht="42" customHeight="1">
      <c r="A5234" s="4" t="s">
        <v>12834</v>
      </c>
      <c r="B5234" s="5" t="s">
        <v>12835</v>
      </c>
      <c r="C5234" s="5" t="s">
        <v>29</v>
      </c>
      <c r="D5234" s="5" t="s">
        <v>30</v>
      </c>
      <c r="E5234" s="5" t="s">
        <v>389</v>
      </c>
      <c r="F5234" s="9">
        <v>96</v>
      </c>
      <c r="G5234" s="9">
        <v>1188</v>
      </c>
      <c r="H5234" s="5" t="s">
        <v>21</v>
      </c>
      <c r="I5234" s="5" t="s">
        <v>12836</v>
      </c>
      <c r="J5234" s="12" t="str">
        <f>HYPERLINK("https://www.boe.es/gazeta/dias/1802/11/26/pdfs/GMD-1802-96.pdf#page=8","Abrir facsímil")</f>
        <v>Abrir facsímil</v>
      </c>
      <c r="K5234" s="15" t="s">
        <v>23</v>
      </c>
    </row>
    <row r="5235" spans="1:11" ht="42" customHeight="1">
      <c r="A5235" s="4" t="s">
        <v>12837</v>
      </c>
      <c r="B5235" s="5" t="s">
        <v>12838</v>
      </c>
      <c r="C5235" s="5" t="s">
        <v>29</v>
      </c>
      <c r="D5235" s="5" t="s">
        <v>30</v>
      </c>
      <c r="E5235" s="5" t="s">
        <v>146</v>
      </c>
      <c r="F5235" s="9">
        <v>42</v>
      </c>
      <c r="G5235" s="9">
        <v>504</v>
      </c>
      <c r="H5235" s="5" t="s">
        <v>21</v>
      </c>
      <c r="I5235" s="5" t="s">
        <v>12839</v>
      </c>
      <c r="J5235" s="12" t="str">
        <f>HYPERLINK("https://www.boe.es/gazeta/dias/1802/05/25/pdfs/GMD-1802-42.pdf#page=8","Abrir facsímil")</f>
        <v>Abrir facsímil</v>
      </c>
      <c r="K5235" s="15" t="s">
        <v>23</v>
      </c>
    </row>
    <row r="5236" spans="1:11" ht="42" customHeight="1">
      <c r="A5236" s="4" t="s">
        <v>12840</v>
      </c>
      <c r="B5236" s="5" t="s">
        <v>12840</v>
      </c>
      <c r="C5236" s="5" t="s">
        <v>160</v>
      </c>
      <c r="D5236" s="5" t="s">
        <v>91</v>
      </c>
      <c r="E5236" s="5" t="s">
        <v>517</v>
      </c>
      <c r="F5236" s="9">
        <v>61</v>
      </c>
      <c r="G5236" s="9">
        <v>735</v>
      </c>
      <c r="H5236" s="5" t="s">
        <v>21</v>
      </c>
      <c r="I5236" s="5" t="s">
        <v>12841</v>
      </c>
      <c r="J5236" s="12" t="str">
        <f>HYPERLINK("https://www.boe.es/gazeta/dias/1802/07/27/pdfs/GMD-1802-61.pdf#page=3","Abrir facsímil")</f>
        <v>Abrir facsímil</v>
      </c>
      <c r="K5236" s="15" t="s">
        <v>23</v>
      </c>
    </row>
    <row r="5237" spans="1:11" ht="42" customHeight="1">
      <c r="A5237" s="4" t="s">
        <v>12842</v>
      </c>
      <c r="B5237" s="5" t="s">
        <v>12843</v>
      </c>
      <c r="C5237" s="5" t="s">
        <v>35</v>
      </c>
      <c r="D5237" s="5" t="s">
        <v>36</v>
      </c>
      <c r="E5237" s="5" t="s">
        <v>311</v>
      </c>
      <c r="F5237" s="9">
        <v>88</v>
      </c>
      <c r="G5237" s="9">
        <v>1094</v>
      </c>
      <c r="H5237" s="5" t="s">
        <v>21</v>
      </c>
      <c r="I5237" s="5" t="s">
        <v>12844</v>
      </c>
      <c r="J5237" s="12" t="str">
        <f>HYPERLINK("https://www.boe.es/gazeta/dias/1802/10/29/pdfs/GMD-1802-88.pdf#page=10","Abrir facsímil")</f>
        <v>Abrir facsímil</v>
      </c>
      <c r="K5237" s="15" t="s">
        <v>23</v>
      </c>
    </row>
    <row r="5238" spans="1:11" ht="42" customHeight="1">
      <c r="A5238" s="4" t="s">
        <v>12845</v>
      </c>
      <c r="B5238" s="5" t="s">
        <v>12846</v>
      </c>
      <c r="C5238" s="5" t="s">
        <v>18</v>
      </c>
      <c r="D5238" s="5" t="s">
        <v>19</v>
      </c>
      <c r="E5238" s="5" t="s">
        <v>49</v>
      </c>
      <c r="F5238" s="9">
        <v>83</v>
      </c>
      <c r="G5238" s="9">
        <v>1023</v>
      </c>
      <c r="H5238" s="5" t="s">
        <v>21</v>
      </c>
      <c r="I5238" s="5" t="s">
        <v>12847</v>
      </c>
      <c r="J5238" s="12" t="str">
        <f>HYPERLINK("https://www.boe.es/gazeta/dias/1802/10/12/pdfs/GMD-1802-83.pdf#page=11","Abrir facsímil")</f>
        <v>Abrir facsímil</v>
      </c>
      <c r="K5238" s="15" t="s">
        <v>23</v>
      </c>
    </row>
    <row r="5239" spans="1:11" ht="42" customHeight="1">
      <c r="A5239" s="4" t="s">
        <v>12848</v>
      </c>
      <c r="B5239" s="5" t="s">
        <v>12849</v>
      </c>
      <c r="C5239" s="5" t="s">
        <v>35</v>
      </c>
      <c r="D5239" s="5" t="s">
        <v>36</v>
      </c>
      <c r="E5239" s="5" t="s">
        <v>1588</v>
      </c>
      <c r="F5239" s="9">
        <v>18</v>
      </c>
      <c r="G5239" s="9">
        <v>191</v>
      </c>
      <c r="H5239" s="5" t="s">
        <v>21</v>
      </c>
      <c r="I5239" s="5" t="s">
        <v>12850</v>
      </c>
      <c r="J5239" s="12" t="str">
        <f>HYPERLINK("https://www.boe.es/gazeta/dias/1802/03/02/pdfs/GMD-1802-18.pdf#page=3","Abrir facsímil")</f>
        <v>Abrir facsímil</v>
      </c>
      <c r="K5239" s="15" t="s">
        <v>23</v>
      </c>
    </row>
    <row r="5240" spans="1:11" ht="42" customHeight="1">
      <c r="A5240" s="4" t="s">
        <v>12848</v>
      </c>
      <c r="B5240" s="5" t="s">
        <v>12849</v>
      </c>
      <c r="C5240" s="5" t="s">
        <v>18</v>
      </c>
      <c r="D5240" s="5" t="s">
        <v>19</v>
      </c>
      <c r="E5240" s="5" t="s">
        <v>1097</v>
      </c>
      <c r="F5240" s="9">
        <v>20</v>
      </c>
      <c r="G5240" s="9">
        <v>218</v>
      </c>
      <c r="H5240" s="5" t="s">
        <v>21</v>
      </c>
      <c r="I5240" s="5" t="s">
        <v>12851</v>
      </c>
      <c r="J5240" s="12" t="str">
        <f>HYPERLINK("https://www.boe.es/gazeta/dias/1802/03/09/pdfs/GMD-1802-20.pdf#page=6","Abrir facsímil")</f>
        <v>Abrir facsímil</v>
      </c>
      <c r="K5240" s="15" t="s">
        <v>23</v>
      </c>
    </row>
    <row r="5241" spans="1:11" ht="42" customHeight="1">
      <c r="A5241" s="4" t="s">
        <v>12852</v>
      </c>
      <c r="B5241" s="5" t="s">
        <v>12852</v>
      </c>
      <c r="C5241" s="5" t="s">
        <v>35</v>
      </c>
      <c r="D5241" s="5" t="s">
        <v>36</v>
      </c>
      <c r="E5241" s="5" t="s">
        <v>86</v>
      </c>
      <c r="F5241" s="9">
        <v>26</v>
      </c>
      <c r="G5241" s="9">
        <v>295</v>
      </c>
      <c r="H5241" s="5" t="s">
        <v>21</v>
      </c>
      <c r="I5241" s="5" t="s">
        <v>12853</v>
      </c>
      <c r="J5241" s="12" t="str">
        <f>HYPERLINK("https://www.boe.es/gazeta/dias/1802/03/30/pdfs/GMD-1802-26.pdf#page=7","Abrir facsímil")</f>
        <v>Abrir facsímil</v>
      </c>
      <c r="K5241" s="15" t="s">
        <v>23</v>
      </c>
    </row>
    <row r="5242" spans="1:11" ht="42" customHeight="1">
      <c r="A5242" s="4" t="s">
        <v>12854</v>
      </c>
      <c r="B5242" s="5" t="s">
        <v>12854</v>
      </c>
      <c r="C5242" s="5" t="s">
        <v>18</v>
      </c>
      <c r="D5242" s="5" t="s">
        <v>19</v>
      </c>
      <c r="E5242" s="5" t="s">
        <v>25</v>
      </c>
      <c r="F5242" s="9">
        <v>44</v>
      </c>
      <c r="G5242" s="9">
        <v>531</v>
      </c>
      <c r="H5242" s="5" t="s">
        <v>21</v>
      </c>
      <c r="I5242" s="5" t="s">
        <v>12855</v>
      </c>
      <c r="J5242" s="12" t="str">
        <f>HYPERLINK("https://www.boe.es/gazeta/dias/1802/06/01/pdfs/GMD-1802-44.pdf#page=7","Abrir facsímil")</f>
        <v>Abrir facsímil</v>
      </c>
      <c r="K5242" s="15" t="s">
        <v>23</v>
      </c>
    </row>
    <row r="5243" spans="1:11" ht="42" customHeight="1">
      <c r="A5243" s="4" t="s">
        <v>12856</v>
      </c>
      <c r="B5243" s="5" t="s">
        <v>12857</v>
      </c>
      <c r="C5243" s="5" t="s">
        <v>160</v>
      </c>
      <c r="D5243" s="5" t="s">
        <v>91</v>
      </c>
      <c r="E5243" s="5" t="s">
        <v>517</v>
      </c>
      <c r="F5243" s="9">
        <v>61</v>
      </c>
      <c r="G5243" s="9">
        <v>743</v>
      </c>
      <c r="H5243" s="5" t="s">
        <v>21</v>
      </c>
      <c r="I5243" s="5" t="s">
        <v>12858</v>
      </c>
      <c r="J5243" s="12" t="str">
        <f>HYPERLINK("https://www.boe.es/gazeta/dias/1802/07/27/pdfs/GMD-1802-61.pdf#page=11","Abrir facsímil")</f>
        <v>Abrir facsímil</v>
      </c>
      <c r="K5243" s="15" t="s">
        <v>23</v>
      </c>
    </row>
    <row r="5244" spans="1:11" ht="42" customHeight="1">
      <c r="A5244" s="4" t="s">
        <v>12859</v>
      </c>
      <c r="B5244" s="5" t="s">
        <v>12859</v>
      </c>
      <c r="C5244" s="5" t="s">
        <v>35</v>
      </c>
      <c r="D5244" s="5" t="s">
        <v>36</v>
      </c>
      <c r="E5244" s="5" t="s">
        <v>611</v>
      </c>
      <c r="F5244" s="9">
        <v>68</v>
      </c>
      <c r="G5244" s="9">
        <v>830</v>
      </c>
      <c r="H5244" s="5" t="s">
        <v>21</v>
      </c>
      <c r="I5244" s="5" t="s">
        <v>12860</v>
      </c>
      <c r="J5244" s="12" t="str">
        <f>HYPERLINK("https://www.boe.es/gazeta/dias/1802/08/20/pdfs/GMD-1802-68.pdf#page=6","Abrir facsímil")</f>
        <v>Abrir facsímil</v>
      </c>
      <c r="K5244" s="15" t="s">
        <v>23</v>
      </c>
    </row>
    <row r="5245" spans="1:11" ht="42" customHeight="1">
      <c r="A5245" s="4" t="s">
        <v>12861</v>
      </c>
      <c r="B5245" s="5" t="s">
        <v>12862</v>
      </c>
      <c r="C5245" s="5" t="s">
        <v>160</v>
      </c>
      <c r="D5245" s="5" t="s">
        <v>91</v>
      </c>
      <c r="E5245" s="5" t="s">
        <v>443</v>
      </c>
      <c r="F5245" s="9">
        <v>78</v>
      </c>
      <c r="G5245" s="9">
        <v>963</v>
      </c>
      <c r="H5245" s="5" t="s">
        <v>21</v>
      </c>
      <c r="I5245" s="5" t="s">
        <v>12863</v>
      </c>
      <c r="J5245" s="12" t="str">
        <f>HYPERLINK("https://www.boe.es/gazeta/dias/1802/09/24/pdfs/GMD-1802-78.pdf#page=11","Abrir facsímil")</f>
        <v>Abrir facsímil</v>
      </c>
      <c r="K5245" s="15" t="s">
        <v>23</v>
      </c>
    </row>
    <row r="5246" spans="1:11" ht="42" customHeight="1">
      <c r="A5246" s="4" t="s">
        <v>12864</v>
      </c>
      <c r="B5246" s="5" t="s">
        <v>12864</v>
      </c>
      <c r="C5246" s="5" t="s">
        <v>35</v>
      </c>
      <c r="D5246" s="5" t="s">
        <v>36</v>
      </c>
      <c r="E5246" s="5" t="s">
        <v>146</v>
      </c>
      <c r="F5246" s="9">
        <v>42</v>
      </c>
      <c r="G5246" s="9">
        <v>500</v>
      </c>
      <c r="H5246" s="5" t="s">
        <v>21</v>
      </c>
      <c r="I5246" s="5" t="s">
        <v>12865</v>
      </c>
      <c r="J5246" s="12" t="str">
        <f>HYPERLINK("https://www.boe.es/gazeta/dias/1802/05/25/pdfs/GMD-1802-42.pdf#page=4","Abrir facsímil")</f>
        <v>Abrir facsímil</v>
      </c>
      <c r="K5246" s="15" t="s">
        <v>23</v>
      </c>
    </row>
    <row r="5247" spans="1:11" ht="42" customHeight="1">
      <c r="A5247" s="4" t="s">
        <v>12866</v>
      </c>
      <c r="B5247" s="5" t="s">
        <v>12866</v>
      </c>
      <c r="C5247" s="5" t="s">
        <v>35</v>
      </c>
      <c r="D5247" s="5" t="s">
        <v>36</v>
      </c>
      <c r="E5247" s="5" t="s">
        <v>311</v>
      </c>
      <c r="F5247" s="9">
        <v>88</v>
      </c>
      <c r="G5247" s="9">
        <v>1090</v>
      </c>
      <c r="H5247" s="5" t="s">
        <v>21</v>
      </c>
      <c r="I5247" s="5" t="s">
        <v>12867</v>
      </c>
      <c r="J5247" s="12" t="str">
        <f>HYPERLINK("https://www.boe.es/gazeta/dias/1802/10/29/pdfs/GMD-1802-88.pdf#page=6","Abrir facsímil")</f>
        <v>Abrir facsímil</v>
      </c>
      <c r="K5247" s="15" t="s">
        <v>23</v>
      </c>
    </row>
    <row r="5248" spans="1:11" ht="42" customHeight="1">
      <c r="A5248" s="4" t="s">
        <v>12868</v>
      </c>
      <c r="B5248" s="5" t="s">
        <v>12869</v>
      </c>
      <c r="C5248" s="5" t="s">
        <v>18</v>
      </c>
      <c r="D5248" s="5" t="s">
        <v>19</v>
      </c>
      <c r="E5248" s="5" t="s">
        <v>20</v>
      </c>
      <c r="F5248" s="9">
        <v>84</v>
      </c>
      <c r="G5248" s="9">
        <v>1047</v>
      </c>
      <c r="H5248" s="5" t="s">
        <v>21</v>
      </c>
      <c r="I5248" s="5" t="s">
        <v>12870</v>
      </c>
      <c r="J5248" s="12" t="str">
        <f>HYPERLINK("https://www.boe.es/gazeta/dias/1802/10/15/pdfs/GMD-1802-84.pdf#page=15","Abrir facsímil")</f>
        <v>Abrir facsímil</v>
      </c>
      <c r="K5248" s="15" t="s">
        <v>23</v>
      </c>
    </row>
    <row r="5249" spans="1:11" ht="42" customHeight="1">
      <c r="A5249" s="4" t="s">
        <v>12871</v>
      </c>
      <c r="B5249" s="5" t="s">
        <v>12871</v>
      </c>
      <c r="C5249" s="5" t="s">
        <v>35</v>
      </c>
      <c r="D5249" s="5" t="s">
        <v>36</v>
      </c>
      <c r="E5249" s="5" t="s">
        <v>219</v>
      </c>
      <c r="F5249" s="9">
        <v>81</v>
      </c>
      <c r="G5249" s="9">
        <v>994</v>
      </c>
      <c r="H5249" s="5" t="s">
        <v>21</v>
      </c>
      <c r="I5249" s="5" t="s">
        <v>12872</v>
      </c>
      <c r="J5249" s="12" t="str">
        <f>HYPERLINK("https://www.boe.es/gazeta/dias/1802/10/05/pdfs/GMD-1802-81.pdf#page=6","Abrir facsímil")</f>
        <v>Abrir facsímil</v>
      </c>
      <c r="K5249" s="15" t="s">
        <v>23</v>
      </c>
    </row>
    <row r="5250" spans="1:11" ht="42" customHeight="1">
      <c r="A5250" s="4" t="s">
        <v>12873</v>
      </c>
      <c r="B5250" s="5" t="s">
        <v>12873</v>
      </c>
      <c r="C5250" s="5" t="s">
        <v>18</v>
      </c>
      <c r="D5250" s="5" t="s">
        <v>19</v>
      </c>
      <c r="E5250" s="5" t="s">
        <v>49</v>
      </c>
      <c r="F5250" s="9">
        <v>83</v>
      </c>
      <c r="G5250" s="9">
        <v>1016</v>
      </c>
      <c r="H5250" s="5" t="s">
        <v>21</v>
      </c>
      <c r="I5250" s="5" t="s">
        <v>12874</v>
      </c>
      <c r="J5250" s="12" t="str">
        <f>HYPERLINK("https://www.boe.es/gazeta/dias/1802/10/12/pdfs/GMD-1802-83.pdf#page=4","Abrir facsímil")</f>
        <v>Abrir facsímil</v>
      </c>
      <c r="K5250" s="15" t="s">
        <v>23</v>
      </c>
    </row>
    <row r="5251" spans="1:11" ht="42" customHeight="1">
      <c r="A5251" s="4" t="s">
        <v>12875</v>
      </c>
      <c r="B5251" s="5" t="s">
        <v>12876</v>
      </c>
      <c r="C5251" s="5" t="s">
        <v>18</v>
      </c>
      <c r="D5251" s="5" t="s">
        <v>19</v>
      </c>
      <c r="E5251" s="5" t="s">
        <v>764</v>
      </c>
      <c r="F5251" s="9">
        <v>69</v>
      </c>
      <c r="G5251" s="9">
        <v>849</v>
      </c>
      <c r="H5251" s="5" t="s">
        <v>21</v>
      </c>
      <c r="I5251" s="5" t="s">
        <v>12877</v>
      </c>
      <c r="J5251" s="12" t="str">
        <f>HYPERLINK("https://www.boe.es/gazeta/dias/1802/08/24/pdfs/GMD-1802-69.pdf#page=9","Abrir facsímil")</f>
        <v>Abrir facsímil</v>
      </c>
      <c r="K5251" s="15" t="s">
        <v>23</v>
      </c>
    </row>
    <row r="5252" spans="1:11" ht="42" customHeight="1">
      <c r="A5252" s="4" t="s">
        <v>12878</v>
      </c>
      <c r="B5252" s="5" t="s">
        <v>12879</v>
      </c>
      <c r="C5252" s="5" t="s">
        <v>160</v>
      </c>
      <c r="D5252" s="5" t="s">
        <v>91</v>
      </c>
      <c r="E5252" s="5" t="s">
        <v>165</v>
      </c>
      <c r="F5252" s="9">
        <v>3</v>
      </c>
      <c r="G5252" s="9">
        <v>28</v>
      </c>
      <c r="H5252" s="5" t="s">
        <v>21</v>
      </c>
      <c r="I5252" s="5" t="s">
        <v>12880</v>
      </c>
      <c r="J5252" s="12" t="str">
        <f>HYPERLINK("https://www.boe.es/gazeta/dias/1802/01/08/pdfs/GMD-1802-3.pdf#page=8","Abrir facsímil")</f>
        <v>Abrir facsímil</v>
      </c>
      <c r="K5252" s="15" t="s">
        <v>23</v>
      </c>
    </row>
    <row r="5253" spans="1:11" ht="42" customHeight="1">
      <c r="A5253" s="4" t="s">
        <v>12878</v>
      </c>
      <c r="B5253" s="5" t="s">
        <v>12879</v>
      </c>
      <c r="C5253" s="5" t="s">
        <v>160</v>
      </c>
      <c r="D5253" s="5" t="s">
        <v>91</v>
      </c>
      <c r="E5253" s="5" t="s">
        <v>60</v>
      </c>
      <c r="F5253" s="9">
        <v>5</v>
      </c>
      <c r="G5253" s="9">
        <v>52</v>
      </c>
      <c r="H5253" s="5" t="s">
        <v>21</v>
      </c>
      <c r="I5253" s="5" t="s">
        <v>12881</v>
      </c>
      <c r="J5253" s="12" t="str">
        <f>HYPERLINK("https://www.boe.es/gazeta/dias/1802/01/15/pdfs/GMD-1802-5.pdf#page=8","Abrir facsímil")</f>
        <v>Abrir facsímil</v>
      </c>
      <c r="K5253" s="15" t="s">
        <v>23</v>
      </c>
    </row>
    <row r="5254" spans="1:11" ht="42" customHeight="1">
      <c r="A5254" s="4" t="s">
        <v>12878</v>
      </c>
      <c r="B5254" s="5" t="s">
        <v>12879</v>
      </c>
      <c r="C5254" s="5" t="s">
        <v>160</v>
      </c>
      <c r="D5254" s="5" t="s">
        <v>91</v>
      </c>
      <c r="E5254" s="5" t="s">
        <v>128</v>
      </c>
      <c r="F5254" s="9">
        <v>9</v>
      </c>
      <c r="G5254" s="9">
        <v>90</v>
      </c>
      <c r="H5254" s="5" t="s">
        <v>21</v>
      </c>
      <c r="I5254" s="5" t="s">
        <v>12882</v>
      </c>
      <c r="J5254" s="12" t="str">
        <f>HYPERLINK("https://www.boe.es/gazeta/dias/1802/01/29/pdfs/GMD-1802-9.pdf#page=10","Abrir facsímil")</f>
        <v>Abrir facsímil</v>
      </c>
      <c r="K5254" s="15" t="s">
        <v>23</v>
      </c>
    </row>
    <row r="5255" spans="1:11" ht="42" customHeight="1">
      <c r="A5255" s="4" t="s">
        <v>12878</v>
      </c>
      <c r="B5255" s="5" t="s">
        <v>12879</v>
      </c>
      <c r="C5255" s="5" t="s">
        <v>160</v>
      </c>
      <c r="D5255" s="5" t="s">
        <v>91</v>
      </c>
      <c r="E5255" s="5" t="s">
        <v>109</v>
      </c>
      <c r="F5255" s="9">
        <v>10</v>
      </c>
      <c r="G5255" s="9">
        <v>99</v>
      </c>
      <c r="H5255" s="5" t="s">
        <v>21</v>
      </c>
      <c r="I5255" s="5" t="s">
        <v>12883</v>
      </c>
      <c r="J5255" s="12" t="str">
        <f>HYPERLINK("https://www.boe.es/gazeta/dias/1802/02/02/pdfs/GMD-1802-10.pdf#page=7","Abrir facsímil")</f>
        <v>Abrir facsímil</v>
      </c>
      <c r="K5255" s="15" t="s">
        <v>23</v>
      </c>
    </row>
    <row r="5256" spans="1:11" ht="42" customHeight="1">
      <c r="A5256" s="4" t="s">
        <v>12884</v>
      </c>
      <c r="B5256" s="5" t="s">
        <v>12885</v>
      </c>
      <c r="C5256" s="5" t="s">
        <v>160</v>
      </c>
      <c r="D5256" s="5" t="s">
        <v>91</v>
      </c>
      <c r="E5256" s="5" t="s">
        <v>900</v>
      </c>
      <c r="F5256" s="9">
        <v>16</v>
      </c>
      <c r="G5256" s="9">
        <v>170</v>
      </c>
      <c r="H5256" s="5" t="s">
        <v>21</v>
      </c>
      <c r="I5256" s="5" t="s">
        <v>12886</v>
      </c>
      <c r="J5256" s="12" t="str">
        <f>HYPERLINK("https://www.boe.es/gazeta/dias/1802/02/23/pdfs/GMD-1802-16.pdf#page=10","Abrir facsímil")</f>
        <v>Abrir facsímil</v>
      </c>
      <c r="K5256" s="15" t="s">
        <v>23</v>
      </c>
    </row>
    <row r="5257" spans="1:11" ht="42" customHeight="1">
      <c r="A5257" s="4" t="s">
        <v>12878</v>
      </c>
      <c r="B5257" s="5" t="s">
        <v>12879</v>
      </c>
      <c r="C5257" s="5" t="s">
        <v>18</v>
      </c>
      <c r="D5257" s="5" t="s">
        <v>19</v>
      </c>
      <c r="E5257" s="5" t="s">
        <v>1097</v>
      </c>
      <c r="F5257" s="9">
        <v>20</v>
      </c>
      <c r="G5257" s="9">
        <v>222</v>
      </c>
      <c r="H5257" s="5" t="s">
        <v>21</v>
      </c>
      <c r="I5257" s="5" t="s">
        <v>12887</v>
      </c>
      <c r="J5257" s="12" t="str">
        <f>HYPERLINK("https://www.boe.es/gazeta/dias/1802/03/09/pdfs/GMD-1802-20.pdf#page=10","Abrir facsímil")</f>
        <v>Abrir facsímil</v>
      </c>
      <c r="K5257" s="15" t="s">
        <v>23</v>
      </c>
    </row>
    <row r="5258" spans="1:11" ht="42" customHeight="1">
      <c r="A5258" s="4" t="s">
        <v>12888</v>
      </c>
      <c r="B5258" s="5" t="s">
        <v>12889</v>
      </c>
      <c r="C5258" s="5" t="s">
        <v>18</v>
      </c>
      <c r="D5258" s="5" t="s">
        <v>19</v>
      </c>
      <c r="E5258" s="5" t="s">
        <v>128</v>
      </c>
      <c r="F5258" s="9">
        <v>9</v>
      </c>
      <c r="G5258" s="9">
        <v>88</v>
      </c>
      <c r="H5258" s="5" t="s">
        <v>21</v>
      </c>
      <c r="I5258" s="5" t="s">
        <v>12890</v>
      </c>
      <c r="J5258" s="12" t="str">
        <f>HYPERLINK("https://www.boe.es/gazeta/dias/1802/01/29/pdfs/GMD-1802-9.pdf#page=8","Abrir facsímil")</f>
        <v>Abrir facsímil</v>
      </c>
      <c r="K5258" s="15" t="s">
        <v>23</v>
      </c>
    </row>
    <row r="5259" spans="1:11" ht="42" customHeight="1">
      <c r="A5259" s="4" t="s">
        <v>12891</v>
      </c>
      <c r="B5259" s="5" t="s">
        <v>12891</v>
      </c>
      <c r="C5259" s="5" t="s">
        <v>35</v>
      </c>
      <c r="D5259" s="5" t="s">
        <v>36</v>
      </c>
      <c r="E5259" s="5" t="s">
        <v>1588</v>
      </c>
      <c r="F5259" s="9">
        <v>18</v>
      </c>
      <c r="G5259" s="9">
        <v>193</v>
      </c>
      <c r="H5259" s="5" t="s">
        <v>21</v>
      </c>
      <c r="I5259" s="5" t="s">
        <v>12892</v>
      </c>
      <c r="J5259" s="12" t="str">
        <f>HYPERLINK("https://www.boe.es/gazeta/dias/1802/03/02/pdfs/GMD-1802-18.pdf#page=5","Abrir facsímil")</f>
        <v>Abrir facsímil</v>
      </c>
      <c r="K5259" s="15" t="s">
        <v>23</v>
      </c>
    </row>
    <row r="5260" spans="1:11" ht="42" customHeight="1">
      <c r="A5260" s="4" t="s">
        <v>12893</v>
      </c>
      <c r="B5260" s="5" t="s">
        <v>12894</v>
      </c>
      <c r="C5260" s="5" t="s">
        <v>18</v>
      </c>
      <c r="D5260" s="5" t="s">
        <v>19</v>
      </c>
      <c r="E5260" s="5" t="s">
        <v>49</v>
      </c>
      <c r="F5260" s="9">
        <v>83</v>
      </c>
      <c r="G5260" s="9">
        <v>1023</v>
      </c>
      <c r="H5260" s="5" t="s">
        <v>21</v>
      </c>
      <c r="I5260" s="5" t="s">
        <v>12895</v>
      </c>
      <c r="J5260" s="12" t="str">
        <f>HYPERLINK("https://www.boe.es/gazeta/dias/1802/10/12/pdfs/GMD-1802-83.pdf#page=11","Abrir facsímil")</f>
        <v>Abrir facsímil</v>
      </c>
      <c r="K5260" s="15" t="s">
        <v>23</v>
      </c>
    </row>
    <row r="5261" spans="1:11" ht="42" customHeight="1">
      <c r="A5261" s="4" t="s">
        <v>12896</v>
      </c>
      <c r="B5261" s="5" t="s">
        <v>12897</v>
      </c>
      <c r="C5261" s="5" t="s">
        <v>29</v>
      </c>
      <c r="D5261" s="5" t="s">
        <v>30</v>
      </c>
      <c r="E5261" s="5" t="s">
        <v>491</v>
      </c>
      <c r="F5261" s="9">
        <v>57</v>
      </c>
      <c r="G5261" s="9">
        <v>689</v>
      </c>
      <c r="H5261" s="5" t="s">
        <v>21</v>
      </c>
      <c r="I5261" s="5" t="s">
        <v>12898</v>
      </c>
      <c r="J5261" s="12" t="str">
        <f>HYPERLINK("https://www.boe.es/gazeta/dias/1802/07/16/pdfs/GMD-1802-57.pdf#page=9","Abrir facsímil")</f>
        <v>Abrir facsímil</v>
      </c>
      <c r="K5261" s="15" t="s">
        <v>23</v>
      </c>
    </row>
    <row r="5262" spans="1:11" ht="42" customHeight="1">
      <c r="A5262" s="4" t="s">
        <v>12899</v>
      </c>
      <c r="B5262" s="5" t="s">
        <v>12900</v>
      </c>
      <c r="C5262" s="5" t="s">
        <v>18</v>
      </c>
      <c r="D5262" s="5" t="s">
        <v>19</v>
      </c>
      <c r="E5262" s="5" t="s">
        <v>20</v>
      </c>
      <c r="F5262" s="9">
        <v>84</v>
      </c>
      <c r="G5262" s="9">
        <v>1042</v>
      </c>
      <c r="H5262" s="5" t="s">
        <v>21</v>
      </c>
      <c r="I5262" s="5" t="s">
        <v>12901</v>
      </c>
      <c r="J5262" s="12" t="str">
        <f>HYPERLINK("https://www.boe.es/gazeta/dias/1802/10/15/pdfs/GMD-1802-84.pdf#page=10","Abrir facsímil")</f>
        <v>Abrir facsímil</v>
      </c>
      <c r="K5262" s="15" t="s">
        <v>23</v>
      </c>
    </row>
    <row r="5263" spans="1:11" ht="42" customHeight="1">
      <c r="A5263" s="4" t="s">
        <v>12902</v>
      </c>
      <c r="B5263" s="5" t="s">
        <v>12903</v>
      </c>
      <c r="C5263" s="5" t="s">
        <v>18</v>
      </c>
      <c r="D5263" s="5" t="s">
        <v>19</v>
      </c>
      <c r="E5263" s="5" t="s">
        <v>152</v>
      </c>
      <c r="F5263" s="9">
        <v>25</v>
      </c>
      <c r="G5263" s="9">
        <v>285</v>
      </c>
      <c r="H5263" s="5" t="s">
        <v>21</v>
      </c>
      <c r="I5263" s="5" t="s">
        <v>12904</v>
      </c>
      <c r="J5263" s="12" t="str">
        <f>HYPERLINK("https://www.boe.es/gazeta/dias/1802/03/26/pdfs/GMD-1802-25.pdf#page=9","Abrir facsímil")</f>
        <v>Abrir facsímil</v>
      </c>
      <c r="K5263" s="15" t="s">
        <v>23</v>
      </c>
    </row>
    <row r="5264" spans="1:11" ht="42" customHeight="1">
      <c r="A5264" s="4" t="s">
        <v>12905</v>
      </c>
      <c r="B5264" s="5" t="s">
        <v>12906</v>
      </c>
      <c r="C5264" s="5" t="s">
        <v>18</v>
      </c>
      <c r="D5264" s="5" t="s">
        <v>19</v>
      </c>
      <c r="E5264" s="5" t="s">
        <v>826</v>
      </c>
      <c r="F5264" s="9">
        <v>67</v>
      </c>
      <c r="G5264" s="9">
        <v>819</v>
      </c>
      <c r="H5264" s="5" t="s">
        <v>21</v>
      </c>
      <c r="I5264" s="5" t="s">
        <v>12907</v>
      </c>
      <c r="J5264" s="12" t="str">
        <f>HYPERLINK("https://www.boe.es/gazeta/dias/1802/08/17/pdfs/GMD-1802-67.pdf#page=7","Abrir facsímil")</f>
        <v>Abrir facsímil</v>
      </c>
      <c r="K5264" s="15" t="s">
        <v>23</v>
      </c>
    </row>
    <row r="5265" spans="1:11" ht="42" customHeight="1">
      <c r="A5265" s="4" t="s">
        <v>12908</v>
      </c>
      <c r="B5265" s="5" t="s">
        <v>12909</v>
      </c>
      <c r="C5265" s="5" t="s">
        <v>29</v>
      </c>
      <c r="D5265" s="5" t="s">
        <v>30</v>
      </c>
      <c r="E5265" s="5" t="s">
        <v>131</v>
      </c>
      <c r="F5265" s="9">
        <v>11</v>
      </c>
      <c r="G5265" s="9">
        <v>114</v>
      </c>
      <c r="H5265" s="5" t="s">
        <v>21</v>
      </c>
      <c r="I5265" s="5" t="s">
        <v>12910</v>
      </c>
      <c r="J5265" s="12" t="str">
        <f>HYPERLINK("https://www.boe.es/gazeta/dias/1802/02/05/pdfs/GMD-1802-11.pdf#page=10","Abrir facsímil")</f>
        <v>Abrir facsímil</v>
      </c>
      <c r="K5265" s="15" t="s">
        <v>23</v>
      </c>
    </row>
    <row r="5266" spans="1:11" ht="42" customHeight="1">
      <c r="A5266" s="4" t="s">
        <v>12911</v>
      </c>
      <c r="B5266" s="5" t="s">
        <v>12912</v>
      </c>
      <c r="C5266" s="5" t="s">
        <v>90</v>
      </c>
      <c r="D5266" s="5" t="s">
        <v>91</v>
      </c>
      <c r="E5266" s="5" t="s">
        <v>86</v>
      </c>
      <c r="F5266" s="9">
        <v>26</v>
      </c>
      <c r="G5266" s="9">
        <v>298</v>
      </c>
      <c r="H5266" s="5" t="s">
        <v>21</v>
      </c>
      <c r="I5266" s="5" t="s">
        <v>12913</v>
      </c>
      <c r="J5266" s="12" t="str">
        <f>HYPERLINK("https://www.boe.es/gazeta/dias/1802/03/30/pdfs/GMD-1802-26.pdf#page=10","Abrir facsímil")</f>
        <v>Abrir facsímil</v>
      </c>
      <c r="K5266" s="15" t="s">
        <v>23</v>
      </c>
    </row>
    <row r="5267" spans="1:11" ht="42" customHeight="1">
      <c r="A5267" s="4" t="s">
        <v>12914</v>
      </c>
      <c r="B5267" s="5" t="s">
        <v>12915</v>
      </c>
      <c r="C5267" s="5" t="s">
        <v>29</v>
      </c>
      <c r="D5267" s="5" t="s">
        <v>30</v>
      </c>
      <c r="E5267" s="5" t="s">
        <v>49</v>
      </c>
      <c r="F5267" s="9">
        <v>83</v>
      </c>
      <c r="G5267" s="9">
        <v>1026</v>
      </c>
      <c r="H5267" s="5" t="s">
        <v>21</v>
      </c>
      <c r="I5267" s="5" t="s">
        <v>12916</v>
      </c>
      <c r="J5267" s="12" t="str">
        <f>HYPERLINK("https://www.boe.es/gazeta/dias/1802/10/12/pdfs/GMD-1802-83.pdf#page=14","Abrir facsímil")</f>
        <v>Abrir facsímil</v>
      </c>
      <c r="K5267" s="15" t="s">
        <v>23</v>
      </c>
    </row>
    <row r="5268" spans="1:11" ht="42" customHeight="1">
      <c r="A5268" s="4" t="s">
        <v>12917</v>
      </c>
      <c r="B5268" s="5" t="s">
        <v>12918</v>
      </c>
      <c r="C5268" s="5" t="s">
        <v>160</v>
      </c>
      <c r="D5268" s="5" t="s">
        <v>91</v>
      </c>
      <c r="E5268" s="5" t="s">
        <v>332</v>
      </c>
      <c r="F5268" s="9">
        <v>24</v>
      </c>
      <c r="G5268" s="9">
        <v>274</v>
      </c>
      <c r="H5268" s="5" t="s">
        <v>21</v>
      </c>
      <c r="I5268" s="5" t="s">
        <v>12919</v>
      </c>
      <c r="J5268" s="12" t="str">
        <f>HYPERLINK("https://www.boe.es/gazeta/dias/1802/03/23/pdfs/GMD-1802-24.pdf#page=10","Abrir facsímil")</f>
        <v>Abrir facsímil</v>
      </c>
      <c r="K5268" s="15" t="s">
        <v>23</v>
      </c>
    </row>
    <row r="5269" spans="1:11" ht="42" customHeight="1">
      <c r="A5269" s="4" t="s">
        <v>12917</v>
      </c>
      <c r="B5269" s="5" t="s">
        <v>12918</v>
      </c>
      <c r="C5269" s="5" t="s">
        <v>160</v>
      </c>
      <c r="D5269" s="5" t="s">
        <v>91</v>
      </c>
      <c r="E5269" s="5" t="s">
        <v>1289</v>
      </c>
      <c r="F5269" s="9">
        <v>72</v>
      </c>
      <c r="G5269" s="9">
        <v>891</v>
      </c>
      <c r="H5269" s="5" t="s">
        <v>21</v>
      </c>
      <c r="I5269" s="5" t="s">
        <v>12920</v>
      </c>
      <c r="J5269" s="12" t="str">
        <f>HYPERLINK("https://www.boe.es/gazeta/dias/1802/09/03/pdfs/GMD-1802-72.pdf#page=11","Abrir facsímil")</f>
        <v>Abrir facsímil</v>
      </c>
      <c r="K5269" s="15" t="s">
        <v>23</v>
      </c>
    </row>
    <row r="5270" spans="1:11" ht="42" customHeight="1">
      <c r="A5270" s="4" t="s">
        <v>12917</v>
      </c>
      <c r="B5270" s="5" t="s">
        <v>12918</v>
      </c>
      <c r="C5270" s="5" t="s">
        <v>160</v>
      </c>
      <c r="D5270" s="5" t="s">
        <v>91</v>
      </c>
      <c r="E5270" s="5" t="s">
        <v>121</v>
      </c>
      <c r="F5270" s="9">
        <v>87</v>
      </c>
      <c r="G5270" s="9">
        <v>1082</v>
      </c>
      <c r="H5270" s="5" t="s">
        <v>21</v>
      </c>
      <c r="I5270" s="5" t="s">
        <v>12921</v>
      </c>
      <c r="J5270" s="12" t="str">
        <f>HYPERLINK("https://www.boe.es/gazeta/dias/1802/10/26/pdfs/GMD-1802-87.pdf#page=10","Abrir facsímil")</f>
        <v>Abrir facsímil</v>
      </c>
      <c r="K5270" s="15" t="s">
        <v>23</v>
      </c>
    </row>
    <row r="5271" spans="1:11" ht="42" customHeight="1">
      <c r="A5271" s="4" t="s">
        <v>12917</v>
      </c>
      <c r="B5271" s="5" t="s">
        <v>12918</v>
      </c>
      <c r="C5271" s="5" t="s">
        <v>160</v>
      </c>
      <c r="D5271" s="5" t="s">
        <v>91</v>
      </c>
      <c r="E5271" s="5" t="s">
        <v>325</v>
      </c>
      <c r="F5271" s="9">
        <v>90</v>
      </c>
      <c r="G5271" s="9">
        <v>1120</v>
      </c>
      <c r="H5271" s="5" t="s">
        <v>21</v>
      </c>
      <c r="I5271" s="5" t="s">
        <v>12922</v>
      </c>
      <c r="J5271" s="12" t="str">
        <f>HYPERLINK("https://www.boe.es/gazeta/dias/1802/11/05/pdfs/GMD-1802-90.pdf#page=12","Abrir facsímil")</f>
        <v>Abrir facsímil</v>
      </c>
      <c r="K5271" s="15" t="s">
        <v>23</v>
      </c>
    </row>
    <row r="5272" spans="1:11" ht="42" customHeight="1">
      <c r="A5272" s="4" t="s">
        <v>12923</v>
      </c>
      <c r="B5272" s="5" t="s">
        <v>12924</v>
      </c>
      <c r="C5272" s="5" t="s">
        <v>18</v>
      </c>
      <c r="D5272" s="5" t="s">
        <v>19</v>
      </c>
      <c r="E5272" s="5" t="s">
        <v>20</v>
      </c>
      <c r="F5272" s="9">
        <v>84</v>
      </c>
      <c r="G5272" s="9">
        <v>1047</v>
      </c>
      <c r="H5272" s="5" t="s">
        <v>21</v>
      </c>
      <c r="I5272" s="5" t="s">
        <v>12925</v>
      </c>
      <c r="J5272" s="12" t="str">
        <f>HYPERLINK("https://www.boe.es/gazeta/dias/1802/10/15/pdfs/GMD-1802-84.pdf#page=15","Abrir facsímil")</f>
        <v>Abrir facsímil</v>
      </c>
      <c r="K5272" s="15" t="s">
        <v>23</v>
      </c>
    </row>
    <row r="5273" spans="1:11" ht="42" customHeight="1">
      <c r="A5273" s="4" t="s">
        <v>12926</v>
      </c>
      <c r="B5273" s="5" t="s">
        <v>12927</v>
      </c>
      <c r="C5273" s="5" t="s">
        <v>18</v>
      </c>
      <c r="D5273" s="5" t="s">
        <v>19</v>
      </c>
      <c r="E5273" s="5" t="s">
        <v>631</v>
      </c>
      <c r="F5273" s="9">
        <v>36</v>
      </c>
      <c r="G5273" s="9">
        <v>430</v>
      </c>
      <c r="H5273" s="5" t="s">
        <v>21</v>
      </c>
      <c r="I5273" s="5" t="s">
        <v>12928</v>
      </c>
      <c r="J5273" s="12" t="str">
        <f>HYPERLINK("https://www.boe.es/gazeta/dias/1802/05/04/pdfs/GMD-1802-36.pdf#page=10","Abrir facsímil")</f>
        <v>Abrir facsímil</v>
      </c>
      <c r="K5273" s="15" t="s">
        <v>23</v>
      </c>
    </row>
    <row r="5274" spans="1:11" ht="42" customHeight="1">
      <c r="A5274" s="4" t="s">
        <v>12929</v>
      </c>
      <c r="B5274" s="5" t="s">
        <v>12930</v>
      </c>
      <c r="C5274" s="5" t="s">
        <v>29</v>
      </c>
      <c r="D5274" s="5" t="s">
        <v>30</v>
      </c>
      <c r="E5274" s="5" t="s">
        <v>49</v>
      </c>
      <c r="F5274" s="9">
        <v>83</v>
      </c>
      <c r="G5274" s="9">
        <v>1023</v>
      </c>
      <c r="H5274" s="5" t="s">
        <v>21</v>
      </c>
      <c r="I5274" s="5" t="s">
        <v>12931</v>
      </c>
      <c r="J5274" s="12" t="str">
        <f>HYPERLINK("https://www.boe.es/gazeta/dias/1802/10/12/pdfs/GMD-1802-83.pdf#page=11","Abrir facsímil")</f>
        <v>Abrir facsímil</v>
      </c>
      <c r="K5274" s="15" t="s">
        <v>23</v>
      </c>
    </row>
    <row r="5275" spans="1:11" ht="42" customHeight="1">
      <c r="A5275" s="4" t="s">
        <v>12932</v>
      </c>
      <c r="B5275" s="5" t="s">
        <v>12933</v>
      </c>
      <c r="C5275" s="5" t="s">
        <v>18</v>
      </c>
      <c r="D5275" s="5" t="s">
        <v>19</v>
      </c>
      <c r="E5275" s="5" t="s">
        <v>49</v>
      </c>
      <c r="F5275" s="9">
        <v>83</v>
      </c>
      <c r="G5275" s="9">
        <v>1025</v>
      </c>
      <c r="H5275" s="5" t="s">
        <v>21</v>
      </c>
      <c r="I5275" s="5" t="s">
        <v>12934</v>
      </c>
      <c r="J5275" s="12" t="str">
        <f>HYPERLINK("https://www.boe.es/gazeta/dias/1802/10/12/pdfs/GMD-1802-83.pdf#page=13","Abrir facsímil")</f>
        <v>Abrir facsímil</v>
      </c>
      <c r="K5275" s="15" t="s">
        <v>23</v>
      </c>
    </row>
    <row r="5276" spans="1:11" ht="42" customHeight="1">
      <c r="A5276" s="4" t="s">
        <v>12935</v>
      </c>
      <c r="B5276" s="5" t="s">
        <v>12936</v>
      </c>
      <c r="C5276" s="5" t="s">
        <v>29</v>
      </c>
      <c r="D5276" s="5" t="s">
        <v>30</v>
      </c>
      <c r="E5276" s="5" t="s">
        <v>299</v>
      </c>
      <c r="F5276" s="9">
        <v>19</v>
      </c>
      <c r="G5276" s="9">
        <v>210</v>
      </c>
      <c r="H5276" s="5" t="s">
        <v>21</v>
      </c>
      <c r="I5276" s="5" t="s">
        <v>12937</v>
      </c>
      <c r="J5276" s="12" t="str">
        <f>HYPERLINK("https://www.boe.es/gazeta/dias/1802/03/05/pdfs/GMD-1802-19.pdf#page=10","Abrir facsímil")</f>
        <v>Abrir facsímil</v>
      </c>
      <c r="K5276" s="15" t="s">
        <v>23</v>
      </c>
    </row>
    <row r="5277" spans="1:11" ht="42" customHeight="1">
      <c r="A5277" s="4" t="s">
        <v>12938</v>
      </c>
      <c r="B5277" s="5" t="s">
        <v>12939</v>
      </c>
      <c r="C5277" s="5" t="s">
        <v>18</v>
      </c>
      <c r="D5277" s="5" t="s">
        <v>19</v>
      </c>
      <c r="E5277" s="5" t="s">
        <v>206</v>
      </c>
      <c r="F5277" s="9">
        <v>22</v>
      </c>
      <c r="G5277" s="9">
        <v>240</v>
      </c>
      <c r="H5277" s="5" t="s">
        <v>21</v>
      </c>
      <c r="I5277" s="5" t="s">
        <v>12940</v>
      </c>
      <c r="J5277" s="12" t="str">
        <f>HYPERLINK("https://www.boe.es/gazeta/dias/1802/03/16/pdfs/GMD-1802-22.pdf#page=8","Abrir facsímil")</f>
        <v>Abrir facsímil</v>
      </c>
      <c r="K5277" s="15" t="s">
        <v>23</v>
      </c>
    </row>
    <row r="5278" spans="1:11" ht="42" customHeight="1">
      <c r="A5278" s="4" t="s">
        <v>12941</v>
      </c>
      <c r="B5278" s="5" t="s">
        <v>12942</v>
      </c>
      <c r="C5278" s="5" t="s">
        <v>18</v>
      </c>
      <c r="D5278" s="5" t="s">
        <v>19</v>
      </c>
      <c r="E5278" s="5" t="s">
        <v>75</v>
      </c>
      <c r="F5278" s="9">
        <v>103</v>
      </c>
      <c r="G5278" s="9">
        <v>1263</v>
      </c>
      <c r="H5278" s="5" t="s">
        <v>21</v>
      </c>
      <c r="I5278" s="5" t="s">
        <v>12943</v>
      </c>
      <c r="J5278" s="12" t="str">
        <f>HYPERLINK("https://www.boe.es/gazeta/dias/1802/12/21/pdfs/GMD-1802-103.pdf#page=7","Abrir facsímil")</f>
        <v>Abrir facsímil</v>
      </c>
      <c r="K5278" s="15" t="s">
        <v>23</v>
      </c>
    </row>
    <row r="5279" spans="1:11" ht="42" customHeight="1">
      <c r="A5279" s="4" t="s">
        <v>12944</v>
      </c>
      <c r="B5279" s="5" t="s">
        <v>12945</v>
      </c>
      <c r="C5279" s="5" t="s">
        <v>42</v>
      </c>
      <c r="D5279" s="5" t="s">
        <v>43</v>
      </c>
      <c r="E5279" s="5" t="s">
        <v>44</v>
      </c>
      <c r="F5279" s="9">
        <v>99</v>
      </c>
      <c r="G5279" s="9" t="s">
        <v>78</v>
      </c>
      <c r="H5279" s="5" t="s">
        <v>21</v>
      </c>
      <c r="I5279" s="5" t="s">
        <v>12946</v>
      </c>
      <c r="J5279" s="12" t="str">
        <f>HYPERLINK("https://www.boe.es/gazeta/dias/1802/12/07/pdfs/GMD-D-1802-99.pdf#page=15","Abrir facsímil")</f>
        <v>Abrir facsímil</v>
      </c>
      <c r="K5279" s="15" t="s">
        <v>23</v>
      </c>
    </row>
    <row r="5280" spans="1:11" ht="42" customHeight="1">
      <c r="A5280" s="4" t="s">
        <v>12947</v>
      </c>
      <c r="B5280" s="5" t="s">
        <v>12948</v>
      </c>
      <c r="C5280" s="5" t="s">
        <v>55</v>
      </c>
      <c r="D5280" s="5" t="s">
        <v>56</v>
      </c>
      <c r="E5280" s="5" t="s">
        <v>114</v>
      </c>
      <c r="F5280" s="9">
        <v>82</v>
      </c>
      <c r="G5280" s="9">
        <v>1012</v>
      </c>
      <c r="H5280" s="5" t="s">
        <v>21</v>
      </c>
      <c r="I5280" s="5" t="s">
        <v>12949</v>
      </c>
      <c r="J5280" s="12" t="str">
        <f>HYPERLINK("https://www.boe.es/gazeta/dias/1802/10/08/pdfs/GMD-1802-82.pdf#page=12","Abrir facsímil")</f>
        <v>Abrir facsímil</v>
      </c>
      <c r="K5280" s="15" t="s">
        <v>23</v>
      </c>
    </row>
    <row r="5281" spans="1:11" ht="42" customHeight="1">
      <c r="A5281" s="4" t="s">
        <v>12950</v>
      </c>
      <c r="B5281" s="5" t="s">
        <v>12951</v>
      </c>
      <c r="C5281" s="5" t="s">
        <v>35</v>
      </c>
      <c r="D5281" s="5" t="s">
        <v>36</v>
      </c>
      <c r="E5281" s="5" t="s">
        <v>165</v>
      </c>
      <c r="F5281" s="9">
        <v>3</v>
      </c>
      <c r="G5281" s="9">
        <v>24</v>
      </c>
      <c r="H5281" s="5" t="s">
        <v>21</v>
      </c>
      <c r="I5281" s="5" t="s">
        <v>12952</v>
      </c>
      <c r="J5281" s="12" t="str">
        <f>HYPERLINK("https://www.boe.es/gazeta/dias/1802/01/08/pdfs/GMD-1802-3.pdf#page=4","Abrir facsímil")</f>
        <v>Abrir facsímil</v>
      </c>
      <c r="K5281" s="15" t="s">
        <v>23</v>
      </c>
    </row>
    <row r="5282" spans="1:11" ht="42" customHeight="1">
      <c r="A5282" s="4" t="s">
        <v>12950</v>
      </c>
      <c r="B5282" s="5" t="s">
        <v>12951</v>
      </c>
      <c r="C5282" s="5" t="s">
        <v>29</v>
      </c>
      <c r="D5282" s="5" t="s">
        <v>30</v>
      </c>
      <c r="E5282" s="5" t="s">
        <v>1332</v>
      </c>
      <c r="F5282" s="9">
        <v>4</v>
      </c>
      <c r="G5282" s="9">
        <v>35</v>
      </c>
      <c r="H5282" s="5" t="s">
        <v>21</v>
      </c>
      <c r="I5282" s="5" t="s">
        <v>12953</v>
      </c>
      <c r="J5282" s="12" t="str">
        <f>HYPERLINK("https://www.boe.es/gazeta/dias/1802/01/12/pdfs/GMD-1802-4.pdf#page=7","Abrir facsímil")</f>
        <v>Abrir facsímil</v>
      </c>
      <c r="K5282" s="15" t="s">
        <v>23</v>
      </c>
    </row>
    <row r="5283" spans="1:11" ht="42" customHeight="1">
      <c r="A5283" s="4" t="s">
        <v>12950</v>
      </c>
      <c r="B5283" s="5" t="s">
        <v>12951</v>
      </c>
      <c r="C5283" s="5" t="s">
        <v>35</v>
      </c>
      <c r="D5283" s="5" t="s">
        <v>36</v>
      </c>
      <c r="E5283" s="5" t="s">
        <v>60</v>
      </c>
      <c r="F5283" s="9">
        <v>5</v>
      </c>
      <c r="G5283" s="9">
        <v>48</v>
      </c>
      <c r="H5283" s="5" t="s">
        <v>21</v>
      </c>
      <c r="I5283" s="5" t="s">
        <v>12954</v>
      </c>
      <c r="J5283" s="12" t="str">
        <f>HYPERLINK("https://www.boe.es/gazeta/dias/1802/01/15/pdfs/GMD-1802-5.pdf#page=4","Abrir facsímil")</f>
        <v>Abrir facsímil</v>
      </c>
      <c r="K5283" s="15" t="s">
        <v>23</v>
      </c>
    </row>
    <row r="5284" spans="1:11" ht="42" customHeight="1">
      <c r="A5284" s="4" t="s">
        <v>12950</v>
      </c>
      <c r="B5284" s="5" t="s">
        <v>12951</v>
      </c>
      <c r="C5284" s="5" t="s">
        <v>35</v>
      </c>
      <c r="D5284" s="5" t="s">
        <v>36</v>
      </c>
      <c r="E5284" s="5" t="s">
        <v>1407</v>
      </c>
      <c r="F5284" s="9">
        <v>8</v>
      </c>
      <c r="G5284" s="9">
        <v>76</v>
      </c>
      <c r="H5284" s="5" t="s">
        <v>21</v>
      </c>
      <c r="I5284" s="5" t="s">
        <v>12955</v>
      </c>
      <c r="J5284" s="12" t="str">
        <f>HYPERLINK("https://www.boe.es/gazeta/dias/1802/01/26/pdfs/GMD-1802-8.pdf#page=4","Abrir facsímil")</f>
        <v>Abrir facsímil</v>
      </c>
      <c r="K5284" s="15" t="s">
        <v>23</v>
      </c>
    </row>
    <row r="5285" spans="1:11" ht="42" customHeight="1">
      <c r="A5285" s="4" t="s">
        <v>12950</v>
      </c>
      <c r="B5285" s="5" t="s">
        <v>12951</v>
      </c>
      <c r="C5285" s="5" t="s">
        <v>18</v>
      </c>
      <c r="D5285" s="5" t="s">
        <v>19</v>
      </c>
      <c r="E5285" s="5" t="s">
        <v>167</v>
      </c>
      <c r="F5285" s="9">
        <v>23</v>
      </c>
      <c r="G5285" s="9">
        <v>257</v>
      </c>
      <c r="H5285" s="5" t="s">
        <v>21</v>
      </c>
      <c r="I5285" s="5" t="s">
        <v>12956</v>
      </c>
      <c r="J5285" s="12" t="str">
        <f>HYPERLINK("https://www.boe.es/gazeta/dias/1802/03/19/pdfs/GMD-1802-23.pdf#page=5","Abrir facsímil")</f>
        <v>Abrir facsímil</v>
      </c>
      <c r="K5285" s="15" t="s">
        <v>23</v>
      </c>
    </row>
    <row r="5286" spans="1:11" ht="42" customHeight="1">
      <c r="A5286" s="4" t="s">
        <v>12950</v>
      </c>
      <c r="B5286" s="5" t="s">
        <v>12951</v>
      </c>
      <c r="C5286" s="5" t="s">
        <v>90</v>
      </c>
      <c r="D5286" s="5" t="s">
        <v>91</v>
      </c>
      <c r="E5286" s="5" t="s">
        <v>332</v>
      </c>
      <c r="F5286" s="9">
        <v>24</v>
      </c>
      <c r="G5286" s="9">
        <v>270</v>
      </c>
      <c r="H5286" s="5" t="s">
        <v>21</v>
      </c>
      <c r="I5286" s="5" t="s">
        <v>12957</v>
      </c>
      <c r="J5286" s="12" t="str">
        <f>HYPERLINK("https://www.boe.es/gazeta/dias/1802/03/23/pdfs/GMD-1802-24.pdf#page=6","Abrir facsímil")</f>
        <v>Abrir facsímil</v>
      </c>
      <c r="K5286" s="15" t="s">
        <v>23</v>
      </c>
    </row>
    <row r="5287" spans="1:11" ht="42" customHeight="1">
      <c r="A5287" s="4" t="s">
        <v>12950</v>
      </c>
      <c r="B5287" s="5" t="s">
        <v>12951</v>
      </c>
      <c r="C5287" s="5" t="s">
        <v>18</v>
      </c>
      <c r="D5287" s="5" t="s">
        <v>19</v>
      </c>
      <c r="E5287" s="5" t="s">
        <v>152</v>
      </c>
      <c r="F5287" s="9">
        <v>25</v>
      </c>
      <c r="G5287" s="9">
        <v>282</v>
      </c>
      <c r="H5287" s="5" t="s">
        <v>21</v>
      </c>
      <c r="I5287" s="5" t="s">
        <v>12958</v>
      </c>
      <c r="J5287" s="12" t="str">
        <f>HYPERLINK("https://www.boe.es/gazeta/dias/1802/03/26/pdfs/GMD-1802-25.pdf#page=6","Abrir facsímil")</f>
        <v>Abrir facsímil</v>
      </c>
      <c r="K5287" s="15" t="s">
        <v>23</v>
      </c>
    </row>
    <row r="5288" spans="1:11" ht="42" customHeight="1">
      <c r="A5288" s="4" t="s">
        <v>12950</v>
      </c>
      <c r="B5288" s="5" t="s">
        <v>12951</v>
      </c>
      <c r="C5288" s="5" t="s">
        <v>35</v>
      </c>
      <c r="D5288" s="5" t="s">
        <v>36</v>
      </c>
      <c r="E5288" s="5" t="s">
        <v>590</v>
      </c>
      <c r="F5288" s="9">
        <v>38</v>
      </c>
      <c r="G5288" s="9">
        <v>449</v>
      </c>
      <c r="H5288" s="5" t="s">
        <v>21</v>
      </c>
      <c r="I5288" s="5" t="s">
        <v>12959</v>
      </c>
      <c r="J5288" s="12" t="str">
        <f>HYPERLINK("https://www.boe.es/gazeta/dias/1802/05/11/pdfs/GMD-1802-38.pdf#page=5","Abrir facsímil")</f>
        <v>Abrir facsímil</v>
      </c>
      <c r="K5288" s="15" t="s">
        <v>23</v>
      </c>
    </row>
    <row r="5289" spans="1:11" ht="42" customHeight="1">
      <c r="A5289" s="4" t="s">
        <v>12950</v>
      </c>
      <c r="B5289" s="5" t="s">
        <v>12951</v>
      </c>
      <c r="C5289" s="5" t="s">
        <v>18</v>
      </c>
      <c r="D5289" s="5" t="s">
        <v>19</v>
      </c>
      <c r="E5289" s="5" t="s">
        <v>814</v>
      </c>
      <c r="F5289" s="9">
        <v>41</v>
      </c>
      <c r="G5289" s="9">
        <v>489</v>
      </c>
      <c r="H5289" s="5" t="s">
        <v>21</v>
      </c>
      <c r="I5289" s="5" t="s">
        <v>12960</v>
      </c>
      <c r="J5289" s="12" t="str">
        <f>HYPERLINK("https://www.boe.es/gazeta/dias/1802/05/21/pdfs/GMD-1802-41.pdf#page=5","Abrir facsímil")</f>
        <v>Abrir facsímil</v>
      </c>
      <c r="K5289" s="15" t="s">
        <v>23</v>
      </c>
    </row>
    <row r="5290" spans="1:11" ht="42" customHeight="1">
      <c r="A5290" s="4" t="s">
        <v>12950</v>
      </c>
      <c r="B5290" s="5" t="s">
        <v>12951</v>
      </c>
      <c r="C5290" s="5" t="s">
        <v>35</v>
      </c>
      <c r="D5290" s="5" t="s">
        <v>36</v>
      </c>
      <c r="E5290" s="5" t="s">
        <v>146</v>
      </c>
      <c r="F5290" s="9">
        <v>42</v>
      </c>
      <c r="G5290" s="9">
        <v>501</v>
      </c>
      <c r="H5290" s="5" t="s">
        <v>21</v>
      </c>
      <c r="I5290" s="5" t="s">
        <v>12961</v>
      </c>
      <c r="J5290" s="12" t="str">
        <f>HYPERLINK("https://www.boe.es/gazeta/dias/1802/05/25/pdfs/GMD-1802-42.pdf#page=5","Abrir facsímil")</f>
        <v>Abrir facsímil</v>
      </c>
      <c r="K5290" s="15" t="s">
        <v>23</v>
      </c>
    </row>
    <row r="5291" spans="1:11" ht="42" customHeight="1">
      <c r="A5291" s="4" t="s">
        <v>12950</v>
      </c>
      <c r="B5291" s="5" t="s">
        <v>12951</v>
      </c>
      <c r="C5291" s="5" t="s">
        <v>18</v>
      </c>
      <c r="D5291" s="5" t="s">
        <v>19</v>
      </c>
      <c r="E5291" s="5" t="s">
        <v>25</v>
      </c>
      <c r="F5291" s="9">
        <v>44</v>
      </c>
      <c r="G5291" s="9">
        <v>529</v>
      </c>
      <c r="H5291" s="5" t="s">
        <v>21</v>
      </c>
      <c r="I5291" s="5" t="s">
        <v>12962</v>
      </c>
      <c r="J5291" s="12" t="str">
        <f>HYPERLINK("https://www.boe.es/gazeta/dias/1802/06/01/pdfs/GMD-1802-44.pdf#page=5","Abrir facsímil")</f>
        <v>Abrir facsímil</v>
      </c>
      <c r="K5291" s="15" t="s">
        <v>23</v>
      </c>
    </row>
    <row r="5292" spans="1:11" ht="42" customHeight="1">
      <c r="A5292" s="4" t="s">
        <v>12950</v>
      </c>
      <c r="B5292" s="5" t="s">
        <v>12951</v>
      </c>
      <c r="C5292" s="5" t="s">
        <v>18</v>
      </c>
      <c r="D5292" s="5" t="s">
        <v>19</v>
      </c>
      <c r="E5292" s="5" t="s">
        <v>655</v>
      </c>
      <c r="F5292" s="9">
        <v>46</v>
      </c>
      <c r="G5292" s="9">
        <v>555</v>
      </c>
      <c r="H5292" s="5" t="s">
        <v>21</v>
      </c>
      <c r="I5292" s="5" t="s">
        <v>12963</v>
      </c>
      <c r="J5292" s="12" t="str">
        <f>HYPERLINK("https://www.boe.es/gazeta/dias/1802/06/08/pdfs/GMD-1802-46.pdf#page=7","Abrir facsímil")</f>
        <v>Abrir facsímil</v>
      </c>
      <c r="K5292" s="15" t="s">
        <v>23</v>
      </c>
    </row>
    <row r="5293" spans="1:11" ht="42" customHeight="1">
      <c r="A5293" s="4" t="s">
        <v>12950</v>
      </c>
      <c r="B5293" s="5" t="s">
        <v>12951</v>
      </c>
      <c r="C5293" s="5" t="s">
        <v>18</v>
      </c>
      <c r="D5293" s="5" t="s">
        <v>19</v>
      </c>
      <c r="E5293" s="5" t="s">
        <v>530</v>
      </c>
      <c r="F5293" s="9">
        <v>48</v>
      </c>
      <c r="G5293" s="9">
        <v>584</v>
      </c>
      <c r="H5293" s="5" t="s">
        <v>21</v>
      </c>
      <c r="I5293" s="5" t="s">
        <v>12964</v>
      </c>
      <c r="J5293" s="12" t="str">
        <f>HYPERLINK("https://www.boe.es/gazeta/dias/1802/06/15/pdfs/GMD-1802-48.pdf#page=8","Abrir facsímil")</f>
        <v>Abrir facsímil</v>
      </c>
      <c r="K5293" s="15" t="s">
        <v>23</v>
      </c>
    </row>
    <row r="5294" spans="1:11" ht="42" customHeight="1">
      <c r="A5294" s="4" t="s">
        <v>12965</v>
      </c>
      <c r="B5294" s="5" t="s">
        <v>12965</v>
      </c>
      <c r="C5294" s="5" t="s">
        <v>35</v>
      </c>
      <c r="D5294" s="5" t="s">
        <v>36</v>
      </c>
      <c r="E5294" s="5" t="s">
        <v>175</v>
      </c>
      <c r="F5294" s="9">
        <v>37</v>
      </c>
      <c r="G5294" s="9">
        <v>439</v>
      </c>
      <c r="H5294" s="5" t="s">
        <v>21</v>
      </c>
      <c r="I5294" s="5" t="s">
        <v>12966</v>
      </c>
      <c r="J5294" s="12" t="str">
        <f>HYPERLINK("https://www.boe.es/gazeta/dias/1802/05/07/pdfs/GMD-1802-37.pdf#page=7","Abrir facsímil")</f>
        <v>Abrir facsímil</v>
      </c>
      <c r="K5294" s="15" t="s">
        <v>23</v>
      </c>
    </row>
    <row r="5295" spans="1:11" ht="42" customHeight="1">
      <c r="A5295" s="4" t="s">
        <v>12965</v>
      </c>
      <c r="B5295" s="5" t="s">
        <v>12965</v>
      </c>
      <c r="C5295" s="5" t="s">
        <v>18</v>
      </c>
      <c r="D5295" s="5" t="s">
        <v>19</v>
      </c>
      <c r="E5295" s="5" t="s">
        <v>82</v>
      </c>
      <c r="F5295" s="9">
        <v>74</v>
      </c>
      <c r="G5295" s="9">
        <v>913</v>
      </c>
      <c r="H5295" s="5" t="s">
        <v>21</v>
      </c>
      <c r="I5295" s="5" t="s">
        <v>12967</v>
      </c>
      <c r="J5295" s="12" t="str">
        <f>HYPERLINK("https://www.boe.es/gazeta/dias/1802/09/10/pdfs/GMD-1802-74.pdf#page=9","Abrir facsímil")</f>
        <v>Abrir facsímil</v>
      </c>
      <c r="K5295" s="15" t="s">
        <v>23</v>
      </c>
    </row>
    <row r="5296" spans="1:11" ht="42" customHeight="1">
      <c r="A5296" s="4" t="s">
        <v>12968</v>
      </c>
      <c r="B5296" s="5" t="s">
        <v>12969</v>
      </c>
      <c r="C5296" s="5" t="s">
        <v>18</v>
      </c>
      <c r="D5296" s="5" t="s">
        <v>19</v>
      </c>
      <c r="E5296" s="5" t="s">
        <v>20</v>
      </c>
      <c r="F5296" s="9">
        <v>84</v>
      </c>
      <c r="G5296" s="9">
        <v>1044</v>
      </c>
      <c r="H5296" s="5" t="s">
        <v>21</v>
      </c>
      <c r="I5296" s="5" t="s">
        <v>12970</v>
      </c>
      <c r="J5296" s="12" t="str">
        <f>HYPERLINK("https://www.boe.es/gazeta/dias/1802/10/15/pdfs/GMD-1802-84.pdf#page=12","Abrir facsímil")</f>
        <v>Abrir facsímil</v>
      </c>
      <c r="K5296" s="15" t="s">
        <v>23</v>
      </c>
    </row>
    <row r="5297" spans="1:11" ht="42" customHeight="1">
      <c r="A5297" s="4" t="s">
        <v>12971</v>
      </c>
      <c r="B5297" s="5" t="s">
        <v>12972</v>
      </c>
      <c r="C5297" s="5" t="s">
        <v>18</v>
      </c>
      <c r="D5297" s="5" t="s">
        <v>19</v>
      </c>
      <c r="E5297" s="5" t="s">
        <v>128</v>
      </c>
      <c r="F5297" s="9">
        <v>9</v>
      </c>
      <c r="G5297" s="9">
        <v>89</v>
      </c>
      <c r="H5297" s="5" t="s">
        <v>21</v>
      </c>
      <c r="I5297" s="5" t="s">
        <v>12973</v>
      </c>
      <c r="J5297" s="12" t="str">
        <f>HYPERLINK("https://www.boe.es/gazeta/dias/1802/01/29/pdfs/GMD-1802-9.pdf#page=9","Abrir facsímil")</f>
        <v>Abrir facsímil</v>
      </c>
      <c r="K5297" s="15" t="s">
        <v>23</v>
      </c>
    </row>
    <row r="5298" spans="1:11" ht="42" customHeight="1">
      <c r="A5298" s="4" t="s">
        <v>12974</v>
      </c>
      <c r="B5298" s="5" t="s">
        <v>12975</v>
      </c>
      <c r="C5298" s="5" t="s">
        <v>29</v>
      </c>
      <c r="D5298" s="5" t="s">
        <v>30</v>
      </c>
      <c r="E5298" s="5" t="s">
        <v>1332</v>
      </c>
      <c r="F5298" s="9">
        <v>4</v>
      </c>
      <c r="G5298" s="9">
        <v>38</v>
      </c>
      <c r="H5298" s="5" t="s">
        <v>21</v>
      </c>
      <c r="I5298" s="5" t="s">
        <v>12976</v>
      </c>
      <c r="J5298" s="12" t="str">
        <f>HYPERLINK("https://www.boe.es/gazeta/dias/1802/01/12/pdfs/GMD-1802-4.pdf#page=10","Abrir facsímil")</f>
        <v>Abrir facsímil</v>
      </c>
      <c r="K5298" s="15" t="s">
        <v>23</v>
      </c>
    </row>
    <row r="5299" spans="1:11" ht="42" customHeight="1">
      <c r="A5299" s="4" t="s">
        <v>12977</v>
      </c>
      <c r="B5299" s="5" t="s">
        <v>12978</v>
      </c>
      <c r="C5299" s="5" t="s">
        <v>29</v>
      </c>
      <c r="D5299" s="5" t="s">
        <v>30</v>
      </c>
      <c r="E5299" s="5" t="s">
        <v>71</v>
      </c>
      <c r="F5299" s="9">
        <v>21</v>
      </c>
      <c r="G5299" s="9">
        <v>233</v>
      </c>
      <c r="H5299" s="5" t="s">
        <v>21</v>
      </c>
      <c r="I5299" s="5" t="s">
        <v>12979</v>
      </c>
      <c r="J5299" s="12" t="str">
        <f>HYPERLINK("https://www.boe.es/gazeta/dias/1802/03/12/pdfs/GMD-1802-21.pdf#page=9","Abrir facsímil")</f>
        <v>Abrir facsímil</v>
      </c>
      <c r="K5299" s="15" t="s">
        <v>23</v>
      </c>
    </row>
    <row r="5300" spans="1:11" ht="42" customHeight="1">
      <c r="A5300" s="4" t="s">
        <v>12980</v>
      </c>
      <c r="B5300" s="5" t="s">
        <v>12981</v>
      </c>
      <c r="C5300" s="5" t="s">
        <v>18</v>
      </c>
      <c r="D5300" s="5" t="s">
        <v>19</v>
      </c>
      <c r="E5300" s="5" t="s">
        <v>49</v>
      </c>
      <c r="F5300" s="9">
        <v>83</v>
      </c>
      <c r="G5300" s="9">
        <v>1019</v>
      </c>
      <c r="H5300" s="5" t="s">
        <v>21</v>
      </c>
      <c r="I5300" s="5" t="s">
        <v>12982</v>
      </c>
      <c r="J5300" s="12" t="str">
        <f>HYPERLINK("https://www.boe.es/gazeta/dias/1802/10/12/pdfs/GMD-1802-83.pdf#page=7","Abrir facsímil")</f>
        <v>Abrir facsímil</v>
      </c>
      <c r="K5300" s="15" t="s">
        <v>23</v>
      </c>
    </row>
    <row r="5301" spans="1:11" ht="42" customHeight="1">
      <c r="A5301" s="4" t="s">
        <v>12983</v>
      </c>
      <c r="B5301" s="5" t="s">
        <v>12984</v>
      </c>
      <c r="C5301" s="5" t="s">
        <v>29</v>
      </c>
      <c r="D5301" s="5" t="s">
        <v>30</v>
      </c>
      <c r="E5301" s="5" t="s">
        <v>20</v>
      </c>
      <c r="F5301" s="9">
        <v>84</v>
      </c>
      <c r="G5301" s="9">
        <v>1035</v>
      </c>
      <c r="H5301" s="5" t="s">
        <v>21</v>
      </c>
      <c r="I5301" s="5" t="s">
        <v>12985</v>
      </c>
      <c r="J5301" s="12" t="str">
        <f>HYPERLINK("https://www.boe.es/gazeta/dias/1802/10/15/pdfs/GMD-1802-84.pdf#page=3","Abrir facsímil")</f>
        <v>Abrir facsímil</v>
      </c>
      <c r="K5301" s="15" t="s">
        <v>23</v>
      </c>
    </row>
    <row r="5302" spans="1:11" ht="42" customHeight="1">
      <c r="A5302" s="4" t="s">
        <v>12986</v>
      </c>
      <c r="B5302" s="5" t="s">
        <v>12986</v>
      </c>
      <c r="C5302" s="5" t="s">
        <v>35</v>
      </c>
      <c r="D5302" s="5" t="s">
        <v>36</v>
      </c>
      <c r="E5302" s="5" t="s">
        <v>823</v>
      </c>
      <c r="F5302" s="9">
        <v>94</v>
      </c>
      <c r="G5302" s="9">
        <v>1163</v>
      </c>
      <c r="H5302" s="5" t="s">
        <v>21</v>
      </c>
      <c r="I5302" s="5" t="s">
        <v>12987</v>
      </c>
      <c r="J5302" s="12" t="str">
        <f>HYPERLINK("https://www.boe.es/gazeta/dias/1802/11/19/pdfs/GMD-1802-94.pdf#page=11","Abrir facsímil")</f>
        <v>Abrir facsímil</v>
      </c>
      <c r="K5302" s="15" t="s">
        <v>23</v>
      </c>
    </row>
    <row r="5303" spans="1:11" ht="42" customHeight="1">
      <c r="A5303" s="4" t="s">
        <v>12988</v>
      </c>
      <c r="B5303" s="5" t="s">
        <v>12989</v>
      </c>
      <c r="C5303" s="5" t="s">
        <v>55</v>
      </c>
      <c r="D5303" s="5" t="s">
        <v>56</v>
      </c>
      <c r="E5303" s="5" t="s">
        <v>1289</v>
      </c>
      <c r="F5303" s="9">
        <v>72</v>
      </c>
      <c r="G5303" s="9">
        <v>892</v>
      </c>
      <c r="H5303" s="5" t="s">
        <v>21</v>
      </c>
      <c r="I5303" s="5" t="s">
        <v>12990</v>
      </c>
      <c r="J5303" s="12" t="str">
        <f>HYPERLINK("https://www.boe.es/gazeta/dias/1802/09/03/pdfs/GMD-1802-72.pdf#page=12","Abrir facsímil")</f>
        <v>Abrir facsímil</v>
      </c>
      <c r="K5303" s="15" t="s">
        <v>23</v>
      </c>
    </row>
    <row r="5304" spans="1:11" ht="42" customHeight="1">
      <c r="A5304" s="4" t="s">
        <v>12991</v>
      </c>
      <c r="B5304" s="5" t="s">
        <v>12992</v>
      </c>
      <c r="C5304" s="5" t="s">
        <v>18</v>
      </c>
      <c r="D5304" s="5" t="s">
        <v>19</v>
      </c>
      <c r="E5304" s="5" t="s">
        <v>20</v>
      </c>
      <c r="F5304" s="9">
        <v>84</v>
      </c>
      <c r="G5304" s="9">
        <v>1043</v>
      </c>
      <c r="H5304" s="5" t="s">
        <v>21</v>
      </c>
      <c r="I5304" s="5" t="s">
        <v>12993</v>
      </c>
      <c r="J5304" s="12" t="str">
        <f>HYPERLINK("https://www.boe.es/gazeta/dias/1802/10/15/pdfs/GMD-1802-84.pdf#page=11","Abrir facsímil")</f>
        <v>Abrir facsímil</v>
      </c>
      <c r="K5304" s="15" t="s">
        <v>23</v>
      </c>
    </row>
    <row r="5305" spans="1:11" ht="42" customHeight="1">
      <c r="A5305" s="4" t="s">
        <v>12994</v>
      </c>
      <c r="B5305" s="5" t="s">
        <v>12994</v>
      </c>
      <c r="C5305" s="5" t="s">
        <v>160</v>
      </c>
      <c r="D5305" s="5" t="s">
        <v>91</v>
      </c>
      <c r="E5305" s="5" t="s">
        <v>247</v>
      </c>
      <c r="F5305" s="9">
        <v>14</v>
      </c>
      <c r="G5305" s="9">
        <v>145</v>
      </c>
      <c r="H5305" s="5" t="s">
        <v>21</v>
      </c>
      <c r="I5305" s="5" t="s">
        <v>12995</v>
      </c>
      <c r="J5305" s="12" t="str">
        <f>HYPERLINK("https://www.boe.es/gazeta/dias/1802/02/16/pdfs/GMD-1802-14.pdf#page=9","Abrir facsímil")</f>
        <v>Abrir facsímil</v>
      </c>
      <c r="K5305" s="15" t="s">
        <v>23</v>
      </c>
    </row>
    <row r="5306" spans="1:11" ht="42" customHeight="1">
      <c r="A5306" s="4" t="s">
        <v>12996</v>
      </c>
      <c r="B5306" s="5" t="s">
        <v>12997</v>
      </c>
      <c r="C5306" s="5" t="s">
        <v>160</v>
      </c>
      <c r="D5306" s="5" t="s">
        <v>91</v>
      </c>
      <c r="E5306" s="5" t="s">
        <v>385</v>
      </c>
      <c r="F5306" s="9">
        <v>70</v>
      </c>
      <c r="G5306" s="9">
        <v>864</v>
      </c>
      <c r="H5306" s="5" t="s">
        <v>21</v>
      </c>
      <c r="I5306" s="5" t="s">
        <v>12998</v>
      </c>
      <c r="J5306" s="12" t="str">
        <f>HYPERLINK("https://www.boe.es/gazeta/dias/1802/08/27/pdfs/GMD-1802-70.pdf#page=12","Abrir facsímil")</f>
        <v>Abrir facsímil</v>
      </c>
      <c r="K5306" s="15" t="s">
        <v>23</v>
      </c>
    </row>
    <row r="5307" spans="1:11" ht="42" customHeight="1">
      <c r="A5307" s="4" t="s">
        <v>12999</v>
      </c>
      <c r="B5307" s="5" t="s">
        <v>12999</v>
      </c>
      <c r="C5307" s="5" t="s">
        <v>29</v>
      </c>
      <c r="D5307" s="5" t="s">
        <v>30</v>
      </c>
      <c r="E5307" s="5" t="s">
        <v>25</v>
      </c>
      <c r="F5307" s="9">
        <v>44</v>
      </c>
      <c r="G5307" s="9">
        <v>530</v>
      </c>
      <c r="H5307" s="5" t="s">
        <v>21</v>
      </c>
      <c r="I5307" s="5" t="s">
        <v>13000</v>
      </c>
      <c r="J5307" s="12" t="str">
        <f>HYPERLINK("https://www.boe.es/gazeta/dias/1802/06/01/pdfs/GMD-1802-44.pdf#page=6","Abrir facsímil")</f>
        <v>Abrir facsímil</v>
      </c>
      <c r="K5307" s="15" t="s">
        <v>23</v>
      </c>
    </row>
    <row r="5308" spans="1:11" ht="42" customHeight="1">
      <c r="A5308" s="4" t="s">
        <v>13001</v>
      </c>
      <c r="B5308" s="5" t="s">
        <v>13002</v>
      </c>
      <c r="C5308" s="5" t="s">
        <v>18</v>
      </c>
      <c r="D5308" s="5" t="s">
        <v>19</v>
      </c>
      <c r="E5308" s="5" t="s">
        <v>1959</v>
      </c>
      <c r="F5308" s="9">
        <v>34</v>
      </c>
      <c r="G5308" s="9">
        <v>393</v>
      </c>
      <c r="H5308" s="5" t="s">
        <v>21</v>
      </c>
      <c r="I5308" s="5" t="s">
        <v>13003</v>
      </c>
      <c r="J5308" s="12" t="str">
        <f>HYPERLINK("https://www.boe.es/gazeta/dias/1802/04/27/pdfs/GMD-1802-34.pdf#page=5","Abrir facsímil")</f>
        <v>Abrir facsímil</v>
      </c>
      <c r="K5308" s="15" t="s">
        <v>23</v>
      </c>
    </row>
    <row r="5309" spans="1:11" ht="42" customHeight="1">
      <c r="A5309" s="4" t="s">
        <v>13004</v>
      </c>
      <c r="B5309" s="5" t="s">
        <v>13005</v>
      </c>
      <c r="C5309" s="5" t="s">
        <v>42</v>
      </c>
      <c r="D5309" s="5" t="s">
        <v>43</v>
      </c>
      <c r="E5309" s="5" t="s">
        <v>44</v>
      </c>
      <c r="F5309" s="9">
        <v>99</v>
      </c>
      <c r="G5309" s="9" t="s">
        <v>550</v>
      </c>
      <c r="H5309" s="5" t="s">
        <v>21</v>
      </c>
      <c r="I5309" s="5" t="s">
        <v>13006</v>
      </c>
      <c r="J5309" s="12" t="str">
        <f>HYPERLINK("https://www.boe.es/gazeta/dias/1802/12/07/pdfs/GMD-D-1802-99.pdf#page=16","Abrir facsímil")</f>
        <v>Abrir facsímil</v>
      </c>
      <c r="K5309" s="15" t="s">
        <v>23</v>
      </c>
    </row>
    <row r="5310" spans="1:11" ht="42" customHeight="1">
      <c r="A5310" s="4" t="s">
        <v>13007</v>
      </c>
      <c r="B5310" s="5" t="s">
        <v>13007</v>
      </c>
      <c r="C5310" s="5" t="s">
        <v>29</v>
      </c>
      <c r="D5310" s="5" t="s">
        <v>30</v>
      </c>
      <c r="E5310" s="5" t="s">
        <v>49</v>
      </c>
      <c r="F5310" s="9">
        <v>83</v>
      </c>
      <c r="G5310" s="9">
        <v>1023</v>
      </c>
      <c r="H5310" s="5" t="s">
        <v>21</v>
      </c>
      <c r="I5310" s="5" t="s">
        <v>13008</v>
      </c>
      <c r="J5310" s="12" t="str">
        <f>HYPERLINK("https://www.boe.es/gazeta/dias/1802/10/12/pdfs/GMD-1802-83.pdf#page=11","Abrir facsímil")</f>
        <v>Abrir facsímil</v>
      </c>
      <c r="K5310" s="15" t="s">
        <v>23</v>
      </c>
    </row>
    <row r="5311" spans="1:11" ht="42" customHeight="1">
      <c r="A5311" s="4" t="s">
        <v>13009</v>
      </c>
      <c r="B5311" s="5" t="s">
        <v>13009</v>
      </c>
      <c r="C5311" s="5" t="s">
        <v>18</v>
      </c>
      <c r="D5311" s="5" t="s">
        <v>19</v>
      </c>
      <c r="E5311" s="5" t="s">
        <v>49</v>
      </c>
      <c r="F5311" s="9">
        <v>83</v>
      </c>
      <c r="G5311" s="9">
        <v>1026</v>
      </c>
      <c r="H5311" s="5" t="s">
        <v>21</v>
      </c>
      <c r="I5311" s="5" t="s">
        <v>13010</v>
      </c>
      <c r="J5311" s="12" t="str">
        <f>HYPERLINK("https://www.boe.es/gazeta/dias/1802/10/12/pdfs/GMD-1802-83.pdf#page=14","Abrir facsímil")</f>
        <v>Abrir facsímil</v>
      </c>
      <c r="K5311" s="15" t="s">
        <v>23</v>
      </c>
    </row>
    <row r="5312" spans="1:11" ht="42" customHeight="1">
      <c r="A5312" s="4" t="s">
        <v>13011</v>
      </c>
      <c r="B5312" s="5" t="s">
        <v>13012</v>
      </c>
      <c r="C5312" s="5" t="s">
        <v>160</v>
      </c>
      <c r="D5312" s="5" t="s">
        <v>91</v>
      </c>
      <c r="E5312" s="5" t="s">
        <v>60</v>
      </c>
      <c r="F5312" s="9">
        <v>5</v>
      </c>
      <c r="G5312" s="9">
        <v>51</v>
      </c>
      <c r="H5312" s="5" t="s">
        <v>21</v>
      </c>
      <c r="I5312" s="5" t="s">
        <v>13013</v>
      </c>
      <c r="J5312" s="12" t="str">
        <f>HYPERLINK("https://www.boe.es/gazeta/dias/1802/01/15/pdfs/GMD-1802-5.pdf#page=7","Abrir facsímil")</f>
        <v>Abrir facsímil</v>
      </c>
      <c r="K5312" s="15" t="s">
        <v>23</v>
      </c>
    </row>
    <row r="5313" spans="1:11" ht="42" customHeight="1">
      <c r="A5313" s="4" t="s">
        <v>13014</v>
      </c>
      <c r="B5313" s="5" t="s">
        <v>13014</v>
      </c>
      <c r="C5313" s="5" t="s">
        <v>18</v>
      </c>
      <c r="D5313" s="5" t="s">
        <v>19</v>
      </c>
      <c r="E5313" s="5" t="s">
        <v>49</v>
      </c>
      <c r="F5313" s="9">
        <v>83</v>
      </c>
      <c r="G5313" s="9">
        <v>1020</v>
      </c>
      <c r="H5313" s="5" t="s">
        <v>21</v>
      </c>
      <c r="I5313" s="5" t="s">
        <v>13015</v>
      </c>
      <c r="J5313" s="12" t="str">
        <f>HYPERLINK("https://www.boe.es/gazeta/dias/1802/10/12/pdfs/GMD-1802-83.pdf#page=8","Abrir facsímil")</f>
        <v>Abrir facsímil</v>
      </c>
      <c r="K5313" s="15" t="s">
        <v>23</v>
      </c>
    </row>
    <row r="5314" spans="1:11" ht="42" customHeight="1">
      <c r="A5314" s="4" t="s">
        <v>13016</v>
      </c>
      <c r="B5314" s="5" t="s">
        <v>13016</v>
      </c>
      <c r="C5314" s="5" t="s">
        <v>29</v>
      </c>
      <c r="D5314" s="5" t="s">
        <v>30</v>
      </c>
      <c r="E5314" s="5" t="s">
        <v>754</v>
      </c>
      <c r="F5314" s="9">
        <v>101</v>
      </c>
      <c r="G5314" s="9">
        <v>1242</v>
      </c>
      <c r="H5314" s="5" t="s">
        <v>21</v>
      </c>
      <c r="I5314" s="5" t="s">
        <v>13017</v>
      </c>
      <c r="J5314" s="12" t="str">
        <f>HYPERLINK("https://www.boe.es/gazeta/dias/1802/12/14/pdfs/GMD-1802-101.pdf#page=6","Abrir facsímil")</f>
        <v>Abrir facsímil</v>
      </c>
      <c r="K5314" s="15" t="s">
        <v>23</v>
      </c>
    </row>
    <row r="5315" spans="1:11" ht="42" customHeight="1">
      <c r="A5315" s="4" t="s">
        <v>13018</v>
      </c>
      <c r="B5315" s="5" t="s">
        <v>13018</v>
      </c>
      <c r="C5315" s="5" t="s">
        <v>90</v>
      </c>
      <c r="D5315" s="5" t="s">
        <v>91</v>
      </c>
      <c r="E5315" s="5" t="s">
        <v>678</v>
      </c>
      <c r="F5315" s="9">
        <v>15</v>
      </c>
      <c r="G5315" s="9">
        <v>158</v>
      </c>
      <c r="H5315" s="5" t="s">
        <v>21</v>
      </c>
      <c r="I5315" s="5" t="s">
        <v>13019</v>
      </c>
      <c r="J5315" s="12" t="str">
        <f>HYPERLINK("https://www.boe.es/gazeta/dias/1802/02/19/pdfs/GMD-1802-15.pdf#page=10","Abrir facsímil")</f>
        <v>Abrir facsímil</v>
      </c>
      <c r="K5315" s="15" t="s">
        <v>23</v>
      </c>
    </row>
    <row r="5316" spans="1:11" ht="42" customHeight="1">
      <c r="A5316" s="4" t="s">
        <v>13020</v>
      </c>
      <c r="B5316" s="5" t="s">
        <v>13021</v>
      </c>
      <c r="C5316" s="5" t="s">
        <v>55</v>
      </c>
      <c r="D5316" s="5" t="s">
        <v>56</v>
      </c>
      <c r="E5316" s="5" t="s">
        <v>900</v>
      </c>
      <c r="F5316" s="9">
        <v>16</v>
      </c>
      <c r="G5316" s="9">
        <v>172</v>
      </c>
      <c r="H5316" s="5" t="s">
        <v>21</v>
      </c>
      <c r="I5316" s="5" t="s">
        <v>13022</v>
      </c>
      <c r="J5316" s="12" t="str">
        <f>HYPERLINK("https://www.boe.es/gazeta/dias/1802/02/23/pdfs/GMD-1802-16.pdf#page=12","Abrir facsímil")</f>
        <v>Abrir facsímil</v>
      </c>
      <c r="K5316" s="15" t="s">
        <v>23</v>
      </c>
    </row>
    <row r="5317" spans="1:11" ht="42" customHeight="1">
      <c r="A5317" s="4" t="s">
        <v>13023</v>
      </c>
      <c r="B5317" s="5" t="s">
        <v>13023</v>
      </c>
      <c r="C5317" s="5" t="s">
        <v>18</v>
      </c>
      <c r="D5317" s="5" t="s">
        <v>19</v>
      </c>
      <c r="E5317" s="5" t="s">
        <v>20</v>
      </c>
      <c r="F5317" s="9">
        <v>84</v>
      </c>
      <c r="G5317" s="9">
        <v>1047</v>
      </c>
      <c r="H5317" s="5" t="s">
        <v>21</v>
      </c>
      <c r="I5317" s="5" t="s">
        <v>13024</v>
      </c>
      <c r="J5317" s="12" t="str">
        <f>HYPERLINK("https://www.boe.es/gazeta/dias/1802/10/15/pdfs/GMD-1802-84.pdf#page=15","Abrir facsímil")</f>
        <v>Abrir facsímil</v>
      </c>
      <c r="K5317" s="15" t="s">
        <v>23</v>
      </c>
    </row>
    <row r="5318" spans="1:11" ht="42" customHeight="1">
      <c r="A5318" s="4" t="s">
        <v>13025</v>
      </c>
      <c r="B5318" s="5" t="s">
        <v>13025</v>
      </c>
      <c r="C5318" s="5" t="s">
        <v>29</v>
      </c>
      <c r="D5318" s="5" t="s">
        <v>30</v>
      </c>
      <c r="E5318" s="5" t="s">
        <v>1097</v>
      </c>
      <c r="F5318" s="9">
        <v>20</v>
      </c>
      <c r="G5318" s="9">
        <v>223</v>
      </c>
      <c r="H5318" s="5" t="s">
        <v>21</v>
      </c>
      <c r="I5318" s="5" t="s">
        <v>13026</v>
      </c>
      <c r="J5318" s="12" t="str">
        <f>HYPERLINK("https://www.boe.es/gazeta/dias/1802/03/09/pdfs/GMD-1802-20.pdf#page=11","Abrir facsímil")</f>
        <v>Abrir facsímil</v>
      </c>
      <c r="K5318" s="15" t="s">
        <v>23</v>
      </c>
    </row>
    <row r="5319" spans="1:11" ht="42" customHeight="1">
      <c r="A5319" s="4" t="s">
        <v>13027</v>
      </c>
      <c r="B5319" s="5" t="s">
        <v>13027</v>
      </c>
      <c r="C5319" s="5" t="s">
        <v>29</v>
      </c>
      <c r="D5319" s="5" t="s">
        <v>30</v>
      </c>
      <c r="E5319" s="5" t="s">
        <v>146</v>
      </c>
      <c r="F5319" s="9">
        <v>42</v>
      </c>
      <c r="G5319" s="9">
        <v>506</v>
      </c>
      <c r="H5319" s="5" t="s">
        <v>21</v>
      </c>
      <c r="I5319" s="5" t="s">
        <v>13028</v>
      </c>
      <c r="J5319" s="12" t="str">
        <f>HYPERLINK("https://www.boe.es/gazeta/dias/1802/05/25/pdfs/GMD-1802-42.pdf#page=10","Abrir facsímil")</f>
        <v>Abrir facsímil</v>
      </c>
      <c r="K5319" s="15" t="s">
        <v>23</v>
      </c>
    </row>
    <row r="5320" spans="1:11" ht="42" customHeight="1">
      <c r="A5320" s="4" t="s">
        <v>13029</v>
      </c>
      <c r="B5320" s="5" t="s">
        <v>13030</v>
      </c>
      <c r="C5320" s="5" t="s">
        <v>35</v>
      </c>
      <c r="D5320" s="5" t="s">
        <v>36</v>
      </c>
      <c r="E5320" s="5" t="s">
        <v>311</v>
      </c>
      <c r="F5320" s="9">
        <v>88</v>
      </c>
      <c r="G5320" s="9">
        <v>1085</v>
      </c>
      <c r="H5320" s="5" t="s">
        <v>21</v>
      </c>
      <c r="I5320" s="5" t="s">
        <v>13031</v>
      </c>
      <c r="J5320" s="12" t="str">
        <f>HYPERLINK("https://www.boe.es/gazeta/dias/1802/10/29/pdfs/GMD-1802-88.pdf#page=1","Abrir facsímil")</f>
        <v>Abrir facsímil</v>
      </c>
      <c r="K5320" s="15" t="s">
        <v>23</v>
      </c>
    </row>
    <row r="5321" spans="1:11" ht="42" customHeight="1">
      <c r="A5321" s="4" t="s">
        <v>13032</v>
      </c>
      <c r="B5321" s="5" t="s">
        <v>13033</v>
      </c>
      <c r="C5321" s="5" t="s">
        <v>18</v>
      </c>
      <c r="D5321" s="5" t="s">
        <v>19</v>
      </c>
      <c r="E5321" s="5" t="s">
        <v>749</v>
      </c>
      <c r="F5321" s="9">
        <v>97</v>
      </c>
      <c r="G5321" s="9">
        <v>1201</v>
      </c>
      <c r="H5321" s="5" t="s">
        <v>21</v>
      </c>
      <c r="I5321" s="5" t="s">
        <v>13034</v>
      </c>
      <c r="J5321" s="12" t="str">
        <f>HYPERLINK("https://www.boe.es/gazeta/dias/1802/11/30/pdfs/GMD-1802-97.pdf#page=9","Abrir facsímil")</f>
        <v>Abrir facsímil</v>
      </c>
      <c r="K5321" s="15" t="s">
        <v>23</v>
      </c>
    </row>
    <row r="5322" spans="1:11" ht="42" customHeight="1">
      <c r="A5322" s="4" t="s">
        <v>13035</v>
      </c>
      <c r="B5322" s="5" t="s">
        <v>13035</v>
      </c>
      <c r="C5322" s="5" t="s">
        <v>29</v>
      </c>
      <c r="D5322" s="5" t="s">
        <v>30</v>
      </c>
      <c r="E5322" s="5" t="s">
        <v>37</v>
      </c>
      <c r="F5322" s="9">
        <v>106</v>
      </c>
      <c r="G5322" s="9">
        <v>1294</v>
      </c>
      <c r="H5322" s="5" t="s">
        <v>21</v>
      </c>
      <c r="I5322" s="5" t="s">
        <v>13036</v>
      </c>
      <c r="J5322" s="12" t="str">
        <f>HYPERLINK("https://www.boe.es/gazeta/dias/1802/12/31/pdfs/GMD-1802-106.pdf#page=6","Abrir facsímil")</f>
        <v>Abrir facsímil</v>
      </c>
      <c r="K5322" s="15" t="s">
        <v>23</v>
      </c>
    </row>
    <row r="5323" spans="1:11" ht="42" customHeight="1">
      <c r="A5323" s="4" t="s">
        <v>13037</v>
      </c>
      <c r="B5323" s="5" t="s">
        <v>13038</v>
      </c>
      <c r="C5323" s="5" t="s">
        <v>29</v>
      </c>
      <c r="D5323" s="5" t="s">
        <v>30</v>
      </c>
      <c r="E5323" s="5" t="s">
        <v>192</v>
      </c>
      <c r="F5323" s="9">
        <v>53</v>
      </c>
      <c r="G5323" s="9">
        <v>642</v>
      </c>
      <c r="H5323" s="5" t="s">
        <v>21</v>
      </c>
      <c r="I5323" s="5" t="s">
        <v>13039</v>
      </c>
      <c r="J5323" s="12" t="str">
        <f>HYPERLINK("https://www.boe.es/gazeta/dias/1802/07/02/pdfs/GMD-1802-53.pdf#page=10","Abrir facsímil")</f>
        <v>Abrir facsímil</v>
      </c>
      <c r="K5323" s="15" t="s">
        <v>23</v>
      </c>
    </row>
    <row r="5324" spans="1:11" ht="42" customHeight="1">
      <c r="A5324" s="4" t="s">
        <v>13040</v>
      </c>
      <c r="B5324" s="5" t="s">
        <v>13041</v>
      </c>
      <c r="C5324" s="5" t="s">
        <v>29</v>
      </c>
      <c r="D5324" s="5" t="s">
        <v>30</v>
      </c>
      <c r="E5324" s="5" t="s">
        <v>635</v>
      </c>
      <c r="F5324" s="9">
        <v>47</v>
      </c>
      <c r="G5324" s="9">
        <v>573</v>
      </c>
      <c r="H5324" s="5" t="s">
        <v>21</v>
      </c>
      <c r="I5324" s="5" t="s">
        <v>13042</v>
      </c>
      <c r="J5324" s="12" t="str">
        <f>HYPERLINK("https://www.boe.es/gazeta/dias/1802/06/11/pdfs/GMD-1802-47.pdf#page=9","Abrir facsímil")</f>
        <v>Abrir facsímil</v>
      </c>
      <c r="K5324" s="15" t="s">
        <v>23</v>
      </c>
    </row>
    <row r="5325" spans="1:11" ht="42" customHeight="1">
      <c r="A5325" s="4" t="s">
        <v>13043</v>
      </c>
      <c r="B5325" s="5" t="s">
        <v>13044</v>
      </c>
      <c r="C5325" s="5" t="s">
        <v>18</v>
      </c>
      <c r="D5325" s="5" t="s">
        <v>19</v>
      </c>
      <c r="E5325" s="5" t="s">
        <v>292</v>
      </c>
      <c r="F5325" s="9">
        <v>62</v>
      </c>
      <c r="G5325" s="9">
        <v>753</v>
      </c>
      <c r="H5325" s="5" t="s">
        <v>21</v>
      </c>
      <c r="I5325" s="5" t="s">
        <v>13045</v>
      </c>
      <c r="J5325" s="12" t="str">
        <f>HYPERLINK("https://www.boe.es/gazeta/dias/1802/07/30/pdfs/GMD-1802-62.pdf#page=9","Abrir facsímil")</f>
        <v>Abrir facsímil</v>
      </c>
      <c r="K5325" s="15" t="s">
        <v>23</v>
      </c>
    </row>
    <row r="5326" spans="1:11" ht="42" customHeight="1">
      <c r="A5326" s="4" t="s">
        <v>13046</v>
      </c>
      <c r="B5326" s="5" t="s">
        <v>13047</v>
      </c>
      <c r="C5326" s="5" t="s">
        <v>29</v>
      </c>
      <c r="D5326" s="5" t="s">
        <v>30</v>
      </c>
      <c r="E5326" s="5" t="s">
        <v>443</v>
      </c>
      <c r="F5326" s="9">
        <v>78</v>
      </c>
      <c r="G5326" s="9">
        <v>963</v>
      </c>
      <c r="H5326" s="5" t="s">
        <v>21</v>
      </c>
      <c r="I5326" s="5" t="s">
        <v>13048</v>
      </c>
      <c r="J5326" s="12" t="str">
        <f>HYPERLINK("https://www.boe.es/gazeta/dias/1802/09/24/pdfs/GMD-1802-78.pdf#page=11","Abrir facsímil")</f>
        <v>Abrir facsímil</v>
      </c>
      <c r="K5326" s="15" t="s">
        <v>23</v>
      </c>
    </row>
    <row r="5327" spans="1:11" ht="42" customHeight="1">
      <c r="A5327" s="4" t="s">
        <v>13049</v>
      </c>
      <c r="B5327" s="5" t="s">
        <v>13050</v>
      </c>
      <c r="C5327" s="5" t="s">
        <v>18</v>
      </c>
      <c r="D5327" s="5" t="s">
        <v>19</v>
      </c>
      <c r="E5327" s="5" t="s">
        <v>49</v>
      </c>
      <c r="F5327" s="9">
        <v>83</v>
      </c>
      <c r="G5327" s="9">
        <v>1022</v>
      </c>
      <c r="H5327" s="5" t="s">
        <v>21</v>
      </c>
      <c r="I5327" s="5" t="s">
        <v>13051</v>
      </c>
      <c r="J5327" s="12" t="str">
        <f>HYPERLINK("https://www.boe.es/gazeta/dias/1802/10/12/pdfs/GMD-1802-83.pdf#page=10","Abrir facsímil")</f>
        <v>Abrir facsímil</v>
      </c>
      <c r="K5327" s="15" t="s">
        <v>23</v>
      </c>
    </row>
    <row r="5328" spans="1:11" ht="42" customHeight="1">
      <c r="A5328" s="4" t="s">
        <v>13052</v>
      </c>
      <c r="B5328" s="5" t="s">
        <v>13053</v>
      </c>
      <c r="C5328" s="5" t="s">
        <v>29</v>
      </c>
      <c r="D5328" s="5" t="s">
        <v>30</v>
      </c>
      <c r="E5328" s="5" t="s">
        <v>439</v>
      </c>
      <c r="F5328" s="9">
        <v>76</v>
      </c>
      <c r="G5328" s="9">
        <v>938</v>
      </c>
      <c r="H5328" s="5" t="s">
        <v>21</v>
      </c>
      <c r="I5328" s="5" t="s">
        <v>13054</v>
      </c>
      <c r="J5328" s="12" t="str">
        <f>HYPERLINK("https://www.boe.es/gazeta/dias/1802/09/17/pdfs/GMD-1802-76.pdf#page=10","Abrir facsímil")</f>
        <v>Abrir facsímil</v>
      </c>
      <c r="K5328" s="15" t="s">
        <v>23</v>
      </c>
    </row>
    <row r="5329" spans="1:11" ht="42" customHeight="1">
      <c r="A5329" s="4" t="s">
        <v>13055</v>
      </c>
      <c r="B5329" s="5" t="s">
        <v>13056</v>
      </c>
      <c r="C5329" s="5" t="s">
        <v>29</v>
      </c>
      <c r="D5329" s="5" t="s">
        <v>30</v>
      </c>
      <c r="E5329" s="5" t="s">
        <v>332</v>
      </c>
      <c r="F5329" s="9">
        <v>24</v>
      </c>
      <c r="G5329" s="9">
        <v>274</v>
      </c>
      <c r="H5329" s="5" t="s">
        <v>21</v>
      </c>
      <c r="I5329" s="5" t="s">
        <v>13057</v>
      </c>
      <c r="J5329" s="12" t="str">
        <f>HYPERLINK("https://www.boe.es/gazeta/dias/1802/03/23/pdfs/GMD-1802-24.pdf#page=10","Abrir facsímil")</f>
        <v>Abrir facsímil</v>
      </c>
      <c r="K5329" s="15" t="s">
        <v>23</v>
      </c>
    </row>
    <row r="5330" spans="1:11" ht="42" customHeight="1">
      <c r="A5330" s="4" t="s">
        <v>13055</v>
      </c>
      <c r="B5330" s="5" t="s">
        <v>13056</v>
      </c>
      <c r="C5330" s="5" t="s">
        <v>55</v>
      </c>
      <c r="D5330" s="5" t="s">
        <v>56</v>
      </c>
      <c r="E5330" s="5" t="s">
        <v>57</v>
      </c>
      <c r="F5330" s="9">
        <v>54</v>
      </c>
      <c r="G5330" s="9">
        <v>655</v>
      </c>
      <c r="H5330" s="5" t="s">
        <v>21</v>
      </c>
      <c r="I5330" s="5" t="s">
        <v>13058</v>
      </c>
      <c r="J5330" s="12" t="str">
        <f>HYPERLINK("https://www.boe.es/gazeta/dias/1802/07/06/pdfs/GMD-1802-54.pdf#page=11","Abrir facsímil")</f>
        <v>Abrir facsímil</v>
      </c>
      <c r="K5330" s="15" t="s">
        <v>23</v>
      </c>
    </row>
    <row r="5331" spans="1:11" ht="42" customHeight="1">
      <c r="A5331" s="4" t="s">
        <v>13055</v>
      </c>
      <c r="B5331" s="5" t="s">
        <v>13056</v>
      </c>
      <c r="C5331" s="5" t="s">
        <v>18</v>
      </c>
      <c r="D5331" s="5" t="s">
        <v>19</v>
      </c>
      <c r="E5331" s="5" t="s">
        <v>439</v>
      </c>
      <c r="F5331" s="9">
        <v>76</v>
      </c>
      <c r="G5331" s="9">
        <v>939</v>
      </c>
      <c r="H5331" s="5" t="s">
        <v>21</v>
      </c>
      <c r="I5331" s="5" t="s">
        <v>13059</v>
      </c>
      <c r="J5331" s="12" t="str">
        <f>HYPERLINK("https://www.boe.es/gazeta/dias/1802/09/17/pdfs/GMD-1802-76.pdf#page=11","Abrir facsímil")</f>
        <v>Abrir facsímil</v>
      </c>
      <c r="K5331" s="15" t="s">
        <v>23</v>
      </c>
    </row>
    <row r="5332" spans="1:11" ht="42" customHeight="1">
      <c r="A5332" s="4" t="s">
        <v>13060</v>
      </c>
      <c r="B5332" s="5" t="s">
        <v>13061</v>
      </c>
      <c r="C5332" s="5" t="s">
        <v>18</v>
      </c>
      <c r="D5332" s="5" t="s">
        <v>19</v>
      </c>
      <c r="E5332" s="5" t="s">
        <v>20</v>
      </c>
      <c r="F5332" s="9">
        <v>84</v>
      </c>
      <c r="G5332" s="9">
        <v>1047</v>
      </c>
      <c r="H5332" s="5" t="s">
        <v>21</v>
      </c>
      <c r="I5332" s="5" t="s">
        <v>13062</v>
      </c>
      <c r="J5332" s="12" t="str">
        <f>HYPERLINK("https://www.boe.es/gazeta/dias/1802/10/15/pdfs/GMD-1802-84.pdf#page=15","Abrir facsímil")</f>
        <v>Abrir facsímil</v>
      </c>
      <c r="K5332" s="15" t="s">
        <v>23</v>
      </c>
    </row>
    <row r="5333" spans="1:11" ht="42" customHeight="1">
      <c r="A5333" s="4" t="s">
        <v>13063</v>
      </c>
      <c r="B5333" s="5" t="s">
        <v>13064</v>
      </c>
      <c r="C5333" s="5" t="s">
        <v>29</v>
      </c>
      <c r="D5333" s="5" t="s">
        <v>30</v>
      </c>
      <c r="E5333" s="5" t="s">
        <v>20</v>
      </c>
      <c r="F5333" s="9">
        <v>84</v>
      </c>
      <c r="G5333" s="9">
        <v>1042</v>
      </c>
      <c r="H5333" s="5" t="s">
        <v>21</v>
      </c>
      <c r="I5333" s="5" t="s">
        <v>13065</v>
      </c>
      <c r="J5333" s="12" t="str">
        <f>HYPERLINK("https://www.boe.es/gazeta/dias/1802/10/15/pdfs/GMD-1802-84.pdf#page=10","Abrir facsímil")</f>
        <v>Abrir facsímil</v>
      </c>
      <c r="K5333" s="15" t="s">
        <v>23</v>
      </c>
    </row>
    <row r="5334" spans="1:11" ht="42" customHeight="1">
      <c r="A5334" s="4" t="s">
        <v>13066</v>
      </c>
      <c r="B5334" s="5" t="s">
        <v>13067</v>
      </c>
      <c r="C5334" s="5" t="s">
        <v>29</v>
      </c>
      <c r="D5334" s="5" t="s">
        <v>30</v>
      </c>
      <c r="E5334" s="5" t="s">
        <v>109</v>
      </c>
      <c r="F5334" s="9">
        <v>10</v>
      </c>
      <c r="G5334" s="9">
        <v>99</v>
      </c>
      <c r="H5334" s="5" t="s">
        <v>21</v>
      </c>
      <c r="I5334" s="5" t="s">
        <v>13068</v>
      </c>
      <c r="J5334" s="12" t="str">
        <f>HYPERLINK("https://www.boe.es/gazeta/dias/1802/02/02/pdfs/GMD-1802-10.pdf#page=7","Abrir facsímil")</f>
        <v>Abrir facsímil</v>
      </c>
      <c r="K5334" s="15" t="s">
        <v>23</v>
      </c>
    </row>
    <row r="5335" spans="1:11" ht="42" customHeight="1">
      <c r="A5335" s="4" t="s">
        <v>13066</v>
      </c>
      <c r="B5335" s="5" t="s">
        <v>13067</v>
      </c>
      <c r="C5335" s="5" t="s">
        <v>160</v>
      </c>
      <c r="D5335" s="5" t="s">
        <v>91</v>
      </c>
      <c r="E5335" s="5" t="s">
        <v>655</v>
      </c>
      <c r="F5335" s="9">
        <v>46</v>
      </c>
      <c r="G5335" s="9">
        <v>562</v>
      </c>
      <c r="H5335" s="5" t="s">
        <v>21</v>
      </c>
      <c r="I5335" s="5" t="s">
        <v>13069</v>
      </c>
      <c r="J5335" s="12" t="str">
        <f>HYPERLINK("https://www.boe.es/gazeta/dias/1802/06/08/pdfs/GMD-1802-46.pdf#page=14","Abrir facsímil")</f>
        <v>Abrir facsímil</v>
      </c>
      <c r="K5335" s="15" t="s">
        <v>23</v>
      </c>
    </row>
    <row r="5336" spans="1:11" ht="42" customHeight="1">
      <c r="A5336" s="4" t="s">
        <v>13070</v>
      </c>
      <c r="B5336" s="5" t="s">
        <v>13071</v>
      </c>
      <c r="C5336" s="5" t="s">
        <v>18</v>
      </c>
      <c r="D5336" s="5" t="s">
        <v>19</v>
      </c>
      <c r="E5336" s="5" t="s">
        <v>49</v>
      </c>
      <c r="F5336" s="9">
        <v>83</v>
      </c>
      <c r="G5336" s="9">
        <v>1023</v>
      </c>
      <c r="H5336" s="5" t="s">
        <v>21</v>
      </c>
      <c r="I5336" s="5" t="s">
        <v>13072</v>
      </c>
      <c r="J5336" s="12" t="str">
        <f>HYPERLINK("https://www.boe.es/gazeta/dias/1802/10/12/pdfs/GMD-1802-83.pdf#page=11","Abrir facsímil")</f>
        <v>Abrir facsímil</v>
      </c>
      <c r="K5336" s="15" t="s">
        <v>23</v>
      </c>
    </row>
    <row r="5337" spans="1:11" ht="42" customHeight="1">
      <c r="A5337" s="4" t="s">
        <v>13073</v>
      </c>
      <c r="B5337" s="5" t="s">
        <v>13074</v>
      </c>
      <c r="C5337" s="5" t="s">
        <v>90</v>
      </c>
      <c r="D5337" s="5" t="s">
        <v>91</v>
      </c>
      <c r="E5337" s="5" t="s">
        <v>1381</v>
      </c>
      <c r="F5337" s="9">
        <v>17</v>
      </c>
      <c r="G5337" s="9">
        <v>187</v>
      </c>
      <c r="H5337" s="5" t="s">
        <v>21</v>
      </c>
      <c r="I5337" s="5" t="s">
        <v>13075</v>
      </c>
      <c r="J5337" s="12" t="str">
        <f>HYPERLINK("https://www.boe.es/gazeta/dias/1802/02/26/pdfs/GMD-1802-17.pdf#page=11","Abrir facsímil")</f>
        <v>Abrir facsímil</v>
      </c>
      <c r="K5337" s="15" t="s">
        <v>23</v>
      </c>
    </row>
    <row r="5338" spans="1:11" ht="42" customHeight="1">
      <c r="A5338" s="4" t="s">
        <v>13076</v>
      </c>
      <c r="B5338" s="5" t="s">
        <v>13077</v>
      </c>
      <c r="C5338" s="5" t="s">
        <v>18</v>
      </c>
      <c r="D5338" s="5" t="s">
        <v>19</v>
      </c>
      <c r="E5338" s="5" t="s">
        <v>49</v>
      </c>
      <c r="F5338" s="9">
        <v>83</v>
      </c>
      <c r="G5338" s="9">
        <v>1025</v>
      </c>
      <c r="H5338" s="5" t="s">
        <v>21</v>
      </c>
      <c r="I5338" s="5" t="s">
        <v>13078</v>
      </c>
      <c r="J5338" s="12" t="str">
        <f>HYPERLINK("https://www.boe.es/gazeta/dias/1802/10/12/pdfs/GMD-1802-83.pdf#page=13","Abrir facsímil")</f>
        <v>Abrir facsímil</v>
      </c>
      <c r="K5338" s="15" t="s">
        <v>23</v>
      </c>
    </row>
    <row r="5339" spans="1:11" ht="42" customHeight="1">
      <c r="A5339" s="4" t="s">
        <v>13079</v>
      </c>
      <c r="B5339" s="5" t="s">
        <v>13080</v>
      </c>
      <c r="C5339" s="5" t="s">
        <v>55</v>
      </c>
      <c r="D5339" s="5" t="s">
        <v>56</v>
      </c>
      <c r="E5339" s="5" t="s">
        <v>1407</v>
      </c>
      <c r="F5339" s="9">
        <v>8</v>
      </c>
      <c r="G5339" s="9">
        <v>79</v>
      </c>
      <c r="H5339" s="5" t="s">
        <v>21</v>
      </c>
      <c r="I5339" s="5" t="s">
        <v>13081</v>
      </c>
      <c r="J5339" s="12" t="str">
        <f>HYPERLINK("https://www.boe.es/gazeta/dias/1802/01/26/pdfs/GMD-1802-8.pdf#page=7","Abrir facsímil")</f>
        <v>Abrir facsímil</v>
      </c>
      <c r="K5339" s="15" t="s">
        <v>23</v>
      </c>
    </row>
    <row r="5340" spans="1:11" ht="42" customHeight="1">
      <c r="A5340" s="4" t="s">
        <v>13079</v>
      </c>
      <c r="B5340" s="5" t="s">
        <v>13080</v>
      </c>
      <c r="C5340" s="5" t="s">
        <v>55</v>
      </c>
      <c r="D5340" s="5" t="s">
        <v>56</v>
      </c>
      <c r="E5340" s="5" t="s">
        <v>865</v>
      </c>
      <c r="F5340" s="9">
        <v>12</v>
      </c>
      <c r="G5340" s="9">
        <v>122</v>
      </c>
      <c r="H5340" s="5" t="s">
        <v>21</v>
      </c>
      <c r="I5340" s="5" t="s">
        <v>13082</v>
      </c>
      <c r="J5340" s="12" t="str">
        <f>HYPERLINK("https://www.boe.es/gazeta/dias/1802/02/09/pdfs/GMD-1802-12.pdf#page=6","Abrir facsímil")</f>
        <v>Abrir facsímil</v>
      </c>
      <c r="K5340" s="15" t="s">
        <v>23</v>
      </c>
    </row>
    <row r="5341" spans="1:11" ht="42" customHeight="1">
      <c r="A5341" s="4" t="s">
        <v>13079</v>
      </c>
      <c r="B5341" s="5" t="s">
        <v>13080</v>
      </c>
      <c r="C5341" s="5" t="s">
        <v>55</v>
      </c>
      <c r="D5341" s="5" t="s">
        <v>56</v>
      </c>
      <c r="E5341" s="5" t="s">
        <v>206</v>
      </c>
      <c r="F5341" s="9">
        <v>22</v>
      </c>
      <c r="G5341" s="9">
        <v>243</v>
      </c>
      <c r="H5341" s="5" t="s">
        <v>21</v>
      </c>
      <c r="I5341" s="5" t="s">
        <v>13083</v>
      </c>
      <c r="J5341" s="12" t="str">
        <f>HYPERLINK("https://www.boe.es/gazeta/dias/1802/03/16/pdfs/GMD-1802-22.pdf#page=11","Abrir facsímil")</f>
        <v>Abrir facsímil</v>
      </c>
      <c r="K5341" s="15" t="s">
        <v>23</v>
      </c>
    </row>
    <row r="5342" spans="1:11" ht="42" customHeight="1">
      <c r="A5342" s="4" t="s">
        <v>13079</v>
      </c>
      <c r="B5342" s="5" t="s">
        <v>13080</v>
      </c>
      <c r="C5342" s="5" t="s">
        <v>55</v>
      </c>
      <c r="D5342" s="5" t="s">
        <v>56</v>
      </c>
      <c r="E5342" s="5" t="s">
        <v>232</v>
      </c>
      <c r="F5342" s="9">
        <v>30</v>
      </c>
      <c r="G5342" s="9">
        <v>351</v>
      </c>
      <c r="H5342" s="5" t="s">
        <v>21</v>
      </c>
      <c r="I5342" s="5" t="s">
        <v>13084</v>
      </c>
      <c r="J5342" s="12" t="str">
        <f>HYPERLINK("https://www.boe.es/gazeta/dias/1802/04/13/pdfs/GMD-1802-30.pdf#page=7","Abrir facsímil")</f>
        <v>Abrir facsímil</v>
      </c>
      <c r="K5342" s="15" t="s">
        <v>23</v>
      </c>
    </row>
    <row r="5343" spans="1:11" ht="42" customHeight="1">
      <c r="A5343" s="4" t="s">
        <v>13079</v>
      </c>
      <c r="B5343" s="5" t="s">
        <v>13080</v>
      </c>
      <c r="C5343" s="5" t="s">
        <v>55</v>
      </c>
      <c r="D5343" s="5" t="s">
        <v>56</v>
      </c>
      <c r="E5343" s="5" t="s">
        <v>1959</v>
      </c>
      <c r="F5343" s="9">
        <v>34</v>
      </c>
      <c r="G5343" s="9">
        <v>398</v>
      </c>
      <c r="H5343" s="5" t="s">
        <v>21</v>
      </c>
      <c r="I5343" s="5" t="s">
        <v>13085</v>
      </c>
      <c r="J5343" s="12" t="str">
        <f>HYPERLINK("https://www.boe.es/gazeta/dias/1802/04/27/pdfs/GMD-1802-34.pdf#page=10","Abrir facsímil")</f>
        <v>Abrir facsímil</v>
      </c>
      <c r="K5343" s="15" t="s">
        <v>23</v>
      </c>
    </row>
    <row r="5344" spans="1:11" ht="42" customHeight="1">
      <c r="A5344" s="4" t="s">
        <v>13079</v>
      </c>
      <c r="B5344" s="5" t="s">
        <v>13080</v>
      </c>
      <c r="C5344" s="5" t="s">
        <v>55</v>
      </c>
      <c r="D5344" s="5" t="s">
        <v>56</v>
      </c>
      <c r="E5344" s="5" t="s">
        <v>590</v>
      </c>
      <c r="F5344" s="9">
        <v>38</v>
      </c>
      <c r="G5344" s="9">
        <v>455</v>
      </c>
      <c r="H5344" s="5" t="s">
        <v>21</v>
      </c>
      <c r="I5344" s="5" t="s">
        <v>13086</v>
      </c>
      <c r="J5344" s="12" t="str">
        <f>HYPERLINK("https://www.boe.es/gazeta/dias/1802/05/11/pdfs/GMD-1802-38.pdf#page=11","Abrir facsímil")</f>
        <v>Abrir facsímil</v>
      </c>
      <c r="K5344" s="15" t="s">
        <v>23</v>
      </c>
    </row>
    <row r="5345" spans="1:11" ht="42" customHeight="1">
      <c r="A5345" s="4" t="s">
        <v>13079</v>
      </c>
      <c r="B5345" s="5" t="s">
        <v>13080</v>
      </c>
      <c r="C5345" s="5" t="s">
        <v>29</v>
      </c>
      <c r="D5345" s="5" t="s">
        <v>30</v>
      </c>
      <c r="E5345" s="5" t="s">
        <v>642</v>
      </c>
      <c r="F5345" s="9">
        <v>51</v>
      </c>
      <c r="G5345" s="9">
        <v>623</v>
      </c>
      <c r="H5345" s="5" t="s">
        <v>21</v>
      </c>
      <c r="I5345" s="5" t="s">
        <v>13087</v>
      </c>
      <c r="J5345" s="12" t="str">
        <f>HYPERLINK("https://www.boe.es/gazeta/dias/1802/06/25/pdfs/GMD-1802-51.pdf#page=11","Abrir facsímil")</f>
        <v>Abrir facsímil</v>
      </c>
      <c r="K5345" s="15" t="s">
        <v>23</v>
      </c>
    </row>
    <row r="5346" spans="1:11" ht="42" customHeight="1">
      <c r="A5346" s="4" t="s">
        <v>13079</v>
      </c>
      <c r="B5346" s="5" t="s">
        <v>13080</v>
      </c>
      <c r="C5346" s="5" t="s">
        <v>55</v>
      </c>
      <c r="D5346" s="5" t="s">
        <v>56</v>
      </c>
      <c r="E5346" s="5" t="s">
        <v>1749</v>
      </c>
      <c r="F5346" s="9">
        <v>60</v>
      </c>
      <c r="G5346" s="9">
        <v>731</v>
      </c>
      <c r="H5346" s="5" t="s">
        <v>21</v>
      </c>
      <c r="I5346" s="5" t="s">
        <v>13088</v>
      </c>
      <c r="J5346" s="12" t="str">
        <f>HYPERLINK("https://www.boe.es/gazeta/dias/1802/07/23/pdfs/GMD-1802-60.pdf#page=15","Abrir facsímil")</f>
        <v>Abrir facsímil</v>
      </c>
      <c r="K5346" s="15" t="s">
        <v>23</v>
      </c>
    </row>
    <row r="5347" spans="1:11" ht="42" customHeight="1">
      <c r="A5347" s="4" t="s">
        <v>13079</v>
      </c>
      <c r="B5347" s="5" t="s">
        <v>13080</v>
      </c>
      <c r="C5347" s="5" t="s">
        <v>55</v>
      </c>
      <c r="D5347" s="5" t="s">
        <v>56</v>
      </c>
      <c r="E5347" s="5" t="s">
        <v>481</v>
      </c>
      <c r="F5347" s="9">
        <v>79</v>
      </c>
      <c r="G5347" s="9">
        <v>975</v>
      </c>
      <c r="H5347" s="5" t="s">
        <v>21</v>
      </c>
      <c r="I5347" s="5" t="s">
        <v>13089</v>
      </c>
      <c r="J5347" s="12" t="str">
        <f>HYPERLINK("https://www.boe.es/gazeta/dias/1802/09/28/pdfs/GMD-1802-79.pdf#page=11","Abrir facsímil")</f>
        <v>Abrir facsímil</v>
      </c>
      <c r="K5347" s="15" t="s">
        <v>23</v>
      </c>
    </row>
    <row r="5348" spans="1:11" ht="42" customHeight="1">
      <c r="A5348" s="4" t="s">
        <v>13079</v>
      </c>
      <c r="B5348" s="5" t="s">
        <v>13080</v>
      </c>
      <c r="C5348" s="5" t="s">
        <v>29</v>
      </c>
      <c r="D5348" s="5" t="s">
        <v>30</v>
      </c>
      <c r="E5348" s="5" t="s">
        <v>121</v>
      </c>
      <c r="F5348" s="9">
        <v>87</v>
      </c>
      <c r="G5348" s="9">
        <v>1082</v>
      </c>
      <c r="H5348" s="5" t="s">
        <v>21</v>
      </c>
      <c r="I5348" s="5" t="s">
        <v>13090</v>
      </c>
      <c r="J5348" s="12" t="str">
        <f>HYPERLINK("https://www.boe.es/gazeta/dias/1802/10/26/pdfs/GMD-1802-87.pdf#page=10","Abrir facsímil")</f>
        <v>Abrir facsímil</v>
      </c>
      <c r="K5348" s="15" t="s">
        <v>23</v>
      </c>
    </row>
    <row r="5349" spans="1:11" ht="42" customHeight="1">
      <c r="A5349" s="4" t="s">
        <v>13079</v>
      </c>
      <c r="B5349" s="5" t="s">
        <v>13080</v>
      </c>
      <c r="C5349" s="5" t="s">
        <v>55</v>
      </c>
      <c r="D5349" s="5" t="s">
        <v>56</v>
      </c>
      <c r="E5349" s="5" t="s">
        <v>389</v>
      </c>
      <c r="F5349" s="9">
        <v>96</v>
      </c>
      <c r="G5349" s="9">
        <v>1191</v>
      </c>
      <c r="H5349" s="5" t="s">
        <v>21</v>
      </c>
      <c r="I5349" s="5" t="s">
        <v>13091</v>
      </c>
      <c r="J5349" s="12" t="str">
        <f>HYPERLINK("https://www.boe.es/gazeta/dias/1802/11/26/pdfs/GMD-1802-96.pdf#page=11","Abrir facsímil")</f>
        <v>Abrir facsímil</v>
      </c>
      <c r="K5349" s="15" t="s">
        <v>23</v>
      </c>
    </row>
    <row r="5350" spans="1:11" ht="42" customHeight="1">
      <c r="A5350" s="4" t="s">
        <v>13092</v>
      </c>
      <c r="B5350" s="5" t="s">
        <v>13093</v>
      </c>
      <c r="C5350" s="5" t="s">
        <v>42</v>
      </c>
      <c r="D5350" s="5" t="s">
        <v>43</v>
      </c>
      <c r="E5350" s="5" t="s">
        <v>44</v>
      </c>
      <c r="F5350" s="9">
        <v>99</v>
      </c>
      <c r="G5350" s="9" t="s">
        <v>272</v>
      </c>
      <c r="H5350" s="5" t="s">
        <v>21</v>
      </c>
      <c r="I5350" s="5" t="s">
        <v>13094</v>
      </c>
      <c r="J5350" s="12" t="str">
        <f>HYPERLINK("https://www.boe.es/gazeta/dias/1802/12/07/pdfs/GMD-D-1802-99.pdf#page=3","Abrir facsímil")</f>
        <v>Abrir facsímil</v>
      </c>
      <c r="K5350" s="15" t="s">
        <v>23</v>
      </c>
    </row>
    <row r="5351" spans="1:11" ht="42" customHeight="1">
      <c r="A5351" s="4" t="s">
        <v>13095</v>
      </c>
      <c r="B5351" s="5" t="s">
        <v>13096</v>
      </c>
      <c r="C5351" s="5" t="s">
        <v>29</v>
      </c>
      <c r="D5351" s="5" t="s">
        <v>30</v>
      </c>
      <c r="E5351" s="5" t="s">
        <v>99</v>
      </c>
      <c r="F5351" s="9">
        <v>86</v>
      </c>
      <c r="G5351" s="9">
        <v>1072</v>
      </c>
      <c r="H5351" s="5" t="s">
        <v>21</v>
      </c>
      <c r="I5351" s="5" t="s">
        <v>13097</v>
      </c>
      <c r="J5351" s="12" t="str">
        <f>HYPERLINK("https://www.boe.es/gazeta/dias/1802/10/22/pdfs/GMD-1802-86.pdf#page=12","Abrir facsímil")</f>
        <v>Abrir facsímil</v>
      </c>
      <c r="K5351" s="15" t="s">
        <v>23</v>
      </c>
    </row>
    <row r="5352" spans="1:11" ht="42" customHeight="1">
      <c r="A5352" s="4" t="s">
        <v>13098</v>
      </c>
      <c r="B5352" s="5" t="s">
        <v>13098</v>
      </c>
      <c r="C5352" s="5" t="s">
        <v>35</v>
      </c>
      <c r="D5352" s="5" t="s">
        <v>36</v>
      </c>
      <c r="E5352" s="5" t="s">
        <v>146</v>
      </c>
      <c r="F5352" s="9">
        <v>42</v>
      </c>
      <c r="G5352" s="9">
        <v>500</v>
      </c>
      <c r="H5352" s="5" t="s">
        <v>21</v>
      </c>
      <c r="I5352" s="5" t="s">
        <v>13099</v>
      </c>
      <c r="J5352" s="12" t="str">
        <f>HYPERLINK("https://www.boe.es/gazeta/dias/1802/05/25/pdfs/GMD-1802-42.pdf#page=4","Abrir facsímil")</f>
        <v>Abrir facsímil</v>
      </c>
      <c r="K5352" s="15" t="s">
        <v>23</v>
      </c>
    </row>
    <row r="5353" spans="1:11" ht="42" customHeight="1">
      <c r="A5353" s="4" t="s">
        <v>13100</v>
      </c>
      <c r="B5353" s="5" t="s">
        <v>13100</v>
      </c>
      <c r="C5353" s="5" t="s">
        <v>18</v>
      </c>
      <c r="D5353" s="5" t="s">
        <v>19</v>
      </c>
      <c r="E5353" s="5" t="s">
        <v>670</v>
      </c>
      <c r="F5353" s="9">
        <v>40</v>
      </c>
      <c r="G5353" s="9">
        <v>476</v>
      </c>
      <c r="H5353" s="5" t="s">
        <v>21</v>
      </c>
      <c r="I5353" s="5" t="s">
        <v>13101</v>
      </c>
      <c r="J5353" s="12" t="str">
        <f>HYPERLINK("https://www.boe.es/gazeta/dias/1802/05/18/pdfs/GMD-1802-40.pdf#page=4","Abrir facsímil")</f>
        <v>Abrir facsímil</v>
      </c>
      <c r="K5353" s="15" t="s">
        <v>23</v>
      </c>
    </row>
    <row r="5354" spans="1:11" ht="42" customHeight="1">
      <c r="A5354" s="4" t="s">
        <v>13102</v>
      </c>
      <c r="B5354" s="5" t="s">
        <v>13103</v>
      </c>
      <c r="C5354" s="5" t="s">
        <v>35</v>
      </c>
      <c r="D5354" s="5" t="s">
        <v>36</v>
      </c>
      <c r="E5354" s="5" t="s">
        <v>148</v>
      </c>
      <c r="F5354" s="9">
        <v>66</v>
      </c>
      <c r="G5354" s="9">
        <v>808</v>
      </c>
      <c r="H5354" s="5" t="s">
        <v>21</v>
      </c>
      <c r="I5354" s="5" t="s">
        <v>13104</v>
      </c>
      <c r="J5354" s="12" t="str">
        <f>HYPERLINK("https://www.boe.es/gazeta/dias/1802/08/13/pdfs/GMD-1802-66.pdf#page=12","Abrir facsímil")</f>
        <v>Abrir facsímil</v>
      </c>
      <c r="K5354" s="15" t="s">
        <v>23</v>
      </c>
    </row>
    <row r="5355" spans="1:11" ht="42" customHeight="1">
      <c r="A5355" s="4" t="s">
        <v>13105</v>
      </c>
      <c r="B5355" s="5" t="s">
        <v>13106</v>
      </c>
      <c r="C5355" s="5" t="s">
        <v>18</v>
      </c>
      <c r="D5355" s="5" t="s">
        <v>19</v>
      </c>
      <c r="E5355" s="5" t="s">
        <v>20</v>
      </c>
      <c r="F5355" s="9">
        <v>84</v>
      </c>
      <c r="G5355" s="9">
        <v>1044</v>
      </c>
      <c r="H5355" s="5" t="s">
        <v>21</v>
      </c>
      <c r="I5355" s="5" t="s">
        <v>13107</v>
      </c>
      <c r="J5355" s="12" t="str">
        <f>HYPERLINK("https://www.boe.es/gazeta/dias/1802/10/15/pdfs/GMD-1802-84.pdf#page=12","Abrir facsímil")</f>
        <v>Abrir facsímil</v>
      </c>
      <c r="K5355" s="15" t="s">
        <v>23</v>
      </c>
    </row>
    <row r="5356" spans="1:11" ht="42" customHeight="1">
      <c r="A5356" s="4" t="s">
        <v>13108</v>
      </c>
      <c r="B5356" s="5" t="s">
        <v>13109</v>
      </c>
      <c r="C5356" s="5" t="s">
        <v>18</v>
      </c>
      <c r="D5356" s="5" t="s">
        <v>19</v>
      </c>
      <c r="E5356" s="5" t="s">
        <v>75</v>
      </c>
      <c r="F5356" s="9">
        <v>103</v>
      </c>
      <c r="G5356" s="9">
        <v>1263</v>
      </c>
      <c r="H5356" s="5" t="s">
        <v>21</v>
      </c>
      <c r="I5356" s="5" t="s">
        <v>13110</v>
      </c>
      <c r="J5356" s="12" t="str">
        <f>HYPERLINK("https://www.boe.es/gazeta/dias/1802/12/21/pdfs/GMD-1802-103.pdf#page=7","Abrir facsímil")</f>
        <v>Abrir facsímil</v>
      </c>
      <c r="K5356" s="15" t="s">
        <v>23</v>
      </c>
    </row>
    <row r="5357" spans="1:11" ht="42" customHeight="1">
      <c r="A5357" s="4" t="s">
        <v>13111</v>
      </c>
      <c r="B5357" s="5" t="s">
        <v>13112</v>
      </c>
      <c r="C5357" s="5" t="s">
        <v>35</v>
      </c>
      <c r="D5357" s="5" t="s">
        <v>36</v>
      </c>
      <c r="E5357" s="5" t="s">
        <v>826</v>
      </c>
      <c r="F5357" s="9">
        <v>67</v>
      </c>
      <c r="G5357" s="9">
        <v>814</v>
      </c>
      <c r="H5357" s="5" t="s">
        <v>21</v>
      </c>
      <c r="I5357" s="5" t="s">
        <v>13113</v>
      </c>
      <c r="J5357" s="12" t="str">
        <f>HYPERLINK("https://www.boe.es/gazeta/dias/1802/08/17/pdfs/GMD-1802-67.pdf#page=2","Abrir facsímil")</f>
        <v>Abrir facsímil</v>
      </c>
      <c r="K5357" s="15" t="s">
        <v>23</v>
      </c>
    </row>
    <row r="5358" spans="1:11" ht="42" customHeight="1">
      <c r="A5358" s="4" t="s">
        <v>13114</v>
      </c>
      <c r="B5358" s="5" t="s">
        <v>13115</v>
      </c>
      <c r="C5358" s="5" t="s">
        <v>90</v>
      </c>
      <c r="D5358" s="5" t="s">
        <v>91</v>
      </c>
      <c r="E5358" s="5" t="s">
        <v>1332</v>
      </c>
      <c r="F5358" s="9">
        <v>4</v>
      </c>
      <c r="G5358" s="9">
        <v>32</v>
      </c>
      <c r="H5358" s="5" t="s">
        <v>21</v>
      </c>
      <c r="I5358" s="5" t="s">
        <v>13116</v>
      </c>
      <c r="J5358" s="12" t="str">
        <f>HYPERLINK("https://www.boe.es/gazeta/dias/1802/01/12/pdfs/GMD-1802-4.pdf#page=4","Abrir facsímil")</f>
        <v>Abrir facsímil</v>
      </c>
      <c r="K5358" s="15" t="s">
        <v>23</v>
      </c>
    </row>
    <row r="5359" spans="1:11" ht="42" customHeight="1">
      <c r="A5359" s="4" t="s">
        <v>13117</v>
      </c>
      <c r="B5359" s="5" t="s">
        <v>13118</v>
      </c>
      <c r="C5359" s="5" t="s">
        <v>29</v>
      </c>
      <c r="D5359" s="5" t="s">
        <v>30</v>
      </c>
      <c r="E5359" s="5" t="s">
        <v>170</v>
      </c>
      <c r="F5359" s="9">
        <v>28</v>
      </c>
      <c r="G5359" s="9">
        <v>323</v>
      </c>
      <c r="H5359" s="5" t="s">
        <v>21</v>
      </c>
      <c r="I5359" s="5" t="s">
        <v>13119</v>
      </c>
      <c r="J5359" s="12" t="str">
        <f>HYPERLINK("https://www.boe.es/gazeta/dias/1802/04/06/pdfs/GMD-1802-28.pdf#page=3","Abrir facsímil")</f>
        <v>Abrir facsímil</v>
      </c>
      <c r="K5359" s="15" t="s">
        <v>23</v>
      </c>
    </row>
    <row r="5360" spans="1:11" ht="42" customHeight="1">
      <c r="A5360" s="4" t="s">
        <v>13117</v>
      </c>
      <c r="B5360" s="5" t="s">
        <v>13118</v>
      </c>
      <c r="C5360" s="5" t="s">
        <v>35</v>
      </c>
      <c r="D5360" s="5" t="s">
        <v>36</v>
      </c>
      <c r="E5360" s="5" t="s">
        <v>75</v>
      </c>
      <c r="F5360" s="9">
        <v>103</v>
      </c>
      <c r="G5360" s="9">
        <v>1259</v>
      </c>
      <c r="H5360" s="5" t="s">
        <v>21</v>
      </c>
      <c r="I5360" s="5" t="s">
        <v>13120</v>
      </c>
      <c r="J5360" s="12" t="str">
        <f>HYPERLINK("https://www.boe.es/gazeta/dias/1802/12/21/pdfs/GMD-1802-103.pdf#page=3","Abrir facsímil")</f>
        <v>Abrir facsímil</v>
      </c>
      <c r="K5360" s="15" t="s">
        <v>23</v>
      </c>
    </row>
    <row r="5361" spans="1:11" ht="42" customHeight="1">
      <c r="A5361" s="4" t="s">
        <v>13121</v>
      </c>
      <c r="B5361" s="5" t="s">
        <v>13121</v>
      </c>
      <c r="C5361" s="5" t="s">
        <v>35</v>
      </c>
      <c r="D5361" s="5" t="s">
        <v>36</v>
      </c>
      <c r="E5361" s="5" t="s">
        <v>60</v>
      </c>
      <c r="F5361" s="9">
        <v>5</v>
      </c>
      <c r="G5361" s="9">
        <v>47</v>
      </c>
      <c r="H5361" s="5" t="s">
        <v>21</v>
      </c>
      <c r="I5361" s="5" t="s">
        <v>13122</v>
      </c>
      <c r="J5361" s="12" t="str">
        <f>HYPERLINK("https://www.boe.es/gazeta/dias/1802/01/15/pdfs/GMD-1802-5.pdf#page=3","Abrir facsímil")</f>
        <v>Abrir facsímil</v>
      </c>
      <c r="K5361" s="15" t="s">
        <v>23</v>
      </c>
    </row>
    <row r="5362" spans="1:11" ht="42" customHeight="1">
      <c r="A5362" s="4" t="s">
        <v>13123</v>
      </c>
      <c r="B5362" s="5" t="s">
        <v>13123</v>
      </c>
      <c r="C5362" s="5" t="s">
        <v>160</v>
      </c>
      <c r="D5362" s="5" t="s">
        <v>91</v>
      </c>
      <c r="E5362" s="5" t="s">
        <v>1185</v>
      </c>
      <c r="F5362" s="9">
        <v>93</v>
      </c>
      <c r="G5362" s="9">
        <v>1141</v>
      </c>
      <c r="H5362" s="5" t="s">
        <v>21</v>
      </c>
      <c r="I5362" s="5" t="s">
        <v>13124</v>
      </c>
      <c r="J5362" s="12" t="str">
        <f>HYPERLINK("https://www.boe.es/gazeta/dias/1802/11/16/pdfs/GMD-1802-93.pdf#page=1","Abrir facsímil")</f>
        <v>Abrir facsímil</v>
      </c>
      <c r="K5362" s="15" t="s">
        <v>23</v>
      </c>
    </row>
    <row r="5363" spans="1:11" ht="42" customHeight="1">
      <c r="A5363" s="4" t="s">
        <v>13125</v>
      </c>
      <c r="B5363" s="5" t="s">
        <v>13126</v>
      </c>
      <c r="C5363" s="5" t="s">
        <v>35</v>
      </c>
      <c r="D5363" s="5" t="s">
        <v>36</v>
      </c>
      <c r="E5363" s="5" t="s">
        <v>1264</v>
      </c>
      <c r="F5363" s="9">
        <v>105</v>
      </c>
      <c r="G5363" s="9">
        <v>1278</v>
      </c>
      <c r="H5363" s="5" t="s">
        <v>21</v>
      </c>
      <c r="I5363" s="5" t="s">
        <v>13127</v>
      </c>
      <c r="J5363" s="12" t="str">
        <f>HYPERLINK("https://www.boe.es/gazeta/dias/1802/12/28/pdfs/GMD-1802-105.pdf#page=2","Abrir facsímil")</f>
        <v>Abrir facsímil</v>
      </c>
      <c r="K5363" s="15" t="s">
        <v>23</v>
      </c>
    </row>
    <row r="5364" spans="1:11" ht="42" customHeight="1">
      <c r="A5364" s="4" t="s">
        <v>13128</v>
      </c>
      <c r="B5364" s="5" t="s">
        <v>13129</v>
      </c>
      <c r="C5364" s="5" t="s">
        <v>35</v>
      </c>
      <c r="D5364" s="5" t="s">
        <v>36</v>
      </c>
      <c r="E5364" s="5" t="s">
        <v>311</v>
      </c>
      <c r="F5364" s="9">
        <v>88</v>
      </c>
      <c r="G5364" s="9">
        <v>1095</v>
      </c>
      <c r="H5364" s="5" t="s">
        <v>21</v>
      </c>
      <c r="I5364" s="5" t="s">
        <v>13130</v>
      </c>
      <c r="J5364" s="12" t="str">
        <f>HYPERLINK("https://www.boe.es/gazeta/dias/1802/10/29/pdfs/GMD-1802-88.pdf#page=11","Abrir facsímil")</f>
        <v>Abrir facsímil</v>
      </c>
      <c r="K5364" s="15" t="s">
        <v>23</v>
      </c>
    </row>
    <row r="5365" spans="1:11" ht="42" customHeight="1">
      <c r="A5365" s="4" t="s">
        <v>13131</v>
      </c>
      <c r="B5365" s="5" t="s">
        <v>13132</v>
      </c>
      <c r="C5365" s="5" t="s">
        <v>18</v>
      </c>
      <c r="D5365" s="5" t="s">
        <v>19</v>
      </c>
      <c r="E5365" s="5" t="s">
        <v>865</v>
      </c>
      <c r="F5365" s="9">
        <v>12</v>
      </c>
      <c r="G5365" s="9">
        <v>124</v>
      </c>
      <c r="H5365" s="5" t="s">
        <v>21</v>
      </c>
      <c r="I5365" s="5" t="s">
        <v>13133</v>
      </c>
      <c r="J5365" s="12" t="str">
        <f>HYPERLINK("https://www.boe.es/gazeta/dias/1802/02/09/pdfs/GMD-1802-12.pdf#page=8","Abrir facsímil")</f>
        <v>Abrir facsímil</v>
      </c>
      <c r="K5365" s="15" t="s">
        <v>23</v>
      </c>
    </row>
    <row r="5366" spans="1:11" ht="42" customHeight="1">
      <c r="A5366" s="4" t="s">
        <v>13134</v>
      </c>
      <c r="B5366" s="5" t="s">
        <v>13135</v>
      </c>
      <c r="C5366" s="5" t="s">
        <v>55</v>
      </c>
      <c r="D5366" s="5" t="s">
        <v>56</v>
      </c>
      <c r="E5366" s="5" t="s">
        <v>1113</v>
      </c>
      <c r="F5366" s="9">
        <v>6</v>
      </c>
      <c r="G5366" s="9">
        <v>60</v>
      </c>
      <c r="H5366" s="5" t="s">
        <v>21</v>
      </c>
      <c r="I5366" s="5" t="s">
        <v>13136</v>
      </c>
      <c r="J5366" s="12" t="str">
        <f>HYPERLINK("https://www.boe.es/gazeta/dias/1802/01/19/pdfs/GMD-1802-6.pdf#page=8","Abrir facsímil")</f>
        <v>Abrir facsímil</v>
      </c>
      <c r="K5366" s="15" t="s">
        <v>23</v>
      </c>
    </row>
    <row r="5367" spans="1:11" ht="42" customHeight="1">
      <c r="A5367" s="4" t="s">
        <v>13137</v>
      </c>
      <c r="B5367" s="5" t="s">
        <v>13138</v>
      </c>
      <c r="C5367" s="5" t="s">
        <v>18</v>
      </c>
      <c r="D5367" s="5" t="s">
        <v>19</v>
      </c>
      <c r="E5367" s="5" t="s">
        <v>49</v>
      </c>
      <c r="F5367" s="9">
        <v>83</v>
      </c>
      <c r="G5367" s="9">
        <v>1025</v>
      </c>
      <c r="H5367" s="5" t="s">
        <v>21</v>
      </c>
      <c r="I5367" s="5" t="s">
        <v>13139</v>
      </c>
      <c r="J5367" s="12" t="str">
        <f>HYPERLINK("https://www.boe.es/gazeta/dias/1802/10/12/pdfs/GMD-1802-83.pdf#page=13","Abrir facsímil")</f>
        <v>Abrir facsímil</v>
      </c>
      <c r="K5367" s="15" t="s">
        <v>23</v>
      </c>
    </row>
    <row r="5368" spans="1:11" ht="42" customHeight="1">
      <c r="A5368" s="4" t="s">
        <v>13140</v>
      </c>
      <c r="B5368" s="5" t="s">
        <v>13141</v>
      </c>
      <c r="C5368" s="5" t="s">
        <v>42</v>
      </c>
      <c r="D5368" s="5" t="s">
        <v>43</v>
      </c>
      <c r="E5368" s="5" t="s">
        <v>44</v>
      </c>
      <c r="F5368" s="9">
        <v>99</v>
      </c>
      <c r="G5368" s="9" t="s">
        <v>322</v>
      </c>
      <c r="H5368" s="5" t="s">
        <v>21</v>
      </c>
      <c r="I5368" s="5" t="s">
        <v>13142</v>
      </c>
      <c r="J5368" s="12" t="str">
        <f>HYPERLINK("https://www.boe.es/gazeta/dias/1802/12/07/pdfs/GMD-D-1802-99.pdf#page=10","Abrir facsímil")</f>
        <v>Abrir facsímil</v>
      </c>
      <c r="K5368" s="15" t="s">
        <v>23</v>
      </c>
    </row>
    <row r="5369" spans="1:11" ht="42" customHeight="1">
      <c r="A5369" s="4" t="s">
        <v>13143</v>
      </c>
      <c r="B5369" s="5" t="s">
        <v>13144</v>
      </c>
      <c r="C5369" s="5" t="s">
        <v>18</v>
      </c>
      <c r="D5369" s="5" t="s">
        <v>19</v>
      </c>
      <c r="E5369" s="5" t="s">
        <v>714</v>
      </c>
      <c r="F5369" s="9">
        <v>89</v>
      </c>
      <c r="G5369" s="9">
        <v>1104</v>
      </c>
      <c r="H5369" s="5" t="s">
        <v>21</v>
      </c>
      <c r="I5369" s="5" t="s">
        <v>13145</v>
      </c>
      <c r="J5369" s="12" t="str">
        <f>HYPERLINK("https://www.boe.es/gazeta/dias/1802/11/02/pdfs/GMD-1802-89.pdf#page=8","Abrir facsímil")</f>
        <v>Abrir facsímil</v>
      </c>
      <c r="K5369" s="15" t="s">
        <v>23</v>
      </c>
    </row>
    <row r="5370" spans="1:11" ht="42" customHeight="1">
      <c r="A5370" s="4" t="s">
        <v>13143</v>
      </c>
      <c r="B5370" s="5" t="s">
        <v>13144</v>
      </c>
      <c r="C5370" s="5" t="s">
        <v>29</v>
      </c>
      <c r="D5370" s="5" t="s">
        <v>30</v>
      </c>
      <c r="E5370" s="5" t="s">
        <v>823</v>
      </c>
      <c r="F5370" s="9">
        <v>94</v>
      </c>
      <c r="G5370" s="9">
        <v>1160</v>
      </c>
      <c r="H5370" s="5" t="s">
        <v>21</v>
      </c>
      <c r="I5370" s="5" t="s">
        <v>13146</v>
      </c>
      <c r="J5370" s="12" t="str">
        <f>HYPERLINK("https://www.boe.es/gazeta/dias/1802/11/19/pdfs/GMD-1802-94.pdf#page=8","Abrir facsímil")</f>
        <v>Abrir facsímil</v>
      </c>
      <c r="K5370" s="15" t="s">
        <v>23</v>
      </c>
    </row>
    <row r="5371" spans="1:11" ht="42" customHeight="1">
      <c r="A5371" s="4" t="s">
        <v>13143</v>
      </c>
      <c r="B5371" s="5" t="s">
        <v>13144</v>
      </c>
      <c r="C5371" s="5" t="s">
        <v>35</v>
      </c>
      <c r="D5371" s="5" t="s">
        <v>36</v>
      </c>
      <c r="E5371" s="5" t="s">
        <v>751</v>
      </c>
      <c r="F5371" s="9">
        <v>98</v>
      </c>
      <c r="G5371" s="9">
        <v>1211</v>
      </c>
      <c r="H5371" s="5" t="s">
        <v>21</v>
      </c>
      <c r="I5371" s="5" t="s">
        <v>13147</v>
      </c>
      <c r="J5371" s="12" t="str">
        <f>HYPERLINK("https://www.boe.es/gazeta/dias/1802/12/03/pdfs/GMD-1802-98.pdf#page=7","Abrir facsímil")</f>
        <v>Abrir facsímil</v>
      </c>
      <c r="K5371" s="15" t="s">
        <v>23</v>
      </c>
    </row>
    <row r="5372" spans="1:11" ht="42" customHeight="1">
      <c r="A5372" s="4" t="s">
        <v>13143</v>
      </c>
      <c r="B5372" s="5" t="s">
        <v>13144</v>
      </c>
      <c r="C5372" s="5" t="s">
        <v>29</v>
      </c>
      <c r="D5372" s="5" t="s">
        <v>30</v>
      </c>
      <c r="E5372" s="5" t="s">
        <v>751</v>
      </c>
      <c r="F5372" s="9">
        <v>98</v>
      </c>
      <c r="G5372" s="9">
        <v>1212</v>
      </c>
      <c r="H5372" s="5" t="s">
        <v>21</v>
      </c>
      <c r="I5372" s="5" t="s">
        <v>13148</v>
      </c>
      <c r="J5372" s="12" t="str">
        <f>HYPERLINK("https://www.boe.es/gazeta/dias/1802/12/03/pdfs/GMD-1802-98.pdf#page=8","Abrir facsímil")</f>
        <v>Abrir facsímil</v>
      </c>
      <c r="K5372" s="15" t="s">
        <v>23</v>
      </c>
    </row>
    <row r="5373" spans="1:11" ht="42" customHeight="1">
      <c r="A5373" s="4" t="s">
        <v>13143</v>
      </c>
      <c r="B5373" s="5" t="s">
        <v>13144</v>
      </c>
      <c r="C5373" s="5" t="s">
        <v>29</v>
      </c>
      <c r="D5373" s="5" t="s">
        <v>30</v>
      </c>
      <c r="E5373" s="5" t="s">
        <v>73</v>
      </c>
      <c r="F5373" s="9">
        <v>102</v>
      </c>
      <c r="G5373" s="9">
        <v>1250</v>
      </c>
      <c r="H5373" s="5" t="s">
        <v>21</v>
      </c>
      <c r="I5373" s="5" t="s">
        <v>13149</v>
      </c>
      <c r="J5373" s="12" t="str">
        <f>HYPERLINK("https://www.boe.es/gazeta/dias/1802/12/17/pdfs/GMD-1802-102.pdf#page=6","Abrir facsímil")</f>
        <v>Abrir facsímil</v>
      </c>
      <c r="K5373" s="15" t="s">
        <v>23</v>
      </c>
    </row>
    <row r="5374" spans="1:11" ht="42" customHeight="1">
      <c r="A5374" s="4" t="s">
        <v>13143</v>
      </c>
      <c r="B5374" s="5" t="s">
        <v>13144</v>
      </c>
      <c r="C5374" s="5" t="s">
        <v>35</v>
      </c>
      <c r="D5374" s="5" t="s">
        <v>36</v>
      </c>
      <c r="E5374" s="5" t="s">
        <v>73</v>
      </c>
      <c r="F5374" s="9">
        <v>102</v>
      </c>
      <c r="G5374" s="9">
        <v>1251</v>
      </c>
      <c r="H5374" s="5" t="s">
        <v>21</v>
      </c>
      <c r="I5374" s="5" t="s">
        <v>13150</v>
      </c>
      <c r="J5374" s="12" t="str">
        <f>HYPERLINK("https://www.boe.es/gazeta/dias/1802/12/17/pdfs/GMD-1802-102.pdf#page=7","Abrir facsímil")</f>
        <v>Abrir facsímil</v>
      </c>
      <c r="K5374" s="15" t="s">
        <v>23</v>
      </c>
    </row>
    <row r="5375" spans="1:11" ht="42" customHeight="1">
      <c r="A5375" s="4" t="s">
        <v>13143</v>
      </c>
      <c r="B5375" s="5" t="s">
        <v>13144</v>
      </c>
      <c r="C5375" s="5" t="s">
        <v>29</v>
      </c>
      <c r="D5375" s="5" t="s">
        <v>30</v>
      </c>
      <c r="E5375" s="5" t="s">
        <v>75</v>
      </c>
      <c r="F5375" s="9">
        <v>103</v>
      </c>
      <c r="G5375" s="9">
        <v>1260</v>
      </c>
      <c r="H5375" s="5" t="s">
        <v>21</v>
      </c>
      <c r="I5375" s="5" t="s">
        <v>13151</v>
      </c>
      <c r="J5375" s="12" t="str">
        <f>HYPERLINK("https://www.boe.es/gazeta/dias/1802/12/21/pdfs/GMD-1802-103.pdf#page=4","Abrir facsímil")</f>
        <v>Abrir facsímil</v>
      </c>
      <c r="K5375" s="15" t="s">
        <v>23</v>
      </c>
    </row>
    <row r="5376" spans="1:11" ht="42" customHeight="1">
      <c r="A5376" s="4" t="s">
        <v>13152</v>
      </c>
      <c r="B5376" s="5" t="s">
        <v>13153</v>
      </c>
      <c r="C5376" s="5" t="s">
        <v>35</v>
      </c>
      <c r="D5376" s="5" t="s">
        <v>36</v>
      </c>
      <c r="E5376" s="5" t="s">
        <v>757</v>
      </c>
      <c r="F5376" s="9">
        <v>104</v>
      </c>
      <c r="G5376" s="9">
        <v>1268</v>
      </c>
      <c r="H5376" s="5" t="s">
        <v>21</v>
      </c>
      <c r="I5376" s="5" t="s">
        <v>13154</v>
      </c>
      <c r="J5376" s="12" t="str">
        <f>HYPERLINK("https://www.boe.es/gazeta/dias/1802/12/24/pdfs/GMD-1802-104.pdf#page=4","Abrir facsímil")</f>
        <v>Abrir facsímil</v>
      </c>
      <c r="K5376" s="15" t="s">
        <v>23</v>
      </c>
    </row>
    <row r="5377" spans="1:11" ht="42" customHeight="1">
      <c r="A5377" s="4" t="s">
        <v>13155</v>
      </c>
      <c r="B5377" s="5" t="s">
        <v>13156</v>
      </c>
      <c r="C5377" s="5" t="s">
        <v>35</v>
      </c>
      <c r="D5377" s="5" t="s">
        <v>36</v>
      </c>
      <c r="E5377" s="5" t="s">
        <v>185</v>
      </c>
      <c r="F5377" s="9">
        <v>95</v>
      </c>
      <c r="G5377" s="9">
        <v>1169</v>
      </c>
      <c r="H5377" s="5" t="s">
        <v>21</v>
      </c>
      <c r="I5377" s="5" t="s">
        <v>13157</v>
      </c>
      <c r="J5377" s="12" t="str">
        <f>HYPERLINK("https://www.boe.es/gazeta/dias/1802/11/23/pdfs/GMD-1802-95.pdf#page=5","Abrir facsímil")</f>
        <v>Abrir facsímil</v>
      </c>
      <c r="K5377" s="15" t="s">
        <v>23</v>
      </c>
    </row>
    <row r="5378" spans="1:11" ht="42" customHeight="1">
      <c r="A5378" s="4" t="s">
        <v>13158</v>
      </c>
      <c r="B5378" s="5" t="s">
        <v>13159</v>
      </c>
      <c r="C5378" s="5" t="s">
        <v>160</v>
      </c>
      <c r="D5378" s="5" t="s">
        <v>91</v>
      </c>
      <c r="E5378" s="5" t="s">
        <v>31</v>
      </c>
      <c r="F5378" s="9">
        <v>27</v>
      </c>
      <c r="G5378" s="9">
        <v>319</v>
      </c>
      <c r="H5378" s="5" t="s">
        <v>21</v>
      </c>
      <c r="I5378" s="5" t="s">
        <v>13160</v>
      </c>
      <c r="J5378" s="12" t="str">
        <f>HYPERLINK("https://www.boe.es/gazeta/dias/1802/04/02/pdfs/GMD-1802-27.pdf#page=15","Abrir facsímil")</f>
        <v>Abrir facsímil</v>
      </c>
      <c r="K5378" s="15" t="s">
        <v>23</v>
      </c>
    </row>
    <row r="5379" spans="1:11" ht="42" customHeight="1">
      <c r="A5379" s="4" t="s">
        <v>13161</v>
      </c>
      <c r="B5379" s="5" t="s">
        <v>13161</v>
      </c>
      <c r="C5379" s="5" t="s">
        <v>18</v>
      </c>
      <c r="D5379" s="5" t="s">
        <v>19</v>
      </c>
      <c r="E5379" s="5" t="s">
        <v>133</v>
      </c>
      <c r="F5379" s="9">
        <v>33</v>
      </c>
      <c r="G5379" s="9">
        <v>388</v>
      </c>
      <c r="H5379" s="5" t="s">
        <v>21</v>
      </c>
      <c r="I5379" s="5" t="s">
        <v>13162</v>
      </c>
      <c r="J5379" s="12" t="str">
        <f>HYPERLINK("https://www.boe.es/gazeta/dias/1802/04/23/pdfs/GMD-1802-33.pdf#page=8","Abrir facsímil")</f>
        <v>Abrir facsímil</v>
      </c>
      <c r="K5379" s="15" t="s">
        <v>23</v>
      </c>
    </row>
    <row r="5380" spans="1:11" ht="42" customHeight="1">
      <c r="A5380" s="4" t="s">
        <v>13161</v>
      </c>
      <c r="B5380" s="5" t="s">
        <v>13161</v>
      </c>
      <c r="C5380" s="5" t="s">
        <v>55</v>
      </c>
      <c r="D5380" s="5" t="s">
        <v>56</v>
      </c>
      <c r="E5380" s="5" t="s">
        <v>146</v>
      </c>
      <c r="F5380" s="9">
        <v>42</v>
      </c>
      <c r="G5380" s="9">
        <v>507</v>
      </c>
      <c r="H5380" s="5" t="s">
        <v>21</v>
      </c>
      <c r="I5380" s="5" t="s">
        <v>13163</v>
      </c>
      <c r="J5380" s="12" t="str">
        <f>HYPERLINK("https://www.boe.es/gazeta/dias/1802/05/25/pdfs/GMD-1802-42.pdf#page=11","Abrir facsímil")</f>
        <v>Abrir facsímil</v>
      </c>
      <c r="K5380" s="15" t="s">
        <v>23</v>
      </c>
    </row>
    <row r="5381" spans="1:11" ht="42" customHeight="1">
      <c r="A5381" s="4" t="s">
        <v>13164</v>
      </c>
      <c r="B5381" s="5" t="s">
        <v>13164</v>
      </c>
      <c r="C5381" s="5" t="s">
        <v>160</v>
      </c>
      <c r="D5381" s="5" t="s">
        <v>91</v>
      </c>
      <c r="E5381" s="5" t="s">
        <v>1407</v>
      </c>
      <c r="F5381" s="9">
        <v>8</v>
      </c>
      <c r="G5381" s="9">
        <v>79</v>
      </c>
      <c r="H5381" s="5" t="s">
        <v>21</v>
      </c>
      <c r="I5381" s="5" t="s">
        <v>13165</v>
      </c>
      <c r="J5381" s="12" t="str">
        <f>HYPERLINK("https://www.boe.es/gazeta/dias/1802/01/26/pdfs/GMD-1802-8.pdf#page=7","Abrir facsímil")</f>
        <v>Abrir facsímil</v>
      </c>
      <c r="K5381" s="15" t="s">
        <v>23</v>
      </c>
    </row>
    <row r="5382" spans="1:11" ht="42" customHeight="1">
      <c r="A5382" s="4" t="s">
        <v>13166</v>
      </c>
      <c r="B5382" s="5" t="s">
        <v>13167</v>
      </c>
      <c r="C5382" s="5" t="s">
        <v>90</v>
      </c>
      <c r="D5382" s="5" t="s">
        <v>91</v>
      </c>
      <c r="E5382" s="5" t="s">
        <v>491</v>
      </c>
      <c r="F5382" s="9">
        <v>57</v>
      </c>
      <c r="G5382" s="9">
        <v>691</v>
      </c>
      <c r="H5382" s="5" t="s">
        <v>21</v>
      </c>
      <c r="I5382" s="5" t="s">
        <v>13168</v>
      </c>
      <c r="J5382" s="12" t="str">
        <f>HYPERLINK("https://www.boe.es/gazeta/dias/1802/07/16/pdfs/GMD-1802-57.pdf#page=11","Abrir facsímil")</f>
        <v>Abrir facsímil</v>
      </c>
      <c r="K5382" s="15" t="s">
        <v>23</v>
      </c>
    </row>
    <row r="5383" spans="1:11" ht="42" customHeight="1">
      <c r="A5383" s="4" t="s">
        <v>13169</v>
      </c>
      <c r="B5383" s="5" t="s">
        <v>13170</v>
      </c>
      <c r="C5383" s="5" t="s">
        <v>29</v>
      </c>
      <c r="D5383" s="5" t="s">
        <v>30</v>
      </c>
      <c r="E5383" s="5" t="s">
        <v>192</v>
      </c>
      <c r="F5383" s="9">
        <v>53</v>
      </c>
      <c r="G5383" s="9">
        <v>643</v>
      </c>
      <c r="H5383" s="5" t="s">
        <v>21</v>
      </c>
      <c r="I5383" s="5" t="s">
        <v>13171</v>
      </c>
      <c r="J5383" s="12" t="str">
        <f>HYPERLINK("https://www.boe.es/gazeta/dias/1802/07/02/pdfs/GMD-1802-53.pdf#page=11","Abrir facsímil")</f>
        <v>Abrir facsímil</v>
      </c>
      <c r="K5383" s="15" t="s">
        <v>23</v>
      </c>
    </row>
    <row r="5384" spans="1:11" ht="42" customHeight="1">
      <c r="A5384" s="4" t="s">
        <v>13172</v>
      </c>
      <c r="B5384" s="5" t="s">
        <v>13173</v>
      </c>
      <c r="C5384" s="5" t="s">
        <v>18</v>
      </c>
      <c r="D5384" s="5" t="s">
        <v>19</v>
      </c>
      <c r="E5384" s="5" t="s">
        <v>436</v>
      </c>
      <c r="F5384" s="9">
        <v>58</v>
      </c>
      <c r="G5384" s="9">
        <v>704</v>
      </c>
      <c r="H5384" s="5" t="s">
        <v>21</v>
      </c>
      <c r="I5384" s="5" t="s">
        <v>13174</v>
      </c>
      <c r="J5384" s="12" t="str">
        <f>HYPERLINK("https://www.boe.es/gazeta/dias/1802/07/20/pdfs/GMD-1802-58.pdf#page=12","Abrir facsímil")</f>
        <v>Abrir facsímil</v>
      </c>
      <c r="K5384" s="15" t="s">
        <v>23</v>
      </c>
    </row>
    <row r="5385" spans="1:11" ht="42" customHeight="1">
      <c r="A5385" s="4" t="s">
        <v>13175</v>
      </c>
      <c r="B5385" s="5" t="s">
        <v>13175</v>
      </c>
      <c r="C5385" s="5" t="s">
        <v>29</v>
      </c>
      <c r="D5385" s="5" t="s">
        <v>30</v>
      </c>
      <c r="E5385" s="5" t="s">
        <v>75</v>
      </c>
      <c r="F5385" s="9">
        <v>103</v>
      </c>
      <c r="G5385" s="9">
        <v>1262</v>
      </c>
      <c r="H5385" s="5" t="s">
        <v>21</v>
      </c>
      <c r="I5385" s="5" t="s">
        <v>13176</v>
      </c>
      <c r="J5385" s="12" t="str">
        <f>HYPERLINK("https://www.boe.es/gazeta/dias/1802/12/21/pdfs/GMD-1802-103.pdf#page=6","Abrir facsímil")</f>
        <v>Abrir facsímil</v>
      </c>
      <c r="K5385" s="15" t="s">
        <v>23</v>
      </c>
    </row>
    <row r="5386" spans="1:11" ht="42" customHeight="1">
      <c r="A5386" s="4" t="s">
        <v>13177</v>
      </c>
      <c r="B5386" s="5" t="s">
        <v>13177</v>
      </c>
      <c r="C5386" s="5" t="s">
        <v>18</v>
      </c>
      <c r="D5386" s="5" t="s">
        <v>19</v>
      </c>
      <c r="E5386" s="5" t="s">
        <v>1051</v>
      </c>
      <c r="F5386" s="9">
        <v>43</v>
      </c>
      <c r="G5386" s="9">
        <v>512</v>
      </c>
      <c r="H5386" s="5" t="s">
        <v>21</v>
      </c>
      <c r="I5386" s="5" t="s">
        <v>13178</v>
      </c>
      <c r="J5386" s="12" t="str">
        <f>HYPERLINK("https://www.boe.es/gazeta/dias/1802/05/28/pdfs/GMD-1802-43.pdf#page=4","Abrir facsímil")</f>
        <v>Abrir facsímil</v>
      </c>
      <c r="K5386" s="15" t="s">
        <v>23</v>
      </c>
    </row>
    <row r="5387" spans="1:11" ht="42" customHeight="1">
      <c r="A5387" s="4" t="s">
        <v>13177</v>
      </c>
      <c r="B5387" s="5" t="s">
        <v>13177</v>
      </c>
      <c r="C5387" s="5" t="s">
        <v>29</v>
      </c>
      <c r="D5387" s="5" t="s">
        <v>30</v>
      </c>
      <c r="E5387" s="5" t="s">
        <v>328</v>
      </c>
      <c r="F5387" s="9">
        <v>45</v>
      </c>
      <c r="G5387" s="9">
        <v>540</v>
      </c>
      <c r="H5387" s="5" t="s">
        <v>21</v>
      </c>
      <c r="I5387" s="5" t="s">
        <v>13179</v>
      </c>
      <c r="J5387" s="12" t="str">
        <f>HYPERLINK("https://www.boe.es/gazeta/dias/1802/06/04/pdfs/GMD-1802-45.pdf#page=4","Abrir facsímil")</f>
        <v>Abrir facsímil</v>
      </c>
      <c r="K5387" s="15" t="s">
        <v>23</v>
      </c>
    </row>
    <row r="5388" spans="1:11" ht="42" customHeight="1">
      <c r="A5388" s="4" t="s">
        <v>13180</v>
      </c>
      <c r="B5388" s="5" t="s">
        <v>13181</v>
      </c>
      <c r="C5388" s="5" t="s">
        <v>160</v>
      </c>
      <c r="D5388" s="5" t="s">
        <v>91</v>
      </c>
      <c r="E5388" s="5" t="s">
        <v>31</v>
      </c>
      <c r="F5388" s="9">
        <v>27</v>
      </c>
      <c r="G5388" s="9">
        <v>305</v>
      </c>
      <c r="H5388" s="5" t="s">
        <v>21</v>
      </c>
      <c r="I5388" s="5" t="s">
        <v>13182</v>
      </c>
      <c r="J5388" s="12" t="str">
        <f>HYPERLINK("https://www.boe.es/gazeta/dias/1802/04/02/pdfs/GMD-1802-27.pdf#page=1","Abrir facsímil")</f>
        <v>Abrir facsímil</v>
      </c>
      <c r="K5388" s="15" t="s">
        <v>23</v>
      </c>
    </row>
    <row r="5389" spans="1:11" ht="42" customHeight="1">
      <c r="A5389" s="4" t="s">
        <v>13183</v>
      </c>
      <c r="B5389" s="5" t="s">
        <v>13183</v>
      </c>
      <c r="C5389" s="5" t="s">
        <v>29</v>
      </c>
      <c r="D5389" s="5" t="s">
        <v>30</v>
      </c>
      <c r="E5389" s="5" t="s">
        <v>92</v>
      </c>
      <c r="F5389" s="9">
        <v>29</v>
      </c>
      <c r="G5389" s="9">
        <v>342</v>
      </c>
      <c r="H5389" s="5" t="s">
        <v>21</v>
      </c>
      <c r="I5389" s="5" t="s">
        <v>13184</v>
      </c>
      <c r="J5389" s="12" t="str">
        <f>HYPERLINK("https://www.boe.es/gazeta/dias/1802/04/09/pdfs/GMD-1802-29.pdf#page=10","Abrir facsímil")</f>
        <v>Abrir facsímil</v>
      </c>
      <c r="K5389" s="15" t="s">
        <v>23</v>
      </c>
    </row>
    <row r="5390" spans="1:11" ht="42" customHeight="1">
      <c r="A5390" s="4" t="s">
        <v>13185</v>
      </c>
      <c r="B5390" s="5" t="s">
        <v>13186</v>
      </c>
      <c r="C5390" s="5" t="s">
        <v>90</v>
      </c>
      <c r="D5390" s="5" t="s">
        <v>91</v>
      </c>
      <c r="E5390" s="5" t="s">
        <v>292</v>
      </c>
      <c r="F5390" s="9">
        <v>62</v>
      </c>
      <c r="G5390" s="9">
        <v>753</v>
      </c>
      <c r="H5390" s="5" t="s">
        <v>21</v>
      </c>
      <c r="I5390" s="5" t="s">
        <v>13187</v>
      </c>
      <c r="J5390" s="12" t="str">
        <f>HYPERLINK("https://www.boe.es/gazeta/dias/1802/07/30/pdfs/GMD-1802-62.pdf#page=9","Abrir facsímil")</f>
        <v>Abrir facsímil</v>
      </c>
      <c r="K5390" s="15" t="s">
        <v>23</v>
      </c>
    </row>
    <row r="5391" spans="1:11" ht="42" customHeight="1">
      <c r="A5391" s="4" t="s">
        <v>13188</v>
      </c>
      <c r="B5391" s="5" t="s">
        <v>13189</v>
      </c>
      <c r="C5391" s="5" t="s">
        <v>35</v>
      </c>
      <c r="D5391" s="5" t="s">
        <v>36</v>
      </c>
      <c r="E5391" s="5" t="s">
        <v>706</v>
      </c>
      <c r="F5391" s="9">
        <v>80</v>
      </c>
      <c r="G5391" s="9">
        <v>977</v>
      </c>
      <c r="H5391" s="5" t="s">
        <v>21</v>
      </c>
      <c r="I5391" s="5" t="s">
        <v>13190</v>
      </c>
      <c r="J5391" s="12" t="str">
        <f>HYPERLINK("https://www.boe.es/gazeta/dias/1802/10/01/pdfs/GMD-1802-80.pdf#page=1","Abrir facsímil")</f>
        <v>Abrir facsímil</v>
      </c>
      <c r="K5391" s="15" t="s">
        <v>23</v>
      </c>
    </row>
    <row r="5392" spans="1:11" ht="42" customHeight="1">
      <c r="A5392" s="4" t="s">
        <v>13191</v>
      </c>
      <c r="B5392" s="5" t="s">
        <v>13191</v>
      </c>
      <c r="C5392" s="5" t="s">
        <v>35</v>
      </c>
      <c r="D5392" s="5" t="s">
        <v>36</v>
      </c>
      <c r="E5392" s="5" t="s">
        <v>60</v>
      </c>
      <c r="F5392" s="9">
        <v>5</v>
      </c>
      <c r="G5392" s="9">
        <v>46</v>
      </c>
      <c r="H5392" s="5" t="s">
        <v>21</v>
      </c>
      <c r="I5392" s="5" t="s">
        <v>13192</v>
      </c>
      <c r="J5392" s="12" t="str">
        <f>HYPERLINK("https://www.boe.es/gazeta/dias/1802/01/15/pdfs/GMD-1802-5.pdf#page=2","Abrir facsímil")</f>
        <v>Abrir facsímil</v>
      </c>
      <c r="K5392" s="15" t="s">
        <v>23</v>
      </c>
    </row>
    <row r="5393" spans="1:11" ht="42" customHeight="1">
      <c r="A5393" s="4" t="s">
        <v>13193</v>
      </c>
      <c r="B5393" s="5" t="s">
        <v>13193</v>
      </c>
      <c r="C5393" s="5" t="s">
        <v>90</v>
      </c>
      <c r="D5393" s="5" t="s">
        <v>91</v>
      </c>
      <c r="E5393" s="5" t="s">
        <v>1264</v>
      </c>
      <c r="F5393" s="9">
        <v>105</v>
      </c>
      <c r="G5393" s="9">
        <v>1288</v>
      </c>
      <c r="H5393" s="5" t="s">
        <v>21</v>
      </c>
      <c r="I5393" s="5" t="s">
        <v>13194</v>
      </c>
      <c r="J5393" s="12" t="str">
        <f>HYPERLINK("https://www.boe.es/gazeta/dias/1802/12/28/pdfs/GMD-1802-105.pdf#page=12","Abrir facsímil")</f>
        <v>Abrir facsímil</v>
      </c>
      <c r="K5393" s="15" t="s">
        <v>23</v>
      </c>
    </row>
    <row r="5394" spans="1:11" ht="42" customHeight="1">
      <c r="A5394" s="4" t="s">
        <v>13195</v>
      </c>
      <c r="B5394" s="5" t="s">
        <v>13196</v>
      </c>
      <c r="C5394" s="5" t="s">
        <v>29</v>
      </c>
      <c r="D5394" s="5" t="s">
        <v>30</v>
      </c>
      <c r="E5394" s="5" t="s">
        <v>206</v>
      </c>
      <c r="F5394" s="9">
        <v>22</v>
      </c>
      <c r="G5394" s="9">
        <v>241</v>
      </c>
      <c r="H5394" s="5" t="s">
        <v>21</v>
      </c>
      <c r="I5394" s="5" t="s">
        <v>13197</v>
      </c>
      <c r="J5394" s="12" t="str">
        <f>HYPERLINK("https://www.boe.es/gazeta/dias/1802/03/16/pdfs/GMD-1802-22.pdf#page=9","Abrir facsímil")</f>
        <v>Abrir facsímil</v>
      </c>
      <c r="K5394" s="15" t="s">
        <v>23</v>
      </c>
    </row>
    <row r="5395" spans="1:11" ht="42" customHeight="1">
      <c r="A5395" s="4" t="s">
        <v>13198</v>
      </c>
      <c r="B5395" s="5" t="s">
        <v>13199</v>
      </c>
      <c r="C5395" s="5" t="s">
        <v>29</v>
      </c>
      <c r="D5395" s="5" t="s">
        <v>30</v>
      </c>
      <c r="E5395" s="5" t="s">
        <v>328</v>
      </c>
      <c r="F5395" s="9">
        <v>45</v>
      </c>
      <c r="G5395" s="9">
        <v>545</v>
      </c>
      <c r="H5395" s="5" t="s">
        <v>21</v>
      </c>
      <c r="I5395" s="5" t="s">
        <v>13200</v>
      </c>
      <c r="J5395" s="12" t="str">
        <f>HYPERLINK("https://www.boe.es/gazeta/dias/1802/06/04/pdfs/GMD-1802-45.pdf#page=9","Abrir facsímil")</f>
        <v>Abrir facsímil</v>
      </c>
      <c r="K5395" s="15" t="s">
        <v>23</v>
      </c>
    </row>
    <row r="5396" spans="1:11" ht="42" customHeight="1">
      <c r="A5396" s="4" t="s">
        <v>13201</v>
      </c>
      <c r="B5396" s="5" t="s">
        <v>13201</v>
      </c>
      <c r="C5396" s="5" t="s">
        <v>55</v>
      </c>
      <c r="D5396" s="5" t="s">
        <v>56</v>
      </c>
      <c r="E5396" s="5" t="s">
        <v>1374</v>
      </c>
      <c r="F5396" s="9">
        <v>71</v>
      </c>
      <c r="G5396" s="9">
        <v>876</v>
      </c>
      <c r="H5396" s="5" t="s">
        <v>21</v>
      </c>
      <c r="I5396" s="5" t="s">
        <v>13202</v>
      </c>
      <c r="J5396" s="12" t="str">
        <f>HYPERLINK("https://www.boe.es/gazeta/dias/1802/08/31/pdfs/GMD-1802-71.pdf#page=12","Abrir facsímil")</f>
        <v>Abrir facsímil</v>
      </c>
      <c r="K5396" s="15" t="s">
        <v>23</v>
      </c>
    </row>
    <row r="5397" spans="1:11" ht="42" customHeight="1">
      <c r="A5397" s="4" t="s">
        <v>13203</v>
      </c>
      <c r="B5397" s="5" t="s">
        <v>13204</v>
      </c>
      <c r="C5397" s="5" t="s">
        <v>29</v>
      </c>
      <c r="D5397" s="5" t="s">
        <v>30</v>
      </c>
      <c r="E5397" s="5" t="s">
        <v>31</v>
      </c>
      <c r="F5397" s="9">
        <v>27</v>
      </c>
      <c r="G5397" s="9">
        <v>317</v>
      </c>
      <c r="H5397" s="5" t="s">
        <v>21</v>
      </c>
      <c r="I5397" s="5" t="s">
        <v>13205</v>
      </c>
      <c r="J5397" s="12" t="str">
        <f>HYPERLINK("https://www.boe.es/gazeta/dias/1802/04/02/pdfs/GMD-1802-27.pdf#page=13","Abrir facsímil")</f>
        <v>Abrir facsímil</v>
      </c>
      <c r="K5397" s="15" t="s">
        <v>23</v>
      </c>
    </row>
    <row r="5398" spans="1:11" ht="42" customHeight="1">
      <c r="A5398" s="4" t="s">
        <v>13206</v>
      </c>
      <c r="B5398" s="5" t="s">
        <v>13207</v>
      </c>
      <c r="C5398" s="5" t="s">
        <v>35</v>
      </c>
      <c r="D5398" s="5" t="s">
        <v>36</v>
      </c>
      <c r="E5398" s="5" t="s">
        <v>439</v>
      </c>
      <c r="F5398" s="9">
        <v>76</v>
      </c>
      <c r="G5398" s="9">
        <v>932</v>
      </c>
      <c r="H5398" s="5" t="s">
        <v>21</v>
      </c>
      <c r="I5398" s="5" t="s">
        <v>13208</v>
      </c>
      <c r="J5398" s="12" t="str">
        <f>HYPERLINK("https://www.boe.es/gazeta/dias/1802/09/17/pdfs/GMD-1802-76.pdf#page=4","Abrir facsímil")</f>
        <v>Abrir facsímil</v>
      </c>
      <c r="K5398" s="15" t="s">
        <v>23</v>
      </c>
    </row>
    <row r="5399" spans="1:11" ht="42" customHeight="1">
      <c r="A5399" s="4" t="s">
        <v>13209</v>
      </c>
      <c r="B5399" s="5" t="s">
        <v>13210</v>
      </c>
      <c r="C5399" s="5" t="s">
        <v>18</v>
      </c>
      <c r="D5399" s="5" t="s">
        <v>19</v>
      </c>
      <c r="E5399" s="5" t="s">
        <v>131</v>
      </c>
      <c r="F5399" s="9">
        <v>11</v>
      </c>
      <c r="G5399" s="9">
        <v>113</v>
      </c>
      <c r="H5399" s="5" t="s">
        <v>21</v>
      </c>
      <c r="I5399" s="5" t="s">
        <v>13211</v>
      </c>
      <c r="J5399" s="12" t="str">
        <f>HYPERLINK("https://www.boe.es/gazeta/dias/1802/02/05/pdfs/GMD-1802-11.pdf#page=9","Abrir facsímil")</f>
        <v>Abrir facsímil</v>
      </c>
      <c r="K5399" s="15" t="s">
        <v>23</v>
      </c>
    </row>
    <row r="5400" spans="1:11" ht="42" customHeight="1">
      <c r="A5400" s="4" t="s">
        <v>13212</v>
      </c>
      <c r="B5400" s="5" t="s">
        <v>13213</v>
      </c>
      <c r="C5400" s="5" t="s">
        <v>18</v>
      </c>
      <c r="D5400" s="5" t="s">
        <v>19</v>
      </c>
      <c r="E5400" s="5" t="s">
        <v>20</v>
      </c>
      <c r="F5400" s="9">
        <v>84</v>
      </c>
      <c r="G5400" s="9">
        <v>1040</v>
      </c>
      <c r="H5400" s="5" t="s">
        <v>21</v>
      </c>
      <c r="I5400" s="5" t="s">
        <v>13214</v>
      </c>
      <c r="J5400" s="12" t="str">
        <f>HYPERLINK("https://www.boe.es/gazeta/dias/1802/10/15/pdfs/GMD-1802-84.pdf#page=8","Abrir facsímil")</f>
        <v>Abrir facsímil</v>
      </c>
      <c r="K5400" s="15" t="s">
        <v>23</v>
      </c>
    </row>
    <row r="5401" spans="1:11" ht="42" customHeight="1">
      <c r="A5401" s="4" t="s">
        <v>13215</v>
      </c>
      <c r="B5401" s="5" t="s">
        <v>13216</v>
      </c>
      <c r="C5401" s="5" t="s">
        <v>42</v>
      </c>
      <c r="D5401" s="5" t="s">
        <v>43</v>
      </c>
      <c r="E5401" s="5" t="s">
        <v>44</v>
      </c>
      <c r="F5401" s="9">
        <v>99</v>
      </c>
      <c r="G5401" s="9" t="s">
        <v>558</v>
      </c>
      <c r="H5401" s="5" t="s">
        <v>21</v>
      </c>
      <c r="I5401" s="5" t="s">
        <v>13217</v>
      </c>
      <c r="J5401" s="12" t="str">
        <f>HYPERLINK("https://www.boe.es/gazeta/dias/1802/12/07/pdfs/GMD-D-1802-99.pdf#page=1","Abrir facsímil")</f>
        <v>Abrir facsímil</v>
      </c>
      <c r="K5401" s="15" t="s">
        <v>23</v>
      </c>
    </row>
    <row r="5402" spans="1:11" ht="42" customHeight="1">
      <c r="A5402" s="4" t="s">
        <v>13218</v>
      </c>
      <c r="B5402" s="5" t="s">
        <v>13219</v>
      </c>
      <c r="C5402" s="5" t="s">
        <v>42</v>
      </c>
      <c r="D5402" s="5" t="s">
        <v>43</v>
      </c>
      <c r="E5402" s="5" t="s">
        <v>44</v>
      </c>
      <c r="F5402" s="9">
        <v>99</v>
      </c>
      <c r="G5402" s="9" t="s">
        <v>544</v>
      </c>
      <c r="H5402" s="5" t="s">
        <v>21</v>
      </c>
      <c r="I5402" s="5" t="s">
        <v>13220</v>
      </c>
      <c r="J5402" s="12" t="str">
        <f>HYPERLINK("https://www.boe.es/gazeta/dias/1802/12/07/pdfs/GMD-D-1802-99.pdf#page=11","Abrir facsímil")</f>
        <v>Abrir facsímil</v>
      </c>
      <c r="K5402" s="15" t="s">
        <v>23</v>
      </c>
    </row>
    <row r="5403" spans="1:11" ht="42" customHeight="1">
      <c r="A5403" s="4" t="s">
        <v>13221</v>
      </c>
      <c r="B5403" s="5" t="s">
        <v>13222</v>
      </c>
      <c r="C5403" s="5" t="s">
        <v>90</v>
      </c>
      <c r="D5403" s="5" t="s">
        <v>91</v>
      </c>
      <c r="E5403" s="5" t="s">
        <v>1097</v>
      </c>
      <c r="F5403" s="9">
        <v>20</v>
      </c>
      <c r="G5403" s="9">
        <v>222</v>
      </c>
      <c r="H5403" s="5" t="s">
        <v>21</v>
      </c>
      <c r="I5403" s="5" t="s">
        <v>13223</v>
      </c>
      <c r="J5403" s="12" t="str">
        <f>HYPERLINK("https://www.boe.es/gazeta/dias/1802/03/09/pdfs/GMD-1802-20.pdf#page=10","Abrir facsímil")</f>
        <v>Abrir facsímil</v>
      </c>
      <c r="K5403" s="15" t="s">
        <v>23</v>
      </c>
    </row>
    <row r="5404" spans="1:11" ht="42" customHeight="1">
      <c r="A5404" s="4" t="s">
        <v>13224</v>
      </c>
      <c r="B5404" s="5" t="s">
        <v>13225</v>
      </c>
      <c r="C5404" s="5" t="s">
        <v>18</v>
      </c>
      <c r="D5404" s="5" t="s">
        <v>19</v>
      </c>
      <c r="E5404" s="5" t="s">
        <v>49</v>
      </c>
      <c r="F5404" s="9">
        <v>83</v>
      </c>
      <c r="G5404" s="9">
        <v>1023</v>
      </c>
      <c r="H5404" s="5" t="s">
        <v>21</v>
      </c>
      <c r="I5404" s="5" t="s">
        <v>13226</v>
      </c>
      <c r="J5404" s="12" t="str">
        <f>HYPERLINK("https://www.boe.es/gazeta/dias/1802/10/12/pdfs/GMD-1802-83.pdf#page=11","Abrir facsímil")</f>
        <v>Abrir facsímil</v>
      </c>
      <c r="K5404" s="15" t="s">
        <v>23</v>
      </c>
    </row>
    <row r="5405" spans="1:11" ht="42" customHeight="1">
      <c r="A5405" s="4" t="s">
        <v>13227</v>
      </c>
      <c r="B5405" s="5" t="s">
        <v>13228</v>
      </c>
      <c r="C5405" s="5" t="s">
        <v>18</v>
      </c>
      <c r="D5405" s="5" t="s">
        <v>19</v>
      </c>
      <c r="E5405" s="5" t="s">
        <v>20</v>
      </c>
      <c r="F5405" s="9">
        <v>84</v>
      </c>
      <c r="G5405" s="9">
        <v>1039</v>
      </c>
      <c r="H5405" s="5" t="s">
        <v>21</v>
      </c>
      <c r="I5405" s="5" t="s">
        <v>13229</v>
      </c>
      <c r="J5405" s="12" t="str">
        <f>HYPERLINK("https://www.boe.es/gazeta/dias/1802/10/15/pdfs/GMD-1802-84.pdf#page=7","Abrir facsímil")</f>
        <v>Abrir facsímil</v>
      </c>
      <c r="K5405" s="15" t="s">
        <v>23</v>
      </c>
    </row>
    <row r="5406" spans="1:11" ht="42" customHeight="1">
      <c r="A5406" s="4" t="s">
        <v>13230</v>
      </c>
      <c r="B5406" s="5" t="s">
        <v>13230</v>
      </c>
      <c r="C5406" s="5" t="s">
        <v>18</v>
      </c>
      <c r="D5406" s="5" t="s">
        <v>19</v>
      </c>
      <c r="E5406" s="5" t="s">
        <v>20</v>
      </c>
      <c r="F5406" s="9">
        <v>84</v>
      </c>
      <c r="G5406" s="9">
        <v>1044</v>
      </c>
      <c r="H5406" s="5" t="s">
        <v>21</v>
      </c>
      <c r="I5406" s="5" t="s">
        <v>13231</v>
      </c>
      <c r="J5406" s="12" t="str">
        <f>HYPERLINK("https://www.boe.es/gazeta/dias/1802/10/15/pdfs/GMD-1802-84.pdf#page=12","Abrir facsímil")</f>
        <v>Abrir facsímil</v>
      </c>
      <c r="K5406" s="15" t="s">
        <v>23</v>
      </c>
    </row>
    <row r="5407" spans="1:11" ht="42" customHeight="1">
      <c r="A5407" s="4" t="s">
        <v>13232</v>
      </c>
      <c r="B5407" s="5" t="s">
        <v>13233</v>
      </c>
      <c r="C5407" s="5" t="s">
        <v>18</v>
      </c>
      <c r="D5407" s="5" t="s">
        <v>19</v>
      </c>
      <c r="E5407" s="5" t="s">
        <v>1749</v>
      </c>
      <c r="F5407" s="9">
        <v>60</v>
      </c>
      <c r="G5407" s="9">
        <v>718</v>
      </c>
      <c r="H5407" s="5" t="s">
        <v>21</v>
      </c>
      <c r="I5407" s="5" t="s">
        <v>13234</v>
      </c>
      <c r="J5407" s="12" t="str">
        <f>HYPERLINK("https://www.boe.es/gazeta/dias/1802/07/23/pdfs/GMD-1802-60.pdf#page=2","Abrir facsímil")</f>
        <v>Abrir facsímil</v>
      </c>
      <c r="K5407" s="15" t="s">
        <v>23</v>
      </c>
    </row>
    <row r="5408" spans="1:11" ht="42" customHeight="1">
      <c r="A5408" s="4" t="s">
        <v>13235</v>
      </c>
      <c r="B5408" s="5" t="s">
        <v>13236</v>
      </c>
      <c r="C5408" s="5" t="s">
        <v>29</v>
      </c>
      <c r="D5408" s="5" t="s">
        <v>30</v>
      </c>
      <c r="E5408" s="5" t="s">
        <v>152</v>
      </c>
      <c r="F5408" s="9">
        <v>25</v>
      </c>
      <c r="G5408" s="9">
        <v>278</v>
      </c>
      <c r="H5408" s="5" t="s">
        <v>21</v>
      </c>
      <c r="I5408" s="5" t="s">
        <v>13237</v>
      </c>
      <c r="J5408" s="12" t="str">
        <f>HYPERLINK("https://www.boe.es/gazeta/dias/1802/03/26/pdfs/GMD-1802-25.pdf#page=2","Abrir facsímil")</f>
        <v>Abrir facsímil</v>
      </c>
      <c r="K5408" s="15" t="s">
        <v>23</v>
      </c>
    </row>
    <row r="5409" spans="1:11" ht="42" customHeight="1">
      <c r="A5409" s="4" t="s">
        <v>13238</v>
      </c>
      <c r="B5409" s="5" t="s">
        <v>13239</v>
      </c>
      <c r="C5409" s="5" t="s">
        <v>18</v>
      </c>
      <c r="D5409" s="5" t="s">
        <v>19</v>
      </c>
      <c r="E5409" s="5" t="s">
        <v>749</v>
      </c>
      <c r="F5409" s="9">
        <v>97</v>
      </c>
      <c r="G5409" s="9">
        <v>1203</v>
      </c>
      <c r="H5409" s="5" t="s">
        <v>21</v>
      </c>
      <c r="I5409" s="5" t="s">
        <v>13240</v>
      </c>
      <c r="J5409" s="12" t="str">
        <f>HYPERLINK("https://www.boe.es/gazeta/dias/1802/11/30/pdfs/GMD-1802-97.pdf#page=11","Abrir facsímil")</f>
        <v>Abrir facsímil</v>
      </c>
      <c r="K5409" s="15" t="s">
        <v>23</v>
      </c>
    </row>
    <row r="5410" spans="1:11" ht="42" customHeight="1">
      <c r="A5410" s="4" t="s">
        <v>13241</v>
      </c>
      <c r="B5410" s="5" t="s">
        <v>13242</v>
      </c>
      <c r="C5410" s="5" t="s">
        <v>29</v>
      </c>
      <c r="D5410" s="5" t="s">
        <v>30</v>
      </c>
      <c r="E5410" s="5" t="s">
        <v>86</v>
      </c>
      <c r="F5410" s="9">
        <v>26</v>
      </c>
      <c r="G5410" s="9">
        <v>298</v>
      </c>
      <c r="H5410" s="5" t="s">
        <v>21</v>
      </c>
      <c r="I5410" s="5" t="s">
        <v>13243</v>
      </c>
      <c r="J5410" s="12" t="str">
        <f>HYPERLINK("https://www.boe.es/gazeta/dias/1802/03/30/pdfs/GMD-1802-26.pdf#page=10","Abrir facsímil")</f>
        <v>Abrir facsímil</v>
      </c>
      <c r="K5410" s="15" t="s">
        <v>23</v>
      </c>
    </row>
    <row r="5411" spans="1:11" ht="42" customHeight="1">
      <c r="A5411" s="4" t="s">
        <v>13244</v>
      </c>
      <c r="B5411" s="5" t="s">
        <v>13245</v>
      </c>
      <c r="C5411" s="5" t="s">
        <v>90</v>
      </c>
      <c r="D5411" s="5" t="s">
        <v>91</v>
      </c>
      <c r="E5411" s="5" t="s">
        <v>219</v>
      </c>
      <c r="F5411" s="9">
        <v>81</v>
      </c>
      <c r="G5411" s="9">
        <v>998</v>
      </c>
      <c r="H5411" s="5" t="s">
        <v>21</v>
      </c>
      <c r="I5411" s="5" t="s">
        <v>13246</v>
      </c>
      <c r="J5411" s="12" t="str">
        <f>HYPERLINK("https://www.boe.es/gazeta/dias/1802/10/05/pdfs/GMD-1802-81.pdf#page=10","Abrir facsímil")</f>
        <v>Abrir facsímil</v>
      </c>
      <c r="K5411" s="15" t="s">
        <v>23</v>
      </c>
    </row>
    <row r="5412" spans="1:11" ht="42" customHeight="1">
      <c r="A5412" s="4" t="s">
        <v>13247</v>
      </c>
      <c r="B5412" s="5" t="s">
        <v>13247</v>
      </c>
      <c r="C5412" s="5" t="s">
        <v>35</v>
      </c>
      <c r="D5412" s="5" t="s">
        <v>36</v>
      </c>
      <c r="E5412" s="5" t="s">
        <v>232</v>
      </c>
      <c r="F5412" s="9">
        <v>30</v>
      </c>
      <c r="G5412" s="9">
        <v>347</v>
      </c>
      <c r="H5412" s="5" t="s">
        <v>21</v>
      </c>
      <c r="I5412" s="5" t="s">
        <v>13248</v>
      </c>
      <c r="J5412" s="12" t="str">
        <f>HYPERLINK("https://www.boe.es/gazeta/dias/1802/04/13/pdfs/GMD-1802-30.pdf#page=3","Abrir facsímil")</f>
        <v>Abrir facsímil</v>
      </c>
      <c r="K5412" s="15" t="s">
        <v>23</v>
      </c>
    </row>
    <row r="5413" spans="1:11" ht="42" customHeight="1">
      <c r="A5413" s="4" t="s">
        <v>13249</v>
      </c>
      <c r="B5413" s="5" t="s">
        <v>13250</v>
      </c>
      <c r="C5413" s="5" t="s">
        <v>35</v>
      </c>
      <c r="D5413" s="5" t="s">
        <v>36</v>
      </c>
      <c r="E5413" s="5" t="s">
        <v>232</v>
      </c>
      <c r="F5413" s="9">
        <v>30</v>
      </c>
      <c r="G5413" s="9">
        <v>347</v>
      </c>
      <c r="H5413" s="5" t="s">
        <v>21</v>
      </c>
      <c r="I5413" s="5" t="s">
        <v>13251</v>
      </c>
      <c r="J5413" s="12" t="str">
        <f>HYPERLINK("https://www.boe.es/gazeta/dias/1802/04/13/pdfs/GMD-1802-30.pdf#page=3","Abrir facsímil")</f>
        <v>Abrir facsímil</v>
      </c>
      <c r="K5413" s="15" t="s">
        <v>23</v>
      </c>
    </row>
    <row r="5414" spans="1:11" ht="42" customHeight="1">
      <c r="A5414" s="4" t="s">
        <v>13252</v>
      </c>
      <c r="B5414" s="5" t="s">
        <v>13253</v>
      </c>
      <c r="C5414" s="5" t="s">
        <v>572</v>
      </c>
      <c r="D5414" s="5" t="s">
        <v>573</v>
      </c>
      <c r="E5414" s="5" t="s">
        <v>574</v>
      </c>
      <c r="F5414" s="9" t="s">
        <v>575</v>
      </c>
      <c r="G5414" s="9">
        <v>710</v>
      </c>
      <c r="H5414" s="5" t="s">
        <v>21</v>
      </c>
      <c r="I5414" s="5" t="s">
        <v>13254</v>
      </c>
      <c r="J5414" s="12" t="str">
        <f>HYPERLINK("https://www.boe.es/gazeta/dias/1802/07/21/pdfs/GMD-1802-59E.pdf#page=6","Abrir facsímil")</f>
        <v>Abrir facsímil</v>
      </c>
      <c r="K5414" s="15" t="s">
        <v>23</v>
      </c>
    </row>
    <row r="5415" spans="1:11" ht="42" customHeight="1">
      <c r="A5415" s="4" t="s">
        <v>13255</v>
      </c>
      <c r="B5415" s="5" t="s">
        <v>13256</v>
      </c>
      <c r="C5415" s="5" t="s">
        <v>18</v>
      </c>
      <c r="D5415" s="5" t="s">
        <v>19</v>
      </c>
      <c r="E5415" s="5" t="s">
        <v>20</v>
      </c>
      <c r="F5415" s="9">
        <v>84</v>
      </c>
      <c r="G5415" s="9">
        <v>1042</v>
      </c>
      <c r="H5415" s="5" t="s">
        <v>21</v>
      </c>
      <c r="I5415" s="5" t="s">
        <v>13257</v>
      </c>
      <c r="J5415" s="12" t="str">
        <f>HYPERLINK("https://www.boe.es/gazeta/dias/1802/10/15/pdfs/GMD-1802-84.pdf#page=10","Abrir facsímil")</f>
        <v>Abrir facsímil</v>
      </c>
      <c r="K5415" s="15" t="s">
        <v>23</v>
      </c>
    </row>
    <row r="5416" spans="1:11" ht="42" customHeight="1">
      <c r="A5416" s="4" t="s">
        <v>13258</v>
      </c>
      <c r="B5416" s="5" t="s">
        <v>13259</v>
      </c>
      <c r="C5416" s="5" t="s">
        <v>18</v>
      </c>
      <c r="D5416" s="5" t="s">
        <v>19</v>
      </c>
      <c r="E5416" s="5" t="s">
        <v>20</v>
      </c>
      <c r="F5416" s="9">
        <v>84</v>
      </c>
      <c r="G5416" s="9">
        <v>1041</v>
      </c>
      <c r="H5416" s="5" t="s">
        <v>21</v>
      </c>
      <c r="I5416" s="5" t="s">
        <v>13260</v>
      </c>
      <c r="J5416" s="12" t="str">
        <f>HYPERLINK("https://www.boe.es/gazeta/dias/1802/10/15/pdfs/GMD-1802-84.pdf#page=9","Abrir facsímil")</f>
        <v>Abrir facsímil</v>
      </c>
      <c r="K5416" s="15" t="s">
        <v>23</v>
      </c>
    </row>
    <row r="5417" spans="1:11" ht="42" customHeight="1">
      <c r="A5417" s="4" t="s">
        <v>13261</v>
      </c>
      <c r="B5417" s="5" t="s">
        <v>13262</v>
      </c>
      <c r="C5417" s="5" t="s">
        <v>18</v>
      </c>
      <c r="D5417" s="5" t="s">
        <v>19</v>
      </c>
      <c r="E5417" s="5" t="s">
        <v>20</v>
      </c>
      <c r="F5417" s="9">
        <v>84</v>
      </c>
      <c r="G5417" s="9">
        <v>1041</v>
      </c>
      <c r="H5417" s="5" t="s">
        <v>21</v>
      </c>
      <c r="I5417" s="5" t="s">
        <v>13263</v>
      </c>
      <c r="J5417" s="12" t="str">
        <f>HYPERLINK("https://www.boe.es/gazeta/dias/1802/10/15/pdfs/GMD-1802-84.pdf#page=9","Abrir facsímil")</f>
        <v>Abrir facsímil</v>
      </c>
      <c r="K5417" s="15" t="s">
        <v>23</v>
      </c>
    </row>
    <row r="5418" spans="1:11" ht="42" customHeight="1">
      <c r="A5418" s="4" t="s">
        <v>13264</v>
      </c>
      <c r="B5418" s="5" t="s">
        <v>13265</v>
      </c>
      <c r="C5418" s="5" t="s">
        <v>18</v>
      </c>
      <c r="D5418" s="5" t="s">
        <v>19</v>
      </c>
      <c r="E5418" s="5" t="s">
        <v>49</v>
      </c>
      <c r="F5418" s="9">
        <v>83</v>
      </c>
      <c r="G5418" s="9">
        <v>1022</v>
      </c>
      <c r="H5418" s="5" t="s">
        <v>21</v>
      </c>
      <c r="I5418" s="5" t="s">
        <v>13266</v>
      </c>
      <c r="J5418" s="12" t="str">
        <f>HYPERLINK("https://www.boe.es/gazeta/dias/1802/10/12/pdfs/GMD-1802-83.pdf#page=10","Abrir facsímil")</f>
        <v>Abrir facsímil</v>
      </c>
      <c r="K5418" s="15" t="s">
        <v>23</v>
      </c>
    </row>
    <row r="5419" spans="1:11" ht="42" customHeight="1">
      <c r="A5419" s="4" t="s">
        <v>13267</v>
      </c>
      <c r="B5419" s="5" t="s">
        <v>13268</v>
      </c>
      <c r="C5419" s="5" t="s">
        <v>90</v>
      </c>
      <c r="D5419" s="5" t="s">
        <v>91</v>
      </c>
      <c r="E5419" s="5" t="s">
        <v>152</v>
      </c>
      <c r="F5419" s="9">
        <v>25</v>
      </c>
      <c r="G5419" s="9">
        <v>286</v>
      </c>
      <c r="H5419" s="5" t="s">
        <v>21</v>
      </c>
      <c r="I5419" s="5" t="s">
        <v>13269</v>
      </c>
      <c r="J5419" s="12" t="str">
        <f>HYPERLINK("https://www.boe.es/gazeta/dias/1802/03/26/pdfs/GMD-1802-25.pdf#page=10","Abrir facsímil")</f>
        <v>Abrir facsímil</v>
      </c>
      <c r="K5419" s="15" t="s">
        <v>23</v>
      </c>
    </row>
    <row r="5420" spans="1:11" ht="42" customHeight="1">
      <c r="A5420" s="4" t="s">
        <v>13270</v>
      </c>
      <c r="B5420" s="5" t="s">
        <v>13271</v>
      </c>
      <c r="C5420" s="5" t="s">
        <v>90</v>
      </c>
      <c r="D5420" s="5" t="s">
        <v>91</v>
      </c>
      <c r="E5420" s="5" t="s">
        <v>1381</v>
      </c>
      <c r="F5420" s="9">
        <v>17</v>
      </c>
      <c r="G5420" s="9">
        <v>185</v>
      </c>
      <c r="H5420" s="5" t="s">
        <v>21</v>
      </c>
      <c r="I5420" s="5" t="s">
        <v>13272</v>
      </c>
      <c r="J5420" s="12" t="str">
        <f>HYPERLINK("https://www.boe.es/gazeta/dias/1802/02/26/pdfs/GMD-1802-17.pdf#page=9","Abrir facsímil")</f>
        <v>Abrir facsímil</v>
      </c>
      <c r="K5420" s="15" t="s">
        <v>23</v>
      </c>
    </row>
    <row r="5421" spans="1:11" ht="42" customHeight="1">
      <c r="A5421" s="4" t="s">
        <v>13270</v>
      </c>
      <c r="B5421" s="5" t="s">
        <v>13271</v>
      </c>
      <c r="C5421" s="5" t="s">
        <v>18</v>
      </c>
      <c r="D5421" s="5" t="s">
        <v>19</v>
      </c>
      <c r="E5421" s="5" t="s">
        <v>49</v>
      </c>
      <c r="F5421" s="9">
        <v>83</v>
      </c>
      <c r="G5421" s="9">
        <v>1022</v>
      </c>
      <c r="H5421" s="5" t="s">
        <v>21</v>
      </c>
      <c r="I5421" s="5" t="s">
        <v>13273</v>
      </c>
      <c r="J5421" s="12" t="str">
        <f>HYPERLINK("https://www.boe.es/gazeta/dias/1802/10/12/pdfs/GMD-1802-83.pdf#page=10","Abrir facsímil")</f>
        <v>Abrir facsímil</v>
      </c>
      <c r="K5421" s="15" t="s">
        <v>23</v>
      </c>
    </row>
    <row r="5422" spans="1:11" ht="42" customHeight="1">
      <c r="A5422" s="4" t="s">
        <v>13274</v>
      </c>
      <c r="B5422" s="5" t="s">
        <v>13275</v>
      </c>
      <c r="C5422" s="5" t="s">
        <v>18</v>
      </c>
      <c r="D5422" s="5" t="s">
        <v>19</v>
      </c>
      <c r="E5422" s="5" t="s">
        <v>20</v>
      </c>
      <c r="F5422" s="9">
        <v>84</v>
      </c>
      <c r="G5422" s="9">
        <v>1044</v>
      </c>
      <c r="H5422" s="5" t="s">
        <v>21</v>
      </c>
      <c r="I5422" s="5" t="s">
        <v>13276</v>
      </c>
      <c r="J5422" s="12" t="str">
        <f>HYPERLINK("https://www.boe.es/gazeta/dias/1802/10/15/pdfs/GMD-1802-84.pdf#page=12","Abrir facsímil")</f>
        <v>Abrir facsímil</v>
      </c>
      <c r="K5422" s="15" t="s">
        <v>23</v>
      </c>
    </row>
    <row r="5423" spans="1:11" ht="42" customHeight="1">
      <c r="A5423" s="4" t="s">
        <v>13277</v>
      </c>
      <c r="B5423" s="5" t="s">
        <v>13278</v>
      </c>
      <c r="C5423" s="5" t="s">
        <v>18</v>
      </c>
      <c r="D5423" s="5" t="s">
        <v>19</v>
      </c>
      <c r="E5423" s="5" t="s">
        <v>49</v>
      </c>
      <c r="F5423" s="9">
        <v>83</v>
      </c>
      <c r="G5423" s="9">
        <v>1023</v>
      </c>
      <c r="H5423" s="5" t="s">
        <v>21</v>
      </c>
      <c r="I5423" s="5" t="s">
        <v>13279</v>
      </c>
      <c r="J5423" s="12" t="str">
        <f>HYPERLINK("https://www.boe.es/gazeta/dias/1802/10/12/pdfs/GMD-1802-83.pdf#page=11","Abrir facsímil")</f>
        <v>Abrir facsímil</v>
      </c>
      <c r="K5423" s="15" t="s">
        <v>23</v>
      </c>
    </row>
    <row r="5424" spans="1:11" ht="42" customHeight="1">
      <c r="A5424" s="4" t="s">
        <v>13280</v>
      </c>
      <c r="B5424" s="5" t="s">
        <v>13281</v>
      </c>
      <c r="C5424" s="5" t="s">
        <v>18</v>
      </c>
      <c r="D5424" s="5" t="s">
        <v>19</v>
      </c>
      <c r="E5424" s="5" t="s">
        <v>49</v>
      </c>
      <c r="F5424" s="9">
        <v>83</v>
      </c>
      <c r="G5424" s="9">
        <v>1024</v>
      </c>
      <c r="H5424" s="5" t="s">
        <v>21</v>
      </c>
      <c r="I5424" s="5" t="s">
        <v>13282</v>
      </c>
      <c r="J5424" s="12" t="str">
        <f>HYPERLINK("https://www.boe.es/gazeta/dias/1802/10/12/pdfs/GMD-1802-83.pdf#page=12","Abrir facsímil")</f>
        <v>Abrir facsímil</v>
      </c>
      <c r="K5424" s="15" t="s">
        <v>23</v>
      </c>
    </row>
    <row r="5425" spans="1:11" ht="42" customHeight="1">
      <c r="A5425" s="4" t="s">
        <v>13283</v>
      </c>
      <c r="B5425" s="5" t="s">
        <v>13284</v>
      </c>
      <c r="C5425" s="5" t="s">
        <v>18</v>
      </c>
      <c r="D5425" s="5" t="s">
        <v>19</v>
      </c>
      <c r="E5425" s="5" t="s">
        <v>635</v>
      </c>
      <c r="F5425" s="9">
        <v>47</v>
      </c>
      <c r="G5425" s="9">
        <v>566</v>
      </c>
      <c r="H5425" s="5" t="s">
        <v>21</v>
      </c>
      <c r="I5425" s="5" t="s">
        <v>13285</v>
      </c>
      <c r="J5425" s="12" t="str">
        <f>HYPERLINK("https://www.boe.es/gazeta/dias/1802/06/11/pdfs/GMD-1802-47.pdf#page=2","Abrir facsímil")</f>
        <v>Abrir facsímil</v>
      </c>
      <c r="K5425" s="15" t="s">
        <v>23</v>
      </c>
    </row>
    <row r="5426" spans="1:11" ht="42" customHeight="1">
      <c r="A5426" s="4" t="s">
        <v>13286</v>
      </c>
      <c r="B5426" s="5" t="s">
        <v>13287</v>
      </c>
      <c r="C5426" s="5" t="s">
        <v>18</v>
      </c>
      <c r="D5426" s="5" t="s">
        <v>19</v>
      </c>
      <c r="E5426" s="5" t="s">
        <v>167</v>
      </c>
      <c r="F5426" s="9">
        <v>23</v>
      </c>
      <c r="G5426" s="9">
        <v>254</v>
      </c>
      <c r="H5426" s="5" t="s">
        <v>21</v>
      </c>
      <c r="I5426" s="5" t="s">
        <v>13288</v>
      </c>
      <c r="J5426" s="12" t="str">
        <f>HYPERLINK("https://www.boe.es/gazeta/dias/1802/03/19/pdfs/GMD-1802-23.pdf#page=2","Abrir facsímil")</f>
        <v>Abrir facsímil</v>
      </c>
      <c r="K5426" s="15" t="s">
        <v>23</v>
      </c>
    </row>
    <row r="5427" spans="1:11" ht="42" customHeight="1">
      <c r="A5427" s="4" t="s">
        <v>13289</v>
      </c>
      <c r="B5427" s="5" t="s">
        <v>13290</v>
      </c>
      <c r="C5427" s="5" t="s">
        <v>35</v>
      </c>
      <c r="D5427" s="5" t="s">
        <v>36</v>
      </c>
      <c r="E5427" s="5" t="s">
        <v>1618</v>
      </c>
      <c r="F5427" s="9">
        <v>31</v>
      </c>
      <c r="G5427" s="9">
        <v>359</v>
      </c>
      <c r="H5427" s="5" t="s">
        <v>21</v>
      </c>
      <c r="I5427" s="5" t="s">
        <v>13291</v>
      </c>
      <c r="J5427" s="12" t="str">
        <f>HYPERLINK("https://www.boe.es/gazeta/dias/1802/04/16/pdfs/GMD-1802-31.pdf#page=3","Abrir facsímil")</f>
        <v>Abrir facsímil</v>
      </c>
      <c r="K5427" s="15" t="s">
        <v>23</v>
      </c>
    </row>
    <row r="5428" spans="1:11" ht="42" customHeight="1">
      <c r="A5428" s="4" t="s">
        <v>13289</v>
      </c>
      <c r="B5428" s="5" t="s">
        <v>13290</v>
      </c>
      <c r="C5428" s="5" t="s">
        <v>35</v>
      </c>
      <c r="D5428" s="5" t="s">
        <v>36</v>
      </c>
      <c r="E5428" s="5" t="s">
        <v>133</v>
      </c>
      <c r="F5428" s="9">
        <v>33</v>
      </c>
      <c r="G5428" s="9">
        <v>383</v>
      </c>
      <c r="H5428" s="5" t="s">
        <v>21</v>
      </c>
      <c r="I5428" s="5" t="s">
        <v>13292</v>
      </c>
      <c r="J5428" s="12" t="str">
        <f>HYPERLINK("https://www.boe.es/gazeta/dias/1802/04/23/pdfs/GMD-1802-33.pdf#page=3","Abrir facsímil")</f>
        <v>Abrir facsímil</v>
      </c>
      <c r="K5428" s="15" t="s">
        <v>23</v>
      </c>
    </row>
    <row r="5429" spans="1:11" ht="42" customHeight="1">
      <c r="A5429" s="4" t="s">
        <v>13293</v>
      </c>
      <c r="B5429" s="5" t="s">
        <v>13294</v>
      </c>
      <c r="C5429" s="5" t="s">
        <v>18</v>
      </c>
      <c r="D5429" s="5" t="s">
        <v>19</v>
      </c>
      <c r="E5429" s="5" t="s">
        <v>49</v>
      </c>
      <c r="F5429" s="9">
        <v>83</v>
      </c>
      <c r="G5429" s="9">
        <v>1022</v>
      </c>
      <c r="H5429" s="5" t="s">
        <v>21</v>
      </c>
      <c r="I5429" s="5" t="s">
        <v>13295</v>
      </c>
      <c r="J5429" s="12" t="str">
        <f>HYPERLINK("https://www.boe.es/gazeta/dias/1802/10/12/pdfs/GMD-1802-83.pdf#page=10","Abrir facsímil")</f>
        <v>Abrir facsímil</v>
      </c>
      <c r="K5429" s="15" t="s">
        <v>23</v>
      </c>
    </row>
    <row r="5430" spans="1:11" ht="42" customHeight="1">
      <c r="A5430" s="4" t="s">
        <v>13296</v>
      </c>
      <c r="B5430" s="5" t="s">
        <v>13297</v>
      </c>
      <c r="C5430" s="5" t="s">
        <v>18</v>
      </c>
      <c r="D5430" s="5" t="s">
        <v>19</v>
      </c>
      <c r="E5430" s="5" t="s">
        <v>49</v>
      </c>
      <c r="F5430" s="9">
        <v>83</v>
      </c>
      <c r="G5430" s="9">
        <v>1023</v>
      </c>
      <c r="H5430" s="5" t="s">
        <v>21</v>
      </c>
      <c r="I5430" s="5" t="s">
        <v>13298</v>
      </c>
      <c r="J5430" s="12" t="str">
        <f>HYPERLINK("https://www.boe.es/gazeta/dias/1802/10/12/pdfs/GMD-1802-83.pdf#page=11","Abrir facsímil")</f>
        <v>Abrir facsímil</v>
      </c>
      <c r="K5430" s="15" t="s">
        <v>23</v>
      </c>
    </row>
    <row r="5431" spans="1:11" ht="42" customHeight="1">
      <c r="A5431" s="4" t="s">
        <v>13299</v>
      </c>
      <c r="B5431" s="5" t="s">
        <v>13299</v>
      </c>
      <c r="C5431" s="5" t="s">
        <v>18</v>
      </c>
      <c r="D5431" s="5" t="s">
        <v>19</v>
      </c>
      <c r="E5431" s="5" t="s">
        <v>1097</v>
      </c>
      <c r="F5431" s="9">
        <v>20</v>
      </c>
      <c r="G5431" s="9">
        <v>219</v>
      </c>
      <c r="H5431" s="5" t="s">
        <v>21</v>
      </c>
      <c r="I5431" s="5" t="s">
        <v>13300</v>
      </c>
      <c r="J5431" s="12" t="str">
        <f>HYPERLINK("https://www.boe.es/gazeta/dias/1802/03/09/pdfs/GMD-1802-20.pdf#page=7","Abrir facsímil")</f>
        <v>Abrir facsímil</v>
      </c>
      <c r="K5431" s="15" t="s">
        <v>23</v>
      </c>
    </row>
    <row r="5432" spans="1:11" ht="42" customHeight="1">
      <c r="A5432" s="4" t="s">
        <v>13301</v>
      </c>
      <c r="B5432" s="5" t="s">
        <v>13302</v>
      </c>
      <c r="C5432" s="5" t="s">
        <v>29</v>
      </c>
      <c r="D5432" s="5" t="s">
        <v>30</v>
      </c>
      <c r="E5432" s="5" t="s">
        <v>1618</v>
      </c>
      <c r="F5432" s="9">
        <v>31</v>
      </c>
      <c r="G5432" s="9">
        <v>360</v>
      </c>
      <c r="H5432" s="5" t="s">
        <v>21</v>
      </c>
      <c r="I5432" s="5" t="s">
        <v>13303</v>
      </c>
      <c r="J5432" s="12" t="str">
        <f>HYPERLINK("https://www.boe.es/gazeta/dias/1802/04/16/pdfs/GMD-1802-31.pdf#page=4","Abrir facsímil")</f>
        <v>Abrir facsímil</v>
      </c>
      <c r="K5432" s="15" t="s">
        <v>23</v>
      </c>
    </row>
    <row r="5433" spans="1:11" ht="42" customHeight="1">
      <c r="A5433" s="4" t="s">
        <v>13304</v>
      </c>
      <c r="B5433" s="5" t="s">
        <v>13305</v>
      </c>
      <c r="C5433" s="5" t="s">
        <v>29</v>
      </c>
      <c r="D5433" s="5" t="s">
        <v>30</v>
      </c>
      <c r="E5433" s="5" t="s">
        <v>1097</v>
      </c>
      <c r="F5433" s="9">
        <v>20</v>
      </c>
      <c r="G5433" s="9">
        <v>216</v>
      </c>
      <c r="H5433" s="5" t="s">
        <v>21</v>
      </c>
      <c r="I5433" s="5" t="s">
        <v>13306</v>
      </c>
      <c r="J5433" s="12" t="str">
        <f>HYPERLINK("https://www.boe.es/gazeta/dias/1802/03/09/pdfs/GMD-1802-20.pdf#page=4","Abrir facsímil")</f>
        <v>Abrir facsímil</v>
      </c>
      <c r="K5433" s="15" t="s">
        <v>23</v>
      </c>
    </row>
    <row r="5434" spans="1:11" ht="42" customHeight="1">
      <c r="A5434" s="4" t="s">
        <v>13307</v>
      </c>
      <c r="B5434" s="5" t="s">
        <v>13308</v>
      </c>
      <c r="C5434" s="5" t="s">
        <v>35</v>
      </c>
      <c r="D5434" s="5" t="s">
        <v>36</v>
      </c>
      <c r="E5434" s="5" t="s">
        <v>907</v>
      </c>
      <c r="F5434" s="9">
        <v>77</v>
      </c>
      <c r="G5434" s="9">
        <v>941</v>
      </c>
      <c r="H5434" s="5" t="s">
        <v>21</v>
      </c>
      <c r="I5434" s="5" t="s">
        <v>13309</v>
      </c>
      <c r="J5434" s="12" t="str">
        <f>HYPERLINK("https://www.boe.es/gazeta/dias/1802/09/21/pdfs/GMD-1802-77.pdf#page=1","Abrir facsímil")</f>
        <v>Abrir facsímil</v>
      </c>
      <c r="K5434" s="15" t="s">
        <v>23</v>
      </c>
    </row>
    <row r="5435" spans="1:11" ht="42" customHeight="1">
      <c r="A5435" s="4" t="s">
        <v>13310</v>
      </c>
      <c r="B5435" s="5" t="s">
        <v>13311</v>
      </c>
      <c r="C5435" s="5" t="s">
        <v>18</v>
      </c>
      <c r="D5435" s="5" t="s">
        <v>19</v>
      </c>
      <c r="E5435" s="5" t="s">
        <v>20</v>
      </c>
      <c r="F5435" s="9">
        <v>84</v>
      </c>
      <c r="G5435" s="9">
        <v>1042</v>
      </c>
      <c r="H5435" s="5" t="s">
        <v>21</v>
      </c>
      <c r="I5435" s="5" t="s">
        <v>13312</v>
      </c>
      <c r="J5435" s="12" t="str">
        <f>HYPERLINK("https://www.boe.es/gazeta/dias/1802/10/15/pdfs/GMD-1802-84.pdf#page=10","Abrir facsímil")</f>
        <v>Abrir facsímil</v>
      </c>
      <c r="K5435" s="15" t="s">
        <v>23</v>
      </c>
    </row>
    <row r="5436" spans="1:11" ht="42" customHeight="1">
      <c r="A5436" s="4" t="s">
        <v>13313</v>
      </c>
      <c r="B5436" s="5" t="s">
        <v>13314</v>
      </c>
      <c r="C5436" s="5" t="s">
        <v>18</v>
      </c>
      <c r="D5436" s="5" t="s">
        <v>19</v>
      </c>
      <c r="E5436" s="5" t="s">
        <v>20</v>
      </c>
      <c r="F5436" s="9">
        <v>84</v>
      </c>
      <c r="G5436" s="9">
        <v>1044</v>
      </c>
      <c r="H5436" s="5" t="s">
        <v>21</v>
      </c>
      <c r="I5436" s="5" t="s">
        <v>13315</v>
      </c>
      <c r="J5436" s="12" t="str">
        <f>HYPERLINK("https://www.boe.es/gazeta/dias/1802/10/15/pdfs/GMD-1802-84.pdf#page=12","Abrir facsímil")</f>
        <v>Abrir facsímil</v>
      </c>
      <c r="K5436" s="15" t="s">
        <v>23</v>
      </c>
    </row>
    <row r="5437" spans="1:11" ht="42" customHeight="1">
      <c r="A5437" s="4" t="s">
        <v>13316</v>
      </c>
      <c r="B5437" s="5" t="s">
        <v>13317</v>
      </c>
      <c r="C5437" s="5" t="s">
        <v>35</v>
      </c>
      <c r="D5437" s="5" t="s">
        <v>36</v>
      </c>
      <c r="E5437" s="5" t="s">
        <v>86</v>
      </c>
      <c r="F5437" s="9">
        <v>26</v>
      </c>
      <c r="G5437" s="9">
        <v>291</v>
      </c>
      <c r="H5437" s="5" t="s">
        <v>21</v>
      </c>
      <c r="I5437" s="5" t="s">
        <v>13318</v>
      </c>
      <c r="J5437" s="12" t="str">
        <f>HYPERLINK("https://www.boe.es/gazeta/dias/1802/03/30/pdfs/GMD-1802-26.pdf#page=3","Abrir facsímil")</f>
        <v>Abrir facsímil</v>
      </c>
      <c r="K5437" s="15" t="s">
        <v>23</v>
      </c>
    </row>
    <row r="5438" spans="1:11" ht="42" customHeight="1">
      <c r="A5438" s="4" t="s">
        <v>13316</v>
      </c>
      <c r="B5438" s="5" t="s">
        <v>13317</v>
      </c>
      <c r="C5438" s="5" t="s">
        <v>35</v>
      </c>
      <c r="D5438" s="5" t="s">
        <v>36</v>
      </c>
      <c r="E5438" s="5" t="s">
        <v>133</v>
      </c>
      <c r="F5438" s="9">
        <v>33</v>
      </c>
      <c r="G5438" s="9">
        <v>381</v>
      </c>
      <c r="H5438" s="5" t="s">
        <v>21</v>
      </c>
      <c r="I5438" s="5" t="s">
        <v>13319</v>
      </c>
      <c r="J5438" s="12" t="str">
        <f>HYPERLINK("https://www.boe.es/gazeta/dias/1802/04/23/pdfs/GMD-1802-33.pdf#page=1","Abrir facsímil")</f>
        <v>Abrir facsímil</v>
      </c>
      <c r="K5438" s="15" t="s">
        <v>23</v>
      </c>
    </row>
    <row r="5439" spans="1:11" ht="42" customHeight="1">
      <c r="A5439" s="4" t="s">
        <v>13316</v>
      </c>
      <c r="B5439" s="5" t="s">
        <v>13317</v>
      </c>
      <c r="C5439" s="5" t="s">
        <v>160</v>
      </c>
      <c r="D5439" s="5" t="s">
        <v>91</v>
      </c>
      <c r="E5439" s="5" t="s">
        <v>389</v>
      </c>
      <c r="F5439" s="9">
        <v>96</v>
      </c>
      <c r="G5439" s="9">
        <v>1184</v>
      </c>
      <c r="H5439" s="5" t="s">
        <v>21</v>
      </c>
      <c r="I5439" s="5" t="s">
        <v>13320</v>
      </c>
      <c r="J5439" s="12" t="str">
        <f>HYPERLINK("https://www.boe.es/gazeta/dias/1802/11/26/pdfs/GMD-1802-96.pdf#page=4","Abrir facsímil")</f>
        <v>Abrir facsímil</v>
      </c>
      <c r="K5439" s="15" t="s">
        <v>23</v>
      </c>
    </row>
    <row r="5440" spans="1:11" ht="42" customHeight="1">
      <c r="A5440" s="4" t="s">
        <v>13321</v>
      </c>
      <c r="B5440" s="5" t="s">
        <v>13322</v>
      </c>
      <c r="C5440" s="5" t="s">
        <v>18</v>
      </c>
      <c r="D5440" s="5" t="s">
        <v>19</v>
      </c>
      <c r="E5440" s="5" t="s">
        <v>1097</v>
      </c>
      <c r="F5440" s="9">
        <v>20</v>
      </c>
      <c r="G5440" s="9">
        <v>215</v>
      </c>
      <c r="H5440" s="5" t="s">
        <v>21</v>
      </c>
      <c r="I5440" s="5" t="s">
        <v>13323</v>
      </c>
      <c r="J5440" s="12" t="str">
        <f>HYPERLINK("https://www.boe.es/gazeta/dias/1802/03/09/pdfs/GMD-1802-20.pdf#page=3","Abrir facsímil")</f>
        <v>Abrir facsímil</v>
      </c>
      <c r="K5440" s="15" t="s">
        <v>23</v>
      </c>
    </row>
    <row r="5441" spans="1:11" ht="42" customHeight="1">
      <c r="A5441" s="4" t="s">
        <v>13321</v>
      </c>
      <c r="B5441" s="5" t="s">
        <v>13322</v>
      </c>
      <c r="C5441" s="5" t="s">
        <v>29</v>
      </c>
      <c r="D5441" s="5" t="s">
        <v>30</v>
      </c>
      <c r="E5441" s="5" t="s">
        <v>175</v>
      </c>
      <c r="F5441" s="9">
        <v>37</v>
      </c>
      <c r="G5441" s="9">
        <v>434</v>
      </c>
      <c r="H5441" s="5" t="s">
        <v>21</v>
      </c>
      <c r="I5441" s="5" t="s">
        <v>13324</v>
      </c>
      <c r="J5441" s="12" t="str">
        <f>HYPERLINK("https://www.boe.es/gazeta/dias/1802/05/07/pdfs/GMD-1802-37.pdf#page=2","Abrir facsímil")</f>
        <v>Abrir facsímil</v>
      </c>
      <c r="K5441" s="15" t="s">
        <v>23</v>
      </c>
    </row>
    <row r="5442" spans="1:11" ht="42" customHeight="1">
      <c r="A5442" s="4" t="s">
        <v>13325</v>
      </c>
      <c r="B5442" s="5" t="s">
        <v>13326</v>
      </c>
      <c r="C5442" s="5" t="s">
        <v>55</v>
      </c>
      <c r="D5442" s="5" t="s">
        <v>56</v>
      </c>
      <c r="E5442" s="5" t="s">
        <v>921</v>
      </c>
      <c r="F5442" s="9">
        <v>50</v>
      </c>
      <c r="G5442" s="9">
        <v>612</v>
      </c>
      <c r="H5442" s="5" t="s">
        <v>21</v>
      </c>
      <c r="I5442" s="5" t="s">
        <v>13327</v>
      </c>
      <c r="J5442" s="12" t="str">
        <f>HYPERLINK("https://www.boe.es/gazeta/dias/1802/06/22/pdfs/GMD-1802-50.pdf#page=12","Abrir facsímil")</f>
        <v>Abrir facsímil</v>
      </c>
      <c r="K5442" s="15" t="s">
        <v>23</v>
      </c>
    </row>
    <row r="5443" spans="1:11" ht="42" customHeight="1">
      <c r="A5443" s="4" t="s">
        <v>13328</v>
      </c>
      <c r="B5443" s="5" t="s">
        <v>13329</v>
      </c>
      <c r="C5443" s="5" t="s">
        <v>35</v>
      </c>
      <c r="D5443" s="5" t="s">
        <v>36</v>
      </c>
      <c r="E5443" s="5" t="s">
        <v>109</v>
      </c>
      <c r="F5443" s="9">
        <v>10</v>
      </c>
      <c r="G5443" s="9">
        <v>95</v>
      </c>
      <c r="H5443" s="5" t="s">
        <v>21</v>
      </c>
      <c r="I5443" s="5" t="s">
        <v>13330</v>
      </c>
      <c r="J5443" s="12" t="str">
        <f>HYPERLINK("https://www.boe.es/gazeta/dias/1802/02/02/pdfs/GMD-1802-10.pdf#page=3","Abrir facsímil")</f>
        <v>Abrir facsímil</v>
      </c>
      <c r="K5443" s="15" t="s">
        <v>23</v>
      </c>
    </row>
    <row r="5444" spans="1:11" ht="42" customHeight="1">
      <c r="A5444" s="4" t="s">
        <v>13331</v>
      </c>
      <c r="B5444" s="5" t="s">
        <v>13332</v>
      </c>
      <c r="C5444" s="5" t="s">
        <v>18</v>
      </c>
      <c r="D5444" s="5" t="s">
        <v>19</v>
      </c>
      <c r="E5444" s="5" t="s">
        <v>1749</v>
      </c>
      <c r="F5444" s="9">
        <v>60</v>
      </c>
      <c r="G5444" s="9">
        <v>725</v>
      </c>
      <c r="H5444" s="5" t="s">
        <v>21</v>
      </c>
      <c r="I5444" s="5" t="s">
        <v>13333</v>
      </c>
      <c r="J5444" s="12" t="str">
        <f>HYPERLINK("https://www.boe.es/gazeta/dias/1802/07/23/pdfs/GMD-1802-60.pdf#page=9","Abrir facsímil")</f>
        <v>Abrir facsímil</v>
      </c>
      <c r="K5444" s="15" t="s">
        <v>23</v>
      </c>
    </row>
    <row r="5445" spans="1:11" ht="42" customHeight="1">
      <c r="A5445" s="4" t="s">
        <v>13334</v>
      </c>
      <c r="B5445" s="5" t="s">
        <v>13335</v>
      </c>
      <c r="C5445" s="5" t="s">
        <v>35</v>
      </c>
      <c r="D5445" s="5" t="s">
        <v>36</v>
      </c>
      <c r="E5445" s="5" t="s">
        <v>172</v>
      </c>
      <c r="F5445" s="9">
        <v>35</v>
      </c>
      <c r="G5445" s="9">
        <v>404</v>
      </c>
      <c r="H5445" s="5" t="s">
        <v>21</v>
      </c>
      <c r="I5445" s="5" t="s">
        <v>13336</v>
      </c>
      <c r="J5445" s="12" t="str">
        <f>HYPERLINK("https://www.boe.es/gazeta/dias/1802/04/30/pdfs/GMD-1802-35.pdf#page=4","Abrir facsímil")</f>
        <v>Abrir facsímil</v>
      </c>
      <c r="K5445" s="15" t="s">
        <v>23</v>
      </c>
    </row>
    <row r="5446" spans="1:11" ht="42" customHeight="1">
      <c r="A5446" s="4" t="s">
        <v>13337</v>
      </c>
      <c r="B5446" s="5" t="s">
        <v>13338</v>
      </c>
      <c r="C5446" s="5" t="s">
        <v>35</v>
      </c>
      <c r="D5446" s="5" t="s">
        <v>36</v>
      </c>
      <c r="E5446" s="5" t="s">
        <v>823</v>
      </c>
      <c r="F5446" s="9">
        <v>94</v>
      </c>
      <c r="G5446" s="9">
        <v>1155</v>
      </c>
      <c r="H5446" s="5" t="s">
        <v>21</v>
      </c>
      <c r="I5446" s="5" t="s">
        <v>13339</v>
      </c>
      <c r="J5446" s="12" t="str">
        <f>HYPERLINK("https://www.boe.es/gazeta/dias/1802/11/19/pdfs/GMD-1802-94.pdf#page=3","Abrir facsímil")</f>
        <v>Abrir facsímil</v>
      </c>
      <c r="K5446" s="15" t="s">
        <v>23</v>
      </c>
    </row>
    <row r="5447" spans="1:11" ht="42" customHeight="1">
      <c r="A5447" s="4" t="s">
        <v>13340</v>
      </c>
      <c r="B5447" s="5" t="s">
        <v>13341</v>
      </c>
      <c r="C5447" s="5" t="s">
        <v>29</v>
      </c>
      <c r="D5447" s="5" t="s">
        <v>30</v>
      </c>
      <c r="E5447" s="5" t="s">
        <v>37</v>
      </c>
      <c r="F5447" s="9">
        <v>106</v>
      </c>
      <c r="G5447" s="9">
        <v>1291</v>
      </c>
      <c r="H5447" s="5" t="s">
        <v>21</v>
      </c>
      <c r="I5447" s="5" t="s">
        <v>13342</v>
      </c>
      <c r="J5447" s="12" t="str">
        <f>HYPERLINK("https://www.boe.es/gazeta/dias/1802/12/31/pdfs/GMD-1802-106.pdf#page=3","Abrir facsímil")</f>
        <v>Abrir facsímil</v>
      </c>
      <c r="K5447" s="15" t="s">
        <v>23</v>
      </c>
    </row>
    <row r="5448" spans="1:11" ht="42" customHeight="1">
      <c r="A5448" s="4" t="s">
        <v>13343</v>
      </c>
      <c r="B5448" s="5" t="s">
        <v>13344</v>
      </c>
      <c r="C5448" s="5" t="s">
        <v>35</v>
      </c>
      <c r="D5448" s="5" t="s">
        <v>36</v>
      </c>
      <c r="E5448" s="5" t="s">
        <v>128</v>
      </c>
      <c r="F5448" s="9">
        <v>9</v>
      </c>
      <c r="G5448" s="9">
        <v>83</v>
      </c>
      <c r="H5448" s="5" t="s">
        <v>21</v>
      </c>
      <c r="I5448" s="5" t="s">
        <v>13345</v>
      </c>
      <c r="J5448" s="12" t="str">
        <f>HYPERLINK("https://www.boe.es/gazeta/dias/1802/01/29/pdfs/GMD-1802-9.pdf#page=3","Abrir facsímil")</f>
        <v>Abrir facsímil</v>
      </c>
      <c r="K5448" s="15" t="s">
        <v>23</v>
      </c>
    </row>
    <row r="5449" spans="1:11" ht="42" customHeight="1">
      <c r="A5449" s="4" t="s">
        <v>13346</v>
      </c>
      <c r="B5449" s="5" t="s">
        <v>13347</v>
      </c>
      <c r="C5449" s="5" t="s">
        <v>35</v>
      </c>
      <c r="D5449" s="5" t="s">
        <v>36</v>
      </c>
      <c r="E5449" s="5" t="s">
        <v>751</v>
      </c>
      <c r="F5449" s="9">
        <v>98</v>
      </c>
      <c r="G5449" s="9">
        <v>1208</v>
      </c>
      <c r="H5449" s="5" t="s">
        <v>21</v>
      </c>
      <c r="I5449" s="5" t="s">
        <v>13348</v>
      </c>
      <c r="J5449" s="12" t="str">
        <f>HYPERLINK("https://www.boe.es/gazeta/dias/1802/12/03/pdfs/GMD-1802-98.pdf#page=4","Abrir facsímil")</f>
        <v>Abrir facsímil</v>
      </c>
      <c r="K5449" s="15" t="s">
        <v>23</v>
      </c>
    </row>
    <row r="5450" spans="1:11" ht="42" customHeight="1">
      <c r="A5450" s="4" t="s">
        <v>13349</v>
      </c>
      <c r="B5450" s="5" t="s">
        <v>13350</v>
      </c>
      <c r="C5450" s="5" t="s">
        <v>29</v>
      </c>
      <c r="D5450" s="5" t="s">
        <v>30</v>
      </c>
      <c r="E5450" s="5" t="s">
        <v>678</v>
      </c>
      <c r="F5450" s="9">
        <v>15</v>
      </c>
      <c r="G5450" s="9">
        <v>158</v>
      </c>
      <c r="H5450" s="5" t="s">
        <v>21</v>
      </c>
      <c r="I5450" s="5" t="s">
        <v>13351</v>
      </c>
      <c r="J5450" s="12" t="str">
        <f>HYPERLINK("https://www.boe.es/gazeta/dias/1802/02/19/pdfs/GMD-1802-15.pdf#page=10","Abrir facsímil")</f>
        <v>Abrir facsímil</v>
      </c>
      <c r="K5450" s="15" t="s">
        <v>23</v>
      </c>
    </row>
    <row r="5451" spans="1:11" ht="42" customHeight="1">
      <c r="A5451" s="4" t="s">
        <v>13352</v>
      </c>
      <c r="B5451" s="5" t="s">
        <v>13353</v>
      </c>
      <c r="C5451" s="5" t="s">
        <v>18</v>
      </c>
      <c r="D5451" s="5" t="s">
        <v>19</v>
      </c>
      <c r="E5451" s="5" t="s">
        <v>20</v>
      </c>
      <c r="F5451" s="9">
        <v>84</v>
      </c>
      <c r="G5451" s="9">
        <v>1044</v>
      </c>
      <c r="H5451" s="5" t="s">
        <v>21</v>
      </c>
      <c r="I5451" s="5" t="s">
        <v>13354</v>
      </c>
      <c r="J5451" s="12" t="str">
        <f>HYPERLINK("https://www.boe.es/gazeta/dias/1802/10/15/pdfs/GMD-1802-84.pdf#page=12","Abrir facsímil")</f>
        <v>Abrir facsímil</v>
      </c>
      <c r="K5451" s="15" t="s">
        <v>23</v>
      </c>
    </row>
    <row r="5452" spans="1:11" ht="42" customHeight="1">
      <c r="A5452" s="4" t="s">
        <v>13355</v>
      </c>
      <c r="B5452" s="5" t="s">
        <v>13356</v>
      </c>
      <c r="C5452" s="5" t="s">
        <v>18</v>
      </c>
      <c r="D5452" s="5" t="s">
        <v>19</v>
      </c>
      <c r="E5452" s="5" t="s">
        <v>20</v>
      </c>
      <c r="F5452" s="9">
        <v>84</v>
      </c>
      <c r="G5452" s="9">
        <v>1040</v>
      </c>
      <c r="H5452" s="5" t="s">
        <v>21</v>
      </c>
      <c r="I5452" s="5" t="s">
        <v>13357</v>
      </c>
      <c r="J5452" s="12" t="str">
        <f>HYPERLINK("https://www.boe.es/gazeta/dias/1802/10/15/pdfs/GMD-1802-84.pdf#page=8","Abrir facsímil")</f>
        <v>Abrir facsímil</v>
      </c>
      <c r="K5452" s="15" t="s">
        <v>23</v>
      </c>
    </row>
    <row r="5453" spans="1:11" ht="42" customHeight="1">
      <c r="A5453" s="4" t="s">
        <v>13358</v>
      </c>
      <c r="B5453" s="5" t="s">
        <v>13359</v>
      </c>
      <c r="C5453" s="5" t="s">
        <v>29</v>
      </c>
      <c r="D5453" s="5" t="s">
        <v>30</v>
      </c>
      <c r="E5453" s="5" t="s">
        <v>71</v>
      </c>
      <c r="F5453" s="9">
        <v>21</v>
      </c>
      <c r="G5453" s="9">
        <v>233</v>
      </c>
      <c r="H5453" s="5" t="s">
        <v>21</v>
      </c>
      <c r="I5453" s="5" t="s">
        <v>13360</v>
      </c>
      <c r="J5453" s="12" t="str">
        <f>HYPERLINK("https://www.boe.es/gazeta/dias/1802/03/12/pdfs/GMD-1802-21.pdf#page=9","Abrir facsímil")</f>
        <v>Abrir facsímil</v>
      </c>
      <c r="K5453" s="15" t="s">
        <v>23</v>
      </c>
    </row>
    <row r="5454" spans="1:11" ht="42" customHeight="1">
      <c r="A5454" s="4" t="s">
        <v>13361</v>
      </c>
      <c r="B5454" s="5" t="s">
        <v>13362</v>
      </c>
      <c r="C5454" s="5" t="s">
        <v>29</v>
      </c>
      <c r="D5454" s="5" t="s">
        <v>30</v>
      </c>
      <c r="E5454" s="5" t="s">
        <v>751</v>
      </c>
      <c r="F5454" s="9">
        <v>98</v>
      </c>
      <c r="G5454" s="9">
        <v>1214</v>
      </c>
      <c r="H5454" s="5" t="s">
        <v>21</v>
      </c>
      <c r="I5454" s="5" t="s">
        <v>13363</v>
      </c>
      <c r="J5454" s="12" t="str">
        <f>HYPERLINK("https://www.boe.es/gazeta/dias/1802/12/03/pdfs/GMD-1802-98.pdf#page=10","Abrir facsímil")</f>
        <v>Abrir facsímil</v>
      </c>
      <c r="K5454" s="15" t="s">
        <v>23</v>
      </c>
    </row>
    <row r="5455" spans="1:11" ht="42" customHeight="1">
      <c r="A5455" s="4" t="s">
        <v>13364</v>
      </c>
      <c r="B5455" s="5" t="s">
        <v>13365</v>
      </c>
      <c r="C5455" s="5" t="s">
        <v>18</v>
      </c>
      <c r="D5455" s="5" t="s">
        <v>19</v>
      </c>
      <c r="E5455" s="5" t="s">
        <v>49</v>
      </c>
      <c r="F5455" s="9">
        <v>83</v>
      </c>
      <c r="G5455" s="9">
        <v>1024</v>
      </c>
      <c r="H5455" s="5" t="s">
        <v>21</v>
      </c>
      <c r="I5455" s="5" t="s">
        <v>13366</v>
      </c>
      <c r="J5455" s="12" t="str">
        <f>HYPERLINK("https://www.boe.es/gazeta/dias/1802/10/12/pdfs/GMD-1802-83.pdf#page=12","Abrir facsímil")</f>
        <v>Abrir facsímil</v>
      </c>
      <c r="K5455" s="15" t="s">
        <v>23</v>
      </c>
    </row>
    <row r="5456" spans="1:11" ht="42" customHeight="1">
      <c r="A5456" s="4" t="s">
        <v>13367</v>
      </c>
      <c r="B5456" s="5" t="s">
        <v>13368</v>
      </c>
      <c r="C5456" s="5" t="s">
        <v>18</v>
      </c>
      <c r="D5456" s="5" t="s">
        <v>19</v>
      </c>
      <c r="E5456" s="5" t="s">
        <v>20</v>
      </c>
      <c r="F5456" s="9">
        <v>84</v>
      </c>
      <c r="G5456" s="9">
        <v>1044</v>
      </c>
      <c r="H5456" s="5" t="s">
        <v>21</v>
      </c>
      <c r="I5456" s="5" t="s">
        <v>13369</v>
      </c>
      <c r="J5456" s="12" t="str">
        <f>HYPERLINK("https://www.boe.es/gazeta/dias/1802/10/15/pdfs/GMD-1802-84.pdf#page=12","Abrir facsímil")</f>
        <v>Abrir facsímil</v>
      </c>
      <c r="K5456" s="15" t="s">
        <v>23</v>
      </c>
    </row>
    <row r="5457" spans="1:11" ht="42" customHeight="1">
      <c r="A5457" s="4" t="s">
        <v>13370</v>
      </c>
      <c r="B5457" s="5" t="s">
        <v>13371</v>
      </c>
      <c r="C5457" s="5" t="s">
        <v>18</v>
      </c>
      <c r="D5457" s="5" t="s">
        <v>19</v>
      </c>
      <c r="E5457" s="5" t="s">
        <v>20</v>
      </c>
      <c r="F5457" s="9">
        <v>84</v>
      </c>
      <c r="G5457" s="9">
        <v>1040</v>
      </c>
      <c r="H5457" s="5" t="s">
        <v>21</v>
      </c>
      <c r="I5457" s="5" t="s">
        <v>13372</v>
      </c>
      <c r="J5457" s="12" t="str">
        <f>HYPERLINK("https://www.boe.es/gazeta/dias/1802/10/15/pdfs/GMD-1802-84.pdf#page=8","Abrir facsímil")</f>
        <v>Abrir facsímil</v>
      </c>
      <c r="K5457" s="15" t="s">
        <v>23</v>
      </c>
    </row>
    <row r="5458" spans="1:11" ht="42" customHeight="1">
      <c r="A5458" s="4" t="s">
        <v>13373</v>
      </c>
      <c r="B5458" s="5" t="s">
        <v>13374</v>
      </c>
      <c r="C5458" s="5" t="s">
        <v>29</v>
      </c>
      <c r="D5458" s="5" t="s">
        <v>30</v>
      </c>
      <c r="E5458" s="5" t="s">
        <v>921</v>
      </c>
      <c r="F5458" s="9">
        <v>50</v>
      </c>
      <c r="G5458" s="9">
        <v>610</v>
      </c>
      <c r="H5458" s="5" t="s">
        <v>21</v>
      </c>
      <c r="I5458" s="5" t="s">
        <v>13375</v>
      </c>
      <c r="J5458" s="12" t="str">
        <f>HYPERLINK("https://www.boe.es/gazeta/dias/1802/06/22/pdfs/GMD-1802-50.pdf#page=10","Abrir facsímil")</f>
        <v>Abrir facsímil</v>
      </c>
      <c r="K5458" s="15" t="s">
        <v>23</v>
      </c>
    </row>
    <row r="5459" spans="1:11" ht="42" customHeight="1">
      <c r="A5459" s="4" t="s">
        <v>13376</v>
      </c>
      <c r="B5459" s="5" t="s">
        <v>13377</v>
      </c>
      <c r="C5459" s="5" t="s">
        <v>18</v>
      </c>
      <c r="D5459" s="5" t="s">
        <v>19</v>
      </c>
      <c r="E5459" s="5" t="s">
        <v>20</v>
      </c>
      <c r="F5459" s="9">
        <v>84</v>
      </c>
      <c r="G5459" s="9">
        <v>1041</v>
      </c>
      <c r="H5459" s="5" t="s">
        <v>21</v>
      </c>
      <c r="I5459" s="5" t="s">
        <v>13378</v>
      </c>
      <c r="J5459" s="12" t="str">
        <f>HYPERLINK("https://www.boe.es/gazeta/dias/1802/10/15/pdfs/GMD-1802-84.pdf#page=9","Abrir facsímil")</f>
        <v>Abrir facsímil</v>
      </c>
      <c r="K5459" s="15" t="s">
        <v>23</v>
      </c>
    </row>
    <row r="5460" spans="1:11" ht="42" customHeight="1">
      <c r="A5460" s="4" t="s">
        <v>13379</v>
      </c>
      <c r="B5460" s="5" t="s">
        <v>13379</v>
      </c>
      <c r="C5460" s="5" t="s">
        <v>18</v>
      </c>
      <c r="D5460" s="5" t="s">
        <v>19</v>
      </c>
      <c r="E5460" s="5" t="s">
        <v>1381</v>
      </c>
      <c r="F5460" s="9">
        <v>17</v>
      </c>
      <c r="G5460" s="9">
        <v>183</v>
      </c>
      <c r="H5460" s="5" t="s">
        <v>21</v>
      </c>
      <c r="I5460" s="5" t="s">
        <v>13380</v>
      </c>
      <c r="J5460" s="12" t="str">
        <f>HYPERLINK("https://www.boe.es/gazeta/dias/1802/02/26/pdfs/GMD-1802-17.pdf#page=7","Abrir facsímil")</f>
        <v>Abrir facsímil</v>
      </c>
      <c r="K5460" s="15" t="s">
        <v>23</v>
      </c>
    </row>
    <row r="5461" spans="1:11" ht="42" customHeight="1">
      <c r="A5461" s="4" t="s">
        <v>13379</v>
      </c>
      <c r="B5461" s="5" t="s">
        <v>13379</v>
      </c>
      <c r="C5461" s="5" t="s">
        <v>35</v>
      </c>
      <c r="D5461" s="5" t="s">
        <v>36</v>
      </c>
      <c r="E5461" s="5" t="s">
        <v>590</v>
      </c>
      <c r="F5461" s="9">
        <v>38</v>
      </c>
      <c r="G5461" s="9">
        <v>452</v>
      </c>
      <c r="H5461" s="5" t="s">
        <v>21</v>
      </c>
      <c r="I5461" s="5" t="s">
        <v>13381</v>
      </c>
      <c r="J5461" s="12" t="str">
        <f>HYPERLINK("https://www.boe.es/gazeta/dias/1802/05/11/pdfs/GMD-1802-38.pdf#page=8","Abrir facsímil")</f>
        <v>Abrir facsímil</v>
      </c>
      <c r="K5461" s="15" t="s">
        <v>23</v>
      </c>
    </row>
    <row r="5462" spans="1:11" ht="42" customHeight="1">
      <c r="A5462" s="4" t="s">
        <v>13379</v>
      </c>
      <c r="B5462" s="5" t="s">
        <v>13379</v>
      </c>
      <c r="C5462" s="5" t="s">
        <v>29</v>
      </c>
      <c r="D5462" s="5" t="s">
        <v>30</v>
      </c>
      <c r="E5462" s="5" t="s">
        <v>530</v>
      </c>
      <c r="F5462" s="9">
        <v>48</v>
      </c>
      <c r="G5462" s="9">
        <v>578</v>
      </c>
      <c r="H5462" s="5" t="s">
        <v>21</v>
      </c>
      <c r="I5462" s="5" t="s">
        <v>13382</v>
      </c>
      <c r="J5462" s="12" t="str">
        <f>HYPERLINK("https://www.boe.es/gazeta/dias/1802/06/15/pdfs/GMD-1802-48.pdf#page=2","Abrir facsímil")</f>
        <v>Abrir facsímil</v>
      </c>
      <c r="K5462" s="15" t="s">
        <v>23</v>
      </c>
    </row>
    <row r="5463" spans="1:11" ht="42" customHeight="1">
      <c r="A5463" s="4" t="s">
        <v>13379</v>
      </c>
      <c r="B5463" s="5" t="s">
        <v>13379</v>
      </c>
      <c r="C5463" s="5" t="s">
        <v>18</v>
      </c>
      <c r="D5463" s="5" t="s">
        <v>19</v>
      </c>
      <c r="E5463" s="5" t="s">
        <v>192</v>
      </c>
      <c r="F5463" s="9">
        <v>53</v>
      </c>
      <c r="G5463" s="9">
        <v>641</v>
      </c>
      <c r="H5463" s="5" t="s">
        <v>21</v>
      </c>
      <c r="I5463" s="5" t="s">
        <v>13383</v>
      </c>
      <c r="J5463" s="12" t="str">
        <f>HYPERLINK("https://www.boe.es/gazeta/dias/1802/07/02/pdfs/GMD-1802-53.pdf#page=9","Abrir facsímil")</f>
        <v>Abrir facsímil</v>
      </c>
      <c r="K5463" s="15" t="s">
        <v>23</v>
      </c>
    </row>
    <row r="5464" spans="1:11" ht="42" customHeight="1">
      <c r="A5464" s="4" t="s">
        <v>13379</v>
      </c>
      <c r="B5464" s="5" t="s">
        <v>13379</v>
      </c>
      <c r="C5464" s="5" t="s">
        <v>35</v>
      </c>
      <c r="D5464" s="5" t="s">
        <v>36</v>
      </c>
      <c r="E5464" s="5" t="s">
        <v>20</v>
      </c>
      <c r="F5464" s="9">
        <v>84</v>
      </c>
      <c r="G5464" s="9">
        <v>1033</v>
      </c>
      <c r="H5464" s="5" t="s">
        <v>21</v>
      </c>
      <c r="I5464" s="5" t="s">
        <v>13384</v>
      </c>
      <c r="J5464" s="12" t="str">
        <f>HYPERLINK("https://www.boe.es/gazeta/dias/1802/10/15/pdfs/GMD-1802-84.pdf#page=1","Abrir facsímil")</f>
        <v>Abrir facsímil</v>
      </c>
      <c r="K5464" s="15" t="s">
        <v>23</v>
      </c>
    </row>
    <row r="5465" spans="1:11" ht="42" customHeight="1">
      <c r="A5465" s="4" t="s">
        <v>13385</v>
      </c>
      <c r="B5465" s="5" t="s">
        <v>13386</v>
      </c>
      <c r="C5465" s="5" t="s">
        <v>42</v>
      </c>
      <c r="D5465" s="5" t="s">
        <v>43</v>
      </c>
      <c r="E5465" s="5" t="s">
        <v>44</v>
      </c>
      <c r="F5465" s="9">
        <v>99</v>
      </c>
      <c r="G5465" s="9" t="s">
        <v>78</v>
      </c>
      <c r="H5465" s="5" t="s">
        <v>21</v>
      </c>
      <c r="I5465" s="5" t="s">
        <v>13387</v>
      </c>
      <c r="J5465" s="12" t="str">
        <f>HYPERLINK("https://www.boe.es/gazeta/dias/1802/12/07/pdfs/GMD-D-1802-99.pdf#page=15","Abrir facsímil")</f>
        <v>Abrir facsímil</v>
      </c>
      <c r="K5465" s="15" t="s">
        <v>23</v>
      </c>
    </row>
    <row r="5466" spans="1:11" ht="42" customHeight="1">
      <c r="A5466" s="4" t="s">
        <v>13388</v>
      </c>
      <c r="B5466" s="5" t="s">
        <v>13389</v>
      </c>
      <c r="C5466" s="5" t="s">
        <v>42</v>
      </c>
      <c r="D5466" s="5" t="s">
        <v>43</v>
      </c>
      <c r="E5466" s="5" t="s">
        <v>44</v>
      </c>
      <c r="F5466" s="9">
        <v>99</v>
      </c>
      <c r="G5466" s="9" t="s">
        <v>45</v>
      </c>
      <c r="H5466" s="5" t="s">
        <v>21</v>
      </c>
      <c r="I5466" s="5" t="s">
        <v>13390</v>
      </c>
      <c r="J5466" s="12" t="str">
        <f>HYPERLINK("https://www.boe.es/gazeta/dias/1802/12/07/pdfs/GMD-D-1802-99.pdf#page=14","Abrir facsímil")</f>
        <v>Abrir facsímil</v>
      </c>
      <c r="K5466" s="15" t="s">
        <v>23</v>
      </c>
    </row>
    <row r="5467" spans="1:11" ht="42" customHeight="1">
      <c r="A5467" s="4" t="s">
        <v>13391</v>
      </c>
      <c r="B5467" s="5" t="s">
        <v>13392</v>
      </c>
      <c r="C5467" s="5" t="s">
        <v>29</v>
      </c>
      <c r="D5467" s="5" t="s">
        <v>30</v>
      </c>
      <c r="E5467" s="5" t="s">
        <v>574</v>
      </c>
      <c r="F5467" s="9" t="s">
        <v>575</v>
      </c>
      <c r="G5467" s="9">
        <v>711</v>
      </c>
      <c r="H5467" s="5" t="s">
        <v>21</v>
      </c>
      <c r="I5467" s="5" t="s">
        <v>13393</v>
      </c>
      <c r="J5467" s="12" t="str">
        <f>HYPERLINK("https://www.boe.es/gazeta/dias/1802/07/21/pdfs/GMD-1802-59E.pdf#page=7","Abrir facsímil")</f>
        <v>Abrir facsímil</v>
      </c>
      <c r="K5467" s="15" t="s">
        <v>23</v>
      </c>
    </row>
    <row r="5468" spans="1:11" ht="42" customHeight="1">
      <c r="A5468" s="4" t="s">
        <v>13394</v>
      </c>
      <c r="B5468" s="5" t="s">
        <v>13395</v>
      </c>
      <c r="C5468" s="5" t="s">
        <v>35</v>
      </c>
      <c r="D5468" s="5" t="s">
        <v>36</v>
      </c>
      <c r="E5468" s="5" t="s">
        <v>385</v>
      </c>
      <c r="F5468" s="9">
        <v>70</v>
      </c>
      <c r="G5468" s="9">
        <v>862</v>
      </c>
      <c r="H5468" s="5" t="s">
        <v>21</v>
      </c>
      <c r="I5468" s="5" t="s">
        <v>13396</v>
      </c>
      <c r="J5468" s="12" t="str">
        <f>HYPERLINK("https://www.boe.es/gazeta/dias/1802/08/27/pdfs/GMD-1802-70.pdf#page=10","Abrir facsímil")</f>
        <v>Abrir facsímil</v>
      </c>
      <c r="K5468" s="15" t="s">
        <v>23</v>
      </c>
    </row>
    <row r="5469" spans="1:11" ht="42" customHeight="1">
      <c r="A5469" s="4" t="s">
        <v>13397</v>
      </c>
      <c r="B5469" s="5" t="s">
        <v>13398</v>
      </c>
      <c r="C5469" s="5" t="s">
        <v>18</v>
      </c>
      <c r="D5469" s="5" t="s">
        <v>19</v>
      </c>
      <c r="E5469" s="5" t="s">
        <v>20</v>
      </c>
      <c r="F5469" s="9">
        <v>84</v>
      </c>
      <c r="G5469" s="9">
        <v>1044</v>
      </c>
      <c r="H5469" s="5" t="s">
        <v>21</v>
      </c>
      <c r="I5469" s="5" t="s">
        <v>13399</v>
      </c>
      <c r="J5469" s="12" t="str">
        <f>HYPERLINK("https://www.boe.es/gazeta/dias/1802/10/15/pdfs/GMD-1802-84.pdf#page=12","Abrir facsímil")</f>
        <v>Abrir facsímil</v>
      </c>
      <c r="K5469" s="15" t="s">
        <v>23</v>
      </c>
    </row>
    <row r="5470" spans="1:11" ht="42" customHeight="1">
      <c r="A5470" s="4" t="s">
        <v>13400</v>
      </c>
      <c r="B5470" s="5" t="s">
        <v>13401</v>
      </c>
      <c r="C5470" s="5" t="s">
        <v>29</v>
      </c>
      <c r="D5470" s="5" t="s">
        <v>30</v>
      </c>
      <c r="E5470" s="5" t="s">
        <v>146</v>
      </c>
      <c r="F5470" s="9">
        <v>42</v>
      </c>
      <c r="G5470" s="9">
        <v>505</v>
      </c>
      <c r="H5470" s="5" t="s">
        <v>21</v>
      </c>
      <c r="I5470" s="5" t="s">
        <v>13402</v>
      </c>
      <c r="J5470" s="12" t="str">
        <f>HYPERLINK("https://www.boe.es/gazeta/dias/1802/05/25/pdfs/GMD-1802-42.pdf#page=9","Abrir facsímil")</f>
        <v>Abrir facsímil</v>
      </c>
      <c r="K5470" s="15" t="s">
        <v>23</v>
      </c>
    </row>
    <row r="5471" spans="1:11" ht="42" customHeight="1">
      <c r="A5471" s="4" t="s">
        <v>13403</v>
      </c>
      <c r="B5471" s="5" t="s">
        <v>13404</v>
      </c>
      <c r="C5471" s="5" t="s">
        <v>42</v>
      </c>
      <c r="D5471" s="5" t="s">
        <v>43</v>
      </c>
      <c r="E5471" s="5" t="s">
        <v>44</v>
      </c>
      <c r="F5471" s="9">
        <v>99</v>
      </c>
      <c r="G5471" s="9" t="s">
        <v>554</v>
      </c>
      <c r="H5471" s="5" t="s">
        <v>21</v>
      </c>
      <c r="I5471" s="5" t="s">
        <v>13405</v>
      </c>
      <c r="J5471" s="12" t="str">
        <f>HYPERLINK("https://www.boe.es/gazeta/dias/1802/12/07/pdfs/GMD-D-1802-99.pdf#page=4","Abrir facsímil")</f>
        <v>Abrir facsímil</v>
      </c>
      <c r="K5471" s="15" t="s">
        <v>23</v>
      </c>
    </row>
    <row r="5472" spans="1:11" ht="42" customHeight="1">
      <c r="A5472" s="4" t="s">
        <v>13406</v>
      </c>
      <c r="B5472" s="5" t="s">
        <v>13406</v>
      </c>
      <c r="C5472" s="5" t="s">
        <v>29</v>
      </c>
      <c r="D5472" s="5" t="s">
        <v>30</v>
      </c>
      <c r="E5472" s="5" t="s">
        <v>1588</v>
      </c>
      <c r="F5472" s="9">
        <v>18</v>
      </c>
      <c r="G5472" s="9">
        <v>191</v>
      </c>
      <c r="H5472" s="5" t="s">
        <v>21</v>
      </c>
      <c r="I5472" s="5" t="s">
        <v>13407</v>
      </c>
      <c r="J5472" s="12" t="str">
        <f>HYPERLINK("https://www.boe.es/gazeta/dias/1802/03/02/pdfs/GMD-1802-18.pdf#page=3","Abrir facsímil")</f>
        <v>Abrir facsímil</v>
      </c>
      <c r="K5472" s="15" t="s">
        <v>23</v>
      </c>
    </row>
    <row r="5473" spans="1:11" ht="42" customHeight="1">
      <c r="A5473" s="4" t="s">
        <v>13408</v>
      </c>
      <c r="B5473" s="5" t="s">
        <v>13409</v>
      </c>
      <c r="C5473" s="5" t="s">
        <v>55</v>
      </c>
      <c r="D5473" s="5" t="s">
        <v>56</v>
      </c>
      <c r="E5473" s="5" t="s">
        <v>49</v>
      </c>
      <c r="F5473" s="9">
        <v>83</v>
      </c>
      <c r="G5473" s="9">
        <v>1024</v>
      </c>
      <c r="H5473" s="5" t="s">
        <v>21</v>
      </c>
      <c r="I5473" s="5" t="s">
        <v>13410</v>
      </c>
      <c r="J5473" s="12" t="str">
        <f>HYPERLINK("https://www.boe.es/gazeta/dias/1802/10/12/pdfs/GMD-1802-83.pdf#page=12","Abrir facsímil")</f>
        <v>Abrir facsímil</v>
      </c>
      <c r="K5473" s="15" t="s">
        <v>23</v>
      </c>
    </row>
    <row r="5474" spans="1:11" ht="42" customHeight="1">
      <c r="A5474" s="4" t="s">
        <v>13411</v>
      </c>
      <c r="B5474" s="5" t="s">
        <v>13412</v>
      </c>
      <c r="C5474" s="5" t="s">
        <v>29</v>
      </c>
      <c r="D5474" s="5" t="s">
        <v>30</v>
      </c>
      <c r="E5474" s="5" t="s">
        <v>276</v>
      </c>
      <c r="F5474" s="9">
        <v>75</v>
      </c>
      <c r="G5474" s="9">
        <v>918</v>
      </c>
      <c r="H5474" s="5" t="s">
        <v>21</v>
      </c>
      <c r="I5474" s="5" t="s">
        <v>13413</v>
      </c>
      <c r="J5474" s="12" t="str">
        <f>HYPERLINK("https://www.boe.es/gazeta/dias/1802/09/14/pdfs/GMD-1802-75.pdf#page=2","Abrir facsímil")</f>
        <v>Abrir facsímil</v>
      </c>
      <c r="K5474" s="15" t="s">
        <v>23</v>
      </c>
    </row>
    <row r="5475" spans="1:11" ht="42" customHeight="1">
      <c r="A5475" s="4" t="s">
        <v>13414</v>
      </c>
      <c r="B5475" s="5" t="s">
        <v>13415</v>
      </c>
      <c r="C5475" s="5" t="s">
        <v>18</v>
      </c>
      <c r="D5475" s="5" t="s">
        <v>19</v>
      </c>
      <c r="E5475" s="5" t="s">
        <v>49</v>
      </c>
      <c r="F5475" s="9">
        <v>83</v>
      </c>
      <c r="G5475" s="9">
        <v>1023</v>
      </c>
      <c r="H5475" s="5" t="s">
        <v>21</v>
      </c>
      <c r="I5475" s="5" t="s">
        <v>13416</v>
      </c>
      <c r="J5475" s="12" t="str">
        <f>HYPERLINK("https://www.boe.es/gazeta/dias/1802/10/12/pdfs/GMD-1802-83.pdf#page=11","Abrir facsímil")</f>
        <v>Abrir facsímil</v>
      </c>
      <c r="K5475" s="15" t="s">
        <v>23</v>
      </c>
    </row>
    <row r="5476" spans="1:11" ht="42" customHeight="1">
      <c r="A5476" s="4" t="s">
        <v>13417</v>
      </c>
      <c r="B5476" s="5" t="s">
        <v>13417</v>
      </c>
      <c r="C5476" s="5" t="s">
        <v>160</v>
      </c>
      <c r="D5476" s="5" t="s">
        <v>91</v>
      </c>
      <c r="E5476" s="5" t="s">
        <v>20</v>
      </c>
      <c r="F5476" s="9">
        <v>84</v>
      </c>
      <c r="G5476" s="9">
        <v>1042</v>
      </c>
      <c r="H5476" s="5" t="s">
        <v>21</v>
      </c>
      <c r="I5476" s="5" t="s">
        <v>13418</v>
      </c>
      <c r="J5476" s="12" t="str">
        <f>HYPERLINK("https://www.boe.es/gazeta/dias/1802/10/15/pdfs/GMD-1802-84.pdf#page=10","Abrir facsímil")</f>
        <v>Abrir facsímil</v>
      </c>
      <c r="K5476" s="15" t="s">
        <v>23</v>
      </c>
    </row>
    <row r="5477" spans="1:11" ht="42" customHeight="1">
      <c r="A5477" s="4" t="s">
        <v>13419</v>
      </c>
      <c r="B5477" s="5" t="s">
        <v>13420</v>
      </c>
      <c r="C5477" s="5" t="s">
        <v>160</v>
      </c>
      <c r="D5477" s="5" t="s">
        <v>91</v>
      </c>
      <c r="E5477" s="5" t="s">
        <v>745</v>
      </c>
      <c r="F5477" s="9">
        <v>92</v>
      </c>
      <c r="G5477" s="9">
        <v>1139</v>
      </c>
      <c r="H5477" s="5" t="s">
        <v>21</v>
      </c>
      <c r="I5477" s="5" t="s">
        <v>13421</v>
      </c>
      <c r="J5477" s="12" t="str">
        <f>HYPERLINK("https://www.boe.es/gazeta/dias/1802/11/12/pdfs/GMD-1802-92.pdf#page=7","Abrir facsímil")</f>
        <v>Abrir facsímil</v>
      </c>
      <c r="K5477" s="15" t="s">
        <v>23</v>
      </c>
    </row>
    <row r="5478" spans="1:11" ht="42" customHeight="1">
      <c r="A5478" s="4" t="s">
        <v>13422</v>
      </c>
      <c r="B5478" s="5" t="s">
        <v>13423</v>
      </c>
      <c r="C5478" s="5" t="s">
        <v>29</v>
      </c>
      <c r="D5478" s="5" t="s">
        <v>30</v>
      </c>
      <c r="E5478" s="5" t="s">
        <v>152</v>
      </c>
      <c r="F5478" s="9">
        <v>25</v>
      </c>
      <c r="G5478" s="9">
        <v>285</v>
      </c>
      <c r="H5478" s="5" t="s">
        <v>21</v>
      </c>
      <c r="I5478" s="5" t="s">
        <v>13424</v>
      </c>
      <c r="J5478" s="12" t="str">
        <f>HYPERLINK("https://www.boe.es/gazeta/dias/1802/03/26/pdfs/GMD-1802-25.pdf#page=9","Abrir facsímil")</f>
        <v>Abrir facsímil</v>
      </c>
      <c r="K5478" s="15" t="s">
        <v>23</v>
      </c>
    </row>
    <row r="5479" spans="1:11" ht="42" customHeight="1">
      <c r="A5479" s="4" t="s">
        <v>13425</v>
      </c>
      <c r="B5479" s="5" t="s">
        <v>13426</v>
      </c>
      <c r="C5479" s="5" t="s">
        <v>18</v>
      </c>
      <c r="D5479" s="5" t="s">
        <v>19</v>
      </c>
      <c r="E5479" s="5" t="s">
        <v>20</v>
      </c>
      <c r="F5479" s="9">
        <v>84</v>
      </c>
      <c r="G5479" s="9">
        <v>1041</v>
      </c>
      <c r="H5479" s="5" t="s">
        <v>21</v>
      </c>
      <c r="I5479" s="5" t="s">
        <v>13427</v>
      </c>
      <c r="J5479" s="12" t="str">
        <f>HYPERLINK("https://www.boe.es/gazeta/dias/1802/10/15/pdfs/GMD-1802-84.pdf#page=9","Abrir facsímil")</f>
        <v>Abrir facsímil</v>
      </c>
      <c r="K5479" s="15" t="s">
        <v>23</v>
      </c>
    </row>
    <row r="5480" spans="1:11" ht="42" customHeight="1">
      <c r="A5480" s="4" t="s">
        <v>13428</v>
      </c>
      <c r="B5480" s="5" t="s">
        <v>13429</v>
      </c>
      <c r="C5480" s="5" t="s">
        <v>18</v>
      </c>
      <c r="D5480" s="5" t="s">
        <v>19</v>
      </c>
      <c r="E5480" s="5" t="s">
        <v>49</v>
      </c>
      <c r="F5480" s="9">
        <v>83</v>
      </c>
      <c r="G5480" s="9">
        <v>1021</v>
      </c>
      <c r="H5480" s="5" t="s">
        <v>21</v>
      </c>
      <c r="I5480" s="5" t="s">
        <v>13430</v>
      </c>
      <c r="J5480" s="12" t="str">
        <f>HYPERLINK("https://www.boe.es/gazeta/dias/1802/10/12/pdfs/GMD-1802-83.pdf#page=9","Abrir facsímil")</f>
        <v>Abrir facsímil</v>
      </c>
      <c r="K5480" s="15" t="s">
        <v>23</v>
      </c>
    </row>
    <row r="5481" spans="1:11" ht="42" customHeight="1">
      <c r="A5481" s="4" t="s">
        <v>13431</v>
      </c>
      <c r="B5481" s="5" t="s">
        <v>13432</v>
      </c>
      <c r="C5481" s="5" t="s">
        <v>18</v>
      </c>
      <c r="D5481" s="5" t="s">
        <v>19</v>
      </c>
      <c r="E5481" s="5" t="s">
        <v>196</v>
      </c>
      <c r="F5481" s="9">
        <v>2</v>
      </c>
      <c r="G5481" s="9">
        <v>17</v>
      </c>
      <c r="H5481" s="5" t="s">
        <v>21</v>
      </c>
      <c r="I5481" s="5" t="s">
        <v>13433</v>
      </c>
      <c r="J5481" s="12" t="str">
        <f>HYPERLINK("https://www.boe.es/gazeta/dias/1802/01/05/pdfs/GMD-1802-2.pdf#page=9","Abrir facsímil")</f>
        <v>Abrir facsímil</v>
      </c>
      <c r="K5481" s="15" t="s">
        <v>23</v>
      </c>
    </row>
    <row r="5482" spans="1:11" ht="42" customHeight="1">
      <c r="A5482" s="4" t="s">
        <v>13434</v>
      </c>
      <c r="B5482" s="5" t="s">
        <v>13434</v>
      </c>
      <c r="C5482" s="5" t="s">
        <v>160</v>
      </c>
      <c r="D5482" s="5" t="s">
        <v>91</v>
      </c>
      <c r="E5482" s="5" t="s">
        <v>443</v>
      </c>
      <c r="F5482" s="9">
        <v>78</v>
      </c>
      <c r="G5482" s="9">
        <v>953</v>
      </c>
      <c r="H5482" s="5" t="s">
        <v>21</v>
      </c>
      <c r="I5482" s="5" t="s">
        <v>13435</v>
      </c>
      <c r="J5482" s="12" t="str">
        <f>HYPERLINK("https://www.boe.es/gazeta/dias/1802/09/24/pdfs/GMD-1802-78.pdf#page=1","Abrir facsímil")</f>
        <v>Abrir facsímil</v>
      </c>
      <c r="K5482" s="15" t="s">
        <v>23</v>
      </c>
    </row>
    <row r="5483" spans="1:11" ht="42" customHeight="1">
      <c r="A5483" s="4" t="s">
        <v>13436</v>
      </c>
      <c r="B5483" s="5" t="s">
        <v>13437</v>
      </c>
      <c r="C5483" s="5" t="s">
        <v>160</v>
      </c>
      <c r="D5483" s="5" t="s">
        <v>91</v>
      </c>
      <c r="E5483" s="5" t="s">
        <v>20</v>
      </c>
      <c r="F5483" s="9">
        <v>84</v>
      </c>
      <c r="G5483" s="9">
        <v>1040</v>
      </c>
      <c r="H5483" s="5" t="s">
        <v>21</v>
      </c>
      <c r="I5483" s="5" t="s">
        <v>13438</v>
      </c>
      <c r="J5483" s="12" t="str">
        <f>HYPERLINK("https://www.boe.es/gazeta/dias/1802/10/15/pdfs/GMD-1802-84.pdf#page=8","Abrir facsímil")</f>
        <v>Abrir facsímil</v>
      </c>
      <c r="K5483" s="15" t="s">
        <v>23</v>
      </c>
    </row>
    <row r="5484" spans="1:11" ht="42" customHeight="1">
      <c r="A5484" s="4" t="s">
        <v>13439</v>
      </c>
      <c r="B5484" s="5" t="s">
        <v>13440</v>
      </c>
      <c r="C5484" s="5" t="s">
        <v>18</v>
      </c>
      <c r="D5484" s="5" t="s">
        <v>19</v>
      </c>
      <c r="E5484" s="5" t="s">
        <v>49</v>
      </c>
      <c r="F5484" s="9">
        <v>83</v>
      </c>
      <c r="G5484" s="9">
        <v>1026</v>
      </c>
      <c r="H5484" s="5" t="s">
        <v>21</v>
      </c>
      <c r="I5484" s="5" t="s">
        <v>13441</v>
      </c>
      <c r="J5484" s="12" t="str">
        <f>HYPERLINK("https://www.boe.es/gazeta/dias/1802/10/12/pdfs/GMD-1802-83.pdf#page=14","Abrir facsímil")</f>
        <v>Abrir facsímil</v>
      </c>
      <c r="K5484" s="15" t="s">
        <v>23</v>
      </c>
    </row>
    <row r="5485" spans="1:11" ht="42" customHeight="1">
      <c r="A5485" s="4" t="s">
        <v>13442</v>
      </c>
      <c r="B5485" s="5" t="s">
        <v>13443</v>
      </c>
      <c r="C5485" s="5" t="s">
        <v>18</v>
      </c>
      <c r="D5485" s="5" t="s">
        <v>19</v>
      </c>
      <c r="E5485" s="5" t="s">
        <v>20</v>
      </c>
      <c r="F5485" s="9">
        <v>84</v>
      </c>
      <c r="G5485" s="9">
        <v>1041</v>
      </c>
      <c r="H5485" s="5" t="s">
        <v>21</v>
      </c>
      <c r="I5485" s="5" t="s">
        <v>13444</v>
      </c>
      <c r="J5485" s="12" t="str">
        <f>HYPERLINK("https://www.boe.es/gazeta/dias/1802/10/15/pdfs/GMD-1802-84.pdf#page=9","Abrir facsímil")</f>
        <v>Abrir facsímil</v>
      </c>
      <c r="K5485" s="15" t="s">
        <v>23</v>
      </c>
    </row>
    <row r="5486" spans="1:11" ht="42" customHeight="1">
      <c r="A5486" s="4" t="s">
        <v>13445</v>
      </c>
      <c r="B5486" s="5" t="s">
        <v>13446</v>
      </c>
      <c r="C5486" s="5" t="s">
        <v>18</v>
      </c>
      <c r="D5486" s="5" t="s">
        <v>19</v>
      </c>
      <c r="E5486" s="5" t="s">
        <v>49</v>
      </c>
      <c r="F5486" s="9">
        <v>83</v>
      </c>
      <c r="G5486" s="9">
        <v>1024</v>
      </c>
      <c r="H5486" s="5" t="s">
        <v>21</v>
      </c>
      <c r="I5486" s="5" t="s">
        <v>13447</v>
      </c>
      <c r="J5486" s="12" t="str">
        <f>HYPERLINK("https://www.boe.es/gazeta/dias/1802/10/12/pdfs/GMD-1802-83.pdf#page=12","Abrir facsímil")</f>
        <v>Abrir facsímil</v>
      </c>
      <c r="K5486" s="15" t="s">
        <v>23</v>
      </c>
    </row>
    <row r="5487" spans="1:11" ht="42" customHeight="1">
      <c r="A5487" s="4" t="s">
        <v>13448</v>
      </c>
      <c r="B5487" s="5" t="s">
        <v>13449</v>
      </c>
      <c r="C5487" s="5" t="s">
        <v>18</v>
      </c>
      <c r="D5487" s="5" t="s">
        <v>19</v>
      </c>
      <c r="E5487" s="5" t="s">
        <v>20</v>
      </c>
      <c r="F5487" s="9">
        <v>84</v>
      </c>
      <c r="G5487" s="9">
        <v>1041</v>
      </c>
      <c r="H5487" s="5" t="s">
        <v>21</v>
      </c>
      <c r="I5487" s="5" t="s">
        <v>13450</v>
      </c>
      <c r="J5487" s="12" t="str">
        <f>HYPERLINK("https://www.boe.es/gazeta/dias/1802/10/15/pdfs/GMD-1802-84.pdf#page=9","Abrir facsímil")</f>
        <v>Abrir facsímil</v>
      </c>
      <c r="K5487" s="15" t="s">
        <v>23</v>
      </c>
    </row>
    <row r="5488" spans="1:11" ht="42" customHeight="1">
      <c r="A5488" s="4" t="s">
        <v>13451</v>
      </c>
      <c r="B5488" s="5" t="s">
        <v>13452</v>
      </c>
      <c r="C5488" s="5" t="s">
        <v>90</v>
      </c>
      <c r="D5488" s="5" t="s">
        <v>91</v>
      </c>
      <c r="E5488" s="5" t="s">
        <v>764</v>
      </c>
      <c r="F5488" s="9">
        <v>69</v>
      </c>
      <c r="G5488" s="9">
        <v>852</v>
      </c>
      <c r="H5488" s="5" t="s">
        <v>21</v>
      </c>
      <c r="I5488" s="5" t="s">
        <v>13453</v>
      </c>
      <c r="J5488" s="12" t="str">
        <f>HYPERLINK("https://www.boe.es/gazeta/dias/1802/08/24/pdfs/GMD-1802-69.pdf#page=12","Abrir facsímil")</f>
        <v>Abrir facsímil</v>
      </c>
      <c r="K5488" s="15" t="s">
        <v>23</v>
      </c>
    </row>
    <row r="5489" spans="1:11" ht="42" customHeight="1">
      <c r="A5489" s="4" t="s">
        <v>13454</v>
      </c>
      <c r="B5489" s="5" t="s">
        <v>13455</v>
      </c>
      <c r="C5489" s="5" t="s">
        <v>42</v>
      </c>
      <c r="D5489" s="5" t="s">
        <v>43</v>
      </c>
      <c r="E5489" s="5" t="s">
        <v>44</v>
      </c>
      <c r="F5489" s="9">
        <v>99</v>
      </c>
      <c r="G5489" s="9" t="s">
        <v>537</v>
      </c>
      <c r="H5489" s="5" t="s">
        <v>21</v>
      </c>
      <c r="I5489" s="5" t="s">
        <v>13456</v>
      </c>
      <c r="J5489" s="12" t="str">
        <f>HYPERLINK("https://www.boe.es/gazeta/dias/1802/12/07/pdfs/GMD-D-1802-99.pdf#page=9","Abrir facsímil")</f>
        <v>Abrir facsímil</v>
      </c>
      <c r="K5489" s="15" t="s">
        <v>23</v>
      </c>
    </row>
    <row r="5490" spans="1:11" ht="42" customHeight="1">
      <c r="A5490" s="4" t="s">
        <v>13457</v>
      </c>
      <c r="B5490" s="5" t="s">
        <v>13458</v>
      </c>
      <c r="C5490" s="5" t="s">
        <v>29</v>
      </c>
      <c r="D5490" s="5" t="s">
        <v>30</v>
      </c>
      <c r="E5490" s="5" t="s">
        <v>146</v>
      </c>
      <c r="F5490" s="9">
        <v>42</v>
      </c>
      <c r="G5490" s="9">
        <v>504</v>
      </c>
      <c r="H5490" s="5" t="s">
        <v>21</v>
      </c>
      <c r="I5490" s="5" t="s">
        <v>13459</v>
      </c>
      <c r="J5490" s="12" t="str">
        <f>HYPERLINK("https://www.boe.es/gazeta/dias/1802/05/25/pdfs/GMD-1802-42.pdf#page=8","Abrir facsímil")</f>
        <v>Abrir facsímil</v>
      </c>
      <c r="K5490" s="15" t="s">
        <v>23</v>
      </c>
    </row>
    <row r="5491" spans="1:11" ht="42" customHeight="1">
      <c r="A5491" s="4" t="s">
        <v>13460</v>
      </c>
      <c r="B5491" s="5" t="s">
        <v>13461</v>
      </c>
      <c r="C5491" s="5" t="s">
        <v>42</v>
      </c>
      <c r="D5491" s="5" t="s">
        <v>43</v>
      </c>
      <c r="E5491" s="5" t="s">
        <v>44</v>
      </c>
      <c r="F5491" s="9">
        <v>99</v>
      </c>
      <c r="G5491" s="9" t="s">
        <v>554</v>
      </c>
      <c r="H5491" s="5" t="s">
        <v>21</v>
      </c>
      <c r="I5491" s="5" t="s">
        <v>13462</v>
      </c>
      <c r="J5491" s="12" t="str">
        <f>HYPERLINK("https://www.boe.es/gazeta/dias/1802/12/07/pdfs/GMD-D-1802-99.pdf#page=4","Abrir facsímil")</f>
        <v>Abrir facsímil</v>
      </c>
      <c r="K5491" s="15" t="s">
        <v>23</v>
      </c>
    </row>
    <row r="5492" spans="1:11" ht="42" customHeight="1">
      <c r="A5492" s="4" t="s">
        <v>13463</v>
      </c>
      <c r="B5492" s="5" t="s">
        <v>13464</v>
      </c>
      <c r="C5492" s="5" t="s">
        <v>42</v>
      </c>
      <c r="D5492" s="5" t="s">
        <v>43</v>
      </c>
      <c r="E5492" s="5" t="s">
        <v>44</v>
      </c>
      <c r="F5492" s="9">
        <v>99</v>
      </c>
      <c r="G5492" s="9" t="s">
        <v>314</v>
      </c>
      <c r="H5492" s="5" t="s">
        <v>21</v>
      </c>
      <c r="I5492" s="5" t="s">
        <v>13465</v>
      </c>
      <c r="J5492" s="12" t="str">
        <f>HYPERLINK("https://www.boe.es/gazeta/dias/1802/12/07/pdfs/GMD-D-1802-99.pdf#page=2","Abrir facsímil")</f>
        <v>Abrir facsímil</v>
      </c>
      <c r="K5492" s="15" t="s">
        <v>23</v>
      </c>
    </row>
    <row r="5493" spans="1:11" ht="42" customHeight="1">
      <c r="A5493" s="4" t="s">
        <v>13466</v>
      </c>
      <c r="B5493" s="5" t="s">
        <v>13467</v>
      </c>
      <c r="C5493" s="5" t="s">
        <v>90</v>
      </c>
      <c r="D5493" s="5" t="s">
        <v>91</v>
      </c>
      <c r="E5493" s="5" t="s">
        <v>86</v>
      </c>
      <c r="F5493" s="9">
        <v>26</v>
      </c>
      <c r="G5493" s="9">
        <v>297</v>
      </c>
      <c r="H5493" s="5" t="s">
        <v>21</v>
      </c>
      <c r="I5493" s="5" t="s">
        <v>13468</v>
      </c>
      <c r="J5493" s="12" t="str">
        <f>HYPERLINK("https://www.boe.es/gazeta/dias/1802/03/30/pdfs/GMD-1802-26.pdf#page=9","Abrir facsímil")</f>
        <v>Abrir facsímil</v>
      </c>
      <c r="K5493" s="15" t="s">
        <v>23</v>
      </c>
    </row>
    <row r="5494" spans="1:11" ht="42" customHeight="1">
      <c r="A5494" s="4" t="s">
        <v>13469</v>
      </c>
      <c r="B5494" s="5" t="s">
        <v>13470</v>
      </c>
      <c r="C5494" s="5" t="s">
        <v>160</v>
      </c>
      <c r="D5494" s="5" t="s">
        <v>91</v>
      </c>
      <c r="E5494" s="5" t="s">
        <v>1097</v>
      </c>
      <c r="F5494" s="9">
        <v>20</v>
      </c>
      <c r="G5494" s="9">
        <v>224</v>
      </c>
      <c r="H5494" s="5" t="s">
        <v>21</v>
      </c>
      <c r="I5494" s="5" t="s">
        <v>13471</v>
      </c>
      <c r="J5494" s="12" t="str">
        <f>HYPERLINK("https://www.boe.es/gazeta/dias/1802/03/09/pdfs/GMD-1802-20.pdf#page=12","Abrir facsímil")</f>
        <v>Abrir facsímil</v>
      </c>
      <c r="K5494" s="15" t="s">
        <v>23</v>
      </c>
    </row>
    <row r="5495" spans="1:11" ht="42" customHeight="1">
      <c r="A5495" s="4" t="s">
        <v>13472</v>
      </c>
      <c r="B5495" s="5" t="s">
        <v>13473</v>
      </c>
      <c r="C5495" s="5" t="s">
        <v>29</v>
      </c>
      <c r="D5495" s="5" t="s">
        <v>30</v>
      </c>
      <c r="E5495" s="5" t="s">
        <v>247</v>
      </c>
      <c r="F5495" s="9">
        <v>14</v>
      </c>
      <c r="G5495" s="9">
        <v>145</v>
      </c>
      <c r="H5495" s="5" t="s">
        <v>21</v>
      </c>
      <c r="I5495" s="5" t="s">
        <v>13474</v>
      </c>
      <c r="J5495" s="12" t="str">
        <f>HYPERLINK("https://www.boe.es/gazeta/dias/1802/02/16/pdfs/GMD-1802-14.pdf#page=9","Abrir facsímil")</f>
        <v>Abrir facsímil</v>
      </c>
      <c r="K5495" s="15" t="s">
        <v>23</v>
      </c>
    </row>
    <row r="5496" spans="1:11" ht="42" customHeight="1">
      <c r="A5496" s="4" t="s">
        <v>13475</v>
      </c>
      <c r="B5496" s="5" t="s">
        <v>13476</v>
      </c>
      <c r="C5496" s="5" t="s">
        <v>160</v>
      </c>
      <c r="D5496" s="5" t="s">
        <v>91</v>
      </c>
      <c r="E5496" s="5" t="s">
        <v>481</v>
      </c>
      <c r="F5496" s="9">
        <v>79</v>
      </c>
      <c r="G5496" s="9">
        <v>975</v>
      </c>
      <c r="H5496" s="5" t="s">
        <v>21</v>
      </c>
      <c r="I5496" s="5" t="s">
        <v>13477</v>
      </c>
      <c r="J5496" s="12" t="str">
        <f>HYPERLINK("https://www.boe.es/gazeta/dias/1802/09/28/pdfs/GMD-1802-79.pdf#page=11","Abrir facsímil")</f>
        <v>Abrir facsímil</v>
      </c>
      <c r="K5496" s="15" t="s">
        <v>23</v>
      </c>
    </row>
    <row r="5497" spans="1:11" ht="42" customHeight="1">
      <c r="A5497" s="4" t="s">
        <v>13478</v>
      </c>
      <c r="B5497" s="5" t="s">
        <v>13479</v>
      </c>
      <c r="C5497" s="5" t="s">
        <v>18</v>
      </c>
      <c r="D5497" s="5" t="s">
        <v>19</v>
      </c>
      <c r="E5497" s="5" t="s">
        <v>20</v>
      </c>
      <c r="F5497" s="9">
        <v>84</v>
      </c>
      <c r="G5497" s="9">
        <v>1042</v>
      </c>
      <c r="H5497" s="5" t="s">
        <v>21</v>
      </c>
      <c r="I5497" s="5" t="s">
        <v>13480</v>
      </c>
      <c r="J5497" s="12" t="str">
        <f>HYPERLINK("https://www.boe.es/gazeta/dias/1802/10/15/pdfs/GMD-1802-84.pdf#page=10","Abrir facsímil")</f>
        <v>Abrir facsímil</v>
      </c>
      <c r="K5497" s="15" t="s">
        <v>23</v>
      </c>
    </row>
    <row r="5498" spans="1:11" ht="42" customHeight="1">
      <c r="A5498" s="4" t="s">
        <v>13481</v>
      </c>
      <c r="B5498" s="5" t="s">
        <v>13482</v>
      </c>
      <c r="C5498" s="5" t="s">
        <v>18</v>
      </c>
      <c r="D5498" s="5" t="s">
        <v>19</v>
      </c>
      <c r="E5498" s="5" t="s">
        <v>20</v>
      </c>
      <c r="F5498" s="9">
        <v>84</v>
      </c>
      <c r="G5498" s="9">
        <v>1043</v>
      </c>
      <c r="H5498" s="5" t="s">
        <v>21</v>
      </c>
      <c r="I5498" s="5" t="s">
        <v>13483</v>
      </c>
      <c r="J5498" s="12" t="str">
        <f>HYPERLINK("https://www.boe.es/gazeta/dias/1802/10/15/pdfs/GMD-1802-84.pdf#page=11","Abrir facsímil")</f>
        <v>Abrir facsímil</v>
      </c>
      <c r="K5498" s="15" t="s">
        <v>23</v>
      </c>
    </row>
    <row r="5499" spans="1:11" ht="42" customHeight="1">
      <c r="A5499" s="4" t="s">
        <v>13484</v>
      </c>
      <c r="B5499" s="5" t="s">
        <v>13485</v>
      </c>
      <c r="C5499" s="5" t="s">
        <v>29</v>
      </c>
      <c r="D5499" s="5" t="s">
        <v>30</v>
      </c>
      <c r="E5499" s="5" t="s">
        <v>49</v>
      </c>
      <c r="F5499" s="9">
        <v>83</v>
      </c>
      <c r="G5499" s="9">
        <v>1019</v>
      </c>
      <c r="H5499" s="5" t="s">
        <v>21</v>
      </c>
      <c r="I5499" s="5" t="s">
        <v>13486</v>
      </c>
      <c r="J5499" s="12" t="str">
        <f>HYPERLINK("https://www.boe.es/gazeta/dias/1802/10/12/pdfs/GMD-1802-83.pdf#page=7","Abrir facsímil")</f>
        <v>Abrir facsímil</v>
      </c>
      <c r="K5499" s="15" t="s">
        <v>23</v>
      </c>
    </row>
    <row r="5500" spans="1:11" ht="42" customHeight="1">
      <c r="A5500" s="4" t="s">
        <v>13487</v>
      </c>
      <c r="B5500" s="5" t="s">
        <v>13488</v>
      </c>
      <c r="C5500" s="5" t="s">
        <v>18</v>
      </c>
      <c r="D5500" s="5" t="s">
        <v>19</v>
      </c>
      <c r="E5500" s="5" t="s">
        <v>20</v>
      </c>
      <c r="F5500" s="9">
        <v>84</v>
      </c>
      <c r="G5500" s="9">
        <v>1042</v>
      </c>
      <c r="H5500" s="5" t="s">
        <v>21</v>
      </c>
      <c r="I5500" s="5" t="s">
        <v>13489</v>
      </c>
      <c r="J5500" s="12" t="str">
        <f>HYPERLINK("https://www.boe.es/gazeta/dias/1802/10/15/pdfs/GMD-1802-84.pdf#page=10","Abrir facsímil")</f>
        <v>Abrir facsímil</v>
      </c>
      <c r="K5500" s="15" t="s">
        <v>23</v>
      </c>
    </row>
    <row r="5501" spans="1:11" ht="42" customHeight="1">
      <c r="A5501" s="4" t="s">
        <v>13490</v>
      </c>
      <c r="B5501" s="5" t="s">
        <v>13491</v>
      </c>
      <c r="C5501" s="5" t="s">
        <v>42</v>
      </c>
      <c r="D5501" s="5" t="s">
        <v>43</v>
      </c>
      <c r="E5501" s="5" t="s">
        <v>44</v>
      </c>
      <c r="F5501" s="9">
        <v>99</v>
      </c>
      <c r="G5501" s="9" t="s">
        <v>222</v>
      </c>
      <c r="H5501" s="5" t="s">
        <v>21</v>
      </c>
      <c r="I5501" s="5" t="s">
        <v>13492</v>
      </c>
      <c r="J5501" s="12" t="str">
        <f>HYPERLINK("https://www.boe.es/gazeta/dias/1802/12/07/pdfs/GMD-D-1802-99.pdf#page=5","Abrir facsímil")</f>
        <v>Abrir facsímil</v>
      </c>
      <c r="K5501" s="15" t="s">
        <v>23</v>
      </c>
    </row>
    <row r="5502" spans="1:11" ht="42" customHeight="1">
      <c r="A5502" s="4" t="s">
        <v>13493</v>
      </c>
      <c r="B5502" s="5" t="s">
        <v>13494</v>
      </c>
      <c r="C5502" s="5" t="s">
        <v>18</v>
      </c>
      <c r="D5502" s="5" t="s">
        <v>19</v>
      </c>
      <c r="E5502" s="5" t="s">
        <v>49</v>
      </c>
      <c r="F5502" s="9">
        <v>83</v>
      </c>
      <c r="G5502" s="9">
        <v>1022</v>
      </c>
      <c r="H5502" s="5" t="s">
        <v>21</v>
      </c>
      <c r="I5502" s="5" t="s">
        <v>13495</v>
      </c>
      <c r="J5502" s="12" t="str">
        <f>HYPERLINK("https://www.boe.es/gazeta/dias/1802/10/12/pdfs/GMD-1802-83.pdf#page=10","Abrir facsímil")</f>
        <v>Abrir facsímil</v>
      </c>
      <c r="K5502" s="15" t="s">
        <v>23</v>
      </c>
    </row>
    <row r="5503" spans="1:11" ht="42" customHeight="1">
      <c r="A5503" s="4" t="s">
        <v>13496</v>
      </c>
      <c r="B5503" s="5" t="s">
        <v>13497</v>
      </c>
      <c r="C5503" s="5" t="s">
        <v>29</v>
      </c>
      <c r="D5503" s="5" t="s">
        <v>30</v>
      </c>
      <c r="E5503" s="5" t="s">
        <v>109</v>
      </c>
      <c r="F5503" s="9">
        <v>10</v>
      </c>
      <c r="G5503" s="9">
        <v>100</v>
      </c>
      <c r="H5503" s="5" t="s">
        <v>21</v>
      </c>
      <c r="I5503" s="5" t="s">
        <v>13498</v>
      </c>
      <c r="J5503" s="12" t="str">
        <f>HYPERLINK("https://www.boe.es/gazeta/dias/1802/02/02/pdfs/GMD-1802-10.pdf#page=8","Abrir facsímil")</f>
        <v>Abrir facsímil</v>
      </c>
      <c r="K5503" s="15" t="s">
        <v>23</v>
      </c>
    </row>
    <row r="5504" spans="1:11" ht="42" customHeight="1">
      <c r="A5504" s="4" t="s">
        <v>13496</v>
      </c>
      <c r="B5504" s="5" t="s">
        <v>13497</v>
      </c>
      <c r="C5504" s="5" t="s">
        <v>55</v>
      </c>
      <c r="D5504" s="5" t="s">
        <v>56</v>
      </c>
      <c r="E5504" s="5" t="s">
        <v>247</v>
      </c>
      <c r="F5504" s="9">
        <v>14</v>
      </c>
      <c r="G5504" s="9">
        <v>148</v>
      </c>
      <c r="H5504" s="5" t="s">
        <v>21</v>
      </c>
      <c r="I5504" s="5" t="s">
        <v>13499</v>
      </c>
      <c r="J5504" s="12" t="str">
        <f>HYPERLINK("https://www.boe.es/gazeta/dias/1802/02/16/pdfs/GMD-1802-14.pdf#page=12","Abrir facsímil")</f>
        <v>Abrir facsímil</v>
      </c>
      <c r="K5504" s="15" t="s">
        <v>23</v>
      </c>
    </row>
    <row r="5505" spans="1:11" ht="42" customHeight="1">
      <c r="A5505" s="4" t="s">
        <v>13500</v>
      </c>
      <c r="B5505" s="5" t="s">
        <v>13501</v>
      </c>
      <c r="C5505" s="5" t="s">
        <v>18</v>
      </c>
      <c r="D5505" s="5" t="s">
        <v>19</v>
      </c>
      <c r="E5505" s="5" t="s">
        <v>25</v>
      </c>
      <c r="F5505" s="9">
        <v>44</v>
      </c>
      <c r="G5505" s="9">
        <v>535</v>
      </c>
      <c r="H5505" s="5" t="s">
        <v>21</v>
      </c>
      <c r="I5505" s="5" t="s">
        <v>13502</v>
      </c>
      <c r="J5505" s="12" t="str">
        <f>HYPERLINK("https://www.boe.es/gazeta/dias/1802/06/01/pdfs/GMD-1802-44.pdf#page=11","Abrir facsímil")</f>
        <v>Abrir facsímil</v>
      </c>
      <c r="K5505" s="15" t="s">
        <v>23</v>
      </c>
    </row>
    <row r="5506" spans="1:11" ht="42" customHeight="1">
      <c r="A5506" s="4" t="s">
        <v>13503</v>
      </c>
      <c r="B5506" s="5" t="s">
        <v>13504</v>
      </c>
      <c r="C5506" s="5" t="s">
        <v>90</v>
      </c>
      <c r="D5506" s="5" t="s">
        <v>91</v>
      </c>
      <c r="E5506" s="5" t="s">
        <v>49</v>
      </c>
      <c r="F5506" s="9">
        <v>83</v>
      </c>
      <c r="G5506" s="9">
        <v>1027</v>
      </c>
      <c r="H5506" s="5" t="s">
        <v>21</v>
      </c>
      <c r="I5506" s="5" t="s">
        <v>13505</v>
      </c>
      <c r="J5506" s="12" t="str">
        <f>HYPERLINK("https://www.boe.es/gazeta/dias/1802/10/12/pdfs/GMD-1802-83.pdf#page=15","Abrir facsímil")</f>
        <v>Abrir facsímil</v>
      </c>
      <c r="K5506" s="15" t="s">
        <v>23</v>
      </c>
    </row>
    <row r="5507" spans="1:11" ht="42" customHeight="1">
      <c r="A5507" s="4" t="s">
        <v>13506</v>
      </c>
      <c r="B5507" s="5" t="s">
        <v>13507</v>
      </c>
      <c r="C5507" s="5" t="s">
        <v>18</v>
      </c>
      <c r="D5507" s="5" t="s">
        <v>19</v>
      </c>
      <c r="E5507" s="5" t="s">
        <v>20</v>
      </c>
      <c r="F5507" s="9">
        <v>84</v>
      </c>
      <c r="G5507" s="9">
        <v>1044</v>
      </c>
      <c r="H5507" s="5" t="s">
        <v>21</v>
      </c>
      <c r="I5507" s="5" t="s">
        <v>13508</v>
      </c>
      <c r="J5507" s="12" t="str">
        <f>HYPERLINK("https://www.boe.es/gazeta/dias/1802/10/15/pdfs/GMD-1802-84.pdf#page=12","Abrir facsímil")</f>
        <v>Abrir facsímil</v>
      </c>
      <c r="K5507" s="15" t="s">
        <v>23</v>
      </c>
    </row>
    <row r="5508" spans="1:11" ht="42" customHeight="1">
      <c r="A5508" s="4" t="s">
        <v>13509</v>
      </c>
      <c r="B5508" s="5" t="s">
        <v>13510</v>
      </c>
      <c r="C5508" s="5" t="s">
        <v>42</v>
      </c>
      <c r="D5508" s="5" t="s">
        <v>43</v>
      </c>
      <c r="E5508" s="5" t="s">
        <v>44</v>
      </c>
      <c r="F5508" s="9">
        <v>99</v>
      </c>
      <c r="G5508" s="9" t="s">
        <v>251</v>
      </c>
      <c r="H5508" s="5" t="s">
        <v>21</v>
      </c>
      <c r="I5508" s="5" t="s">
        <v>13511</v>
      </c>
      <c r="J5508" s="12" t="str">
        <f>HYPERLINK("https://www.boe.es/gazeta/dias/1802/12/07/pdfs/GMD-D-1802-99.pdf#page=6","Abrir facsímil")</f>
        <v>Abrir facsímil</v>
      </c>
      <c r="K5508" s="15" t="s">
        <v>23</v>
      </c>
    </row>
    <row r="5509" spans="1:11" ht="42" customHeight="1">
      <c r="A5509" s="4" t="s">
        <v>13512</v>
      </c>
      <c r="B5509" s="5" t="s">
        <v>13512</v>
      </c>
      <c r="C5509" s="5" t="s">
        <v>29</v>
      </c>
      <c r="D5509" s="5" t="s">
        <v>30</v>
      </c>
      <c r="E5509" s="5" t="s">
        <v>491</v>
      </c>
      <c r="F5509" s="9">
        <v>57</v>
      </c>
      <c r="G5509" s="9">
        <v>686</v>
      </c>
      <c r="H5509" s="5" t="s">
        <v>21</v>
      </c>
      <c r="I5509" s="5" t="s">
        <v>13513</v>
      </c>
      <c r="J5509" s="12" t="str">
        <f>HYPERLINK("https://www.boe.es/gazeta/dias/1802/07/16/pdfs/GMD-1802-57.pdf#page=6","Abrir facsímil")</f>
        <v>Abrir facsímil</v>
      </c>
      <c r="K5509" s="15" t="s">
        <v>23</v>
      </c>
    </row>
    <row r="5510" spans="1:11" ht="42" customHeight="1">
      <c r="A5510" s="4" t="s">
        <v>13514</v>
      </c>
      <c r="B5510" s="5" t="s">
        <v>13515</v>
      </c>
      <c r="C5510" s="5" t="s">
        <v>18</v>
      </c>
      <c r="D5510" s="5" t="s">
        <v>19</v>
      </c>
      <c r="E5510" s="5" t="s">
        <v>20</v>
      </c>
      <c r="F5510" s="9">
        <v>84</v>
      </c>
      <c r="G5510" s="9">
        <v>1040</v>
      </c>
      <c r="H5510" s="5" t="s">
        <v>21</v>
      </c>
      <c r="I5510" s="5" t="s">
        <v>13516</v>
      </c>
      <c r="J5510" s="12" t="str">
        <f>HYPERLINK("https://www.boe.es/gazeta/dias/1802/10/15/pdfs/GMD-1802-84.pdf#page=8","Abrir facsímil")</f>
        <v>Abrir facsímil</v>
      </c>
      <c r="K5510" s="15" t="s">
        <v>23</v>
      </c>
    </row>
    <row r="5511" spans="1:11" ht="42" customHeight="1">
      <c r="A5511" s="4" t="s">
        <v>13517</v>
      </c>
      <c r="B5511" s="5" t="s">
        <v>13518</v>
      </c>
      <c r="C5511" s="5" t="s">
        <v>29</v>
      </c>
      <c r="D5511" s="5" t="s">
        <v>30</v>
      </c>
      <c r="E5511" s="5" t="s">
        <v>439</v>
      </c>
      <c r="F5511" s="9">
        <v>76</v>
      </c>
      <c r="G5511" s="9">
        <v>939</v>
      </c>
      <c r="H5511" s="5" t="s">
        <v>21</v>
      </c>
      <c r="I5511" s="5" t="s">
        <v>13519</v>
      </c>
      <c r="J5511" s="12" t="str">
        <f>HYPERLINK("https://www.boe.es/gazeta/dias/1802/09/17/pdfs/GMD-1802-76.pdf#page=11","Abrir facsímil")</f>
        <v>Abrir facsímil</v>
      </c>
      <c r="K5511" s="15" t="s">
        <v>23</v>
      </c>
    </row>
    <row r="5512" spans="1:11" ht="42" customHeight="1">
      <c r="A5512" s="4" t="s">
        <v>13520</v>
      </c>
      <c r="B5512" s="5" t="s">
        <v>13521</v>
      </c>
      <c r="C5512" s="5" t="s">
        <v>90</v>
      </c>
      <c r="D5512" s="5" t="s">
        <v>91</v>
      </c>
      <c r="E5512" s="5" t="s">
        <v>311</v>
      </c>
      <c r="F5512" s="9">
        <v>88</v>
      </c>
      <c r="G5512" s="9">
        <v>1093</v>
      </c>
      <c r="H5512" s="5" t="s">
        <v>21</v>
      </c>
      <c r="I5512" s="5" t="s">
        <v>13522</v>
      </c>
      <c r="J5512" s="12" t="str">
        <f>HYPERLINK("https://www.boe.es/gazeta/dias/1802/10/29/pdfs/GMD-1802-88.pdf#page=9","Abrir facsímil")</f>
        <v>Abrir facsímil</v>
      </c>
      <c r="K5512" s="15" t="s">
        <v>23</v>
      </c>
    </row>
    <row r="5513" spans="1:11" ht="42" customHeight="1">
      <c r="A5513" s="4" t="s">
        <v>13523</v>
      </c>
      <c r="B5513" s="5" t="s">
        <v>13524</v>
      </c>
      <c r="C5513" s="5" t="s">
        <v>42</v>
      </c>
      <c r="D5513" s="5" t="s">
        <v>43</v>
      </c>
      <c r="E5513" s="5" t="s">
        <v>44</v>
      </c>
      <c r="F5513" s="9">
        <v>99</v>
      </c>
      <c r="G5513" s="9" t="s">
        <v>779</v>
      </c>
      <c r="H5513" s="5" t="s">
        <v>21</v>
      </c>
      <c r="I5513" s="5" t="s">
        <v>13525</v>
      </c>
      <c r="J5513" s="12" t="str">
        <f>HYPERLINK("https://www.boe.es/gazeta/dias/1802/12/07/pdfs/GMD-D-1802-99.pdf#page=13","Abrir facsímil")</f>
        <v>Abrir facsímil</v>
      </c>
      <c r="K5513" s="15" t="s">
        <v>23</v>
      </c>
    </row>
    <row r="5514" spans="1:11" ht="42" customHeight="1">
      <c r="A5514" s="4" t="s">
        <v>13526</v>
      </c>
      <c r="B5514" s="5" t="s">
        <v>13527</v>
      </c>
      <c r="C5514" s="5" t="s">
        <v>160</v>
      </c>
      <c r="D5514" s="5" t="s">
        <v>91</v>
      </c>
      <c r="E5514" s="5" t="s">
        <v>20</v>
      </c>
      <c r="F5514" s="9">
        <v>84</v>
      </c>
      <c r="G5514" s="9">
        <v>1043</v>
      </c>
      <c r="H5514" s="5" t="s">
        <v>21</v>
      </c>
      <c r="I5514" s="5" t="s">
        <v>13528</v>
      </c>
      <c r="J5514" s="12" t="str">
        <f>HYPERLINK("https://www.boe.es/gazeta/dias/1802/10/15/pdfs/GMD-1802-84.pdf#page=11","Abrir facsímil")</f>
        <v>Abrir facsímil</v>
      </c>
      <c r="K5514" s="15" t="s">
        <v>23</v>
      </c>
    </row>
    <row r="5515" spans="1:11" ht="42" customHeight="1">
      <c r="A5515" s="4" t="s">
        <v>13529</v>
      </c>
      <c r="B5515" s="5" t="s">
        <v>13530</v>
      </c>
      <c r="C5515" s="5" t="s">
        <v>18</v>
      </c>
      <c r="D5515" s="5" t="s">
        <v>19</v>
      </c>
      <c r="E5515" s="5" t="s">
        <v>20</v>
      </c>
      <c r="F5515" s="9">
        <v>84</v>
      </c>
      <c r="G5515" s="9">
        <v>1042</v>
      </c>
      <c r="H5515" s="5" t="s">
        <v>21</v>
      </c>
      <c r="I5515" s="5" t="s">
        <v>13531</v>
      </c>
      <c r="J5515" s="12" t="str">
        <f>HYPERLINK("https://www.boe.es/gazeta/dias/1802/10/15/pdfs/GMD-1802-84.pdf#page=10","Abrir facsímil")</f>
        <v>Abrir facsímil</v>
      </c>
      <c r="K5515" s="15" t="s">
        <v>23</v>
      </c>
    </row>
    <row r="5516" spans="1:11" ht="42" customHeight="1">
      <c r="A5516" s="4" t="s">
        <v>13532</v>
      </c>
      <c r="B5516" s="5" t="s">
        <v>13532</v>
      </c>
      <c r="C5516" s="5" t="s">
        <v>35</v>
      </c>
      <c r="D5516" s="5" t="s">
        <v>36</v>
      </c>
      <c r="E5516" s="5" t="s">
        <v>381</v>
      </c>
      <c r="F5516" s="9">
        <v>13</v>
      </c>
      <c r="G5516" s="9">
        <v>128</v>
      </c>
      <c r="H5516" s="5" t="s">
        <v>21</v>
      </c>
      <c r="I5516" s="5" t="s">
        <v>13533</v>
      </c>
      <c r="J5516" s="12" t="str">
        <f>HYPERLINK("https://www.boe.es/gazeta/dias/1802/02/12/pdfs/GMD-1802-13.pdf#page=4","Abrir facsímil")</f>
        <v>Abrir facsímil</v>
      </c>
      <c r="K5516" s="15" t="s">
        <v>23</v>
      </c>
    </row>
    <row r="5517" spans="1:11" ht="42" customHeight="1">
      <c r="A5517" s="4" t="s">
        <v>13534</v>
      </c>
      <c r="B5517" s="5" t="s">
        <v>13534</v>
      </c>
      <c r="C5517" s="5" t="s">
        <v>29</v>
      </c>
      <c r="D5517" s="5" t="s">
        <v>30</v>
      </c>
      <c r="E5517" s="5" t="s">
        <v>163</v>
      </c>
      <c r="F5517" s="9">
        <v>1</v>
      </c>
      <c r="G5517" s="9">
        <v>3</v>
      </c>
      <c r="H5517" s="5" t="s">
        <v>21</v>
      </c>
      <c r="I5517" s="5" t="s">
        <v>13535</v>
      </c>
      <c r="J5517" s="12" t="str">
        <f>HYPERLINK("https://www.boe.es/gazeta/dias/1802/01/01/pdfs/GMD-1802-1.pdf#page=3","Abrir facsímil")</f>
        <v>Abrir facsímil</v>
      </c>
      <c r="K5517" s="15" t="s">
        <v>23</v>
      </c>
    </row>
    <row r="5518" spans="1:11" ht="42" customHeight="1">
      <c r="A5518" s="4" t="s">
        <v>13534</v>
      </c>
      <c r="B5518" s="5" t="s">
        <v>13534</v>
      </c>
      <c r="C5518" s="5" t="s">
        <v>29</v>
      </c>
      <c r="D5518" s="5" t="s">
        <v>30</v>
      </c>
      <c r="E5518" s="5" t="s">
        <v>165</v>
      </c>
      <c r="F5518" s="9">
        <v>3</v>
      </c>
      <c r="G5518" s="9">
        <v>22</v>
      </c>
      <c r="H5518" s="5" t="s">
        <v>21</v>
      </c>
      <c r="I5518" s="5" t="s">
        <v>13536</v>
      </c>
      <c r="J5518" s="12" t="str">
        <f>HYPERLINK("https://www.boe.es/gazeta/dias/1802/01/08/pdfs/GMD-1802-3.pdf#page=2","Abrir facsímil")</f>
        <v>Abrir facsímil</v>
      </c>
      <c r="K5518" s="15" t="s">
        <v>23</v>
      </c>
    </row>
    <row r="5519" spans="1:11" ht="42" customHeight="1">
      <c r="A5519" s="4" t="s">
        <v>13534</v>
      </c>
      <c r="B5519" s="5" t="s">
        <v>13534</v>
      </c>
      <c r="C5519" s="5" t="s">
        <v>29</v>
      </c>
      <c r="D5519" s="5" t="s">
        <v>30</v>
      </c>
      <c r="E5519" s="5" t="s">
        <v>1332</v>
      </c>
      <c r="F5519" s="9">
        <v>4</v>
      </c>
      <c r="G5519" s="9">
        <v>32</v>
      </c>
      <c r="H5519" s="5" t="s">
        <v>21</v>
      </c>
      <c r="I5519" s="5" t="s">
        <v>13537</v>
      </c>
      <c r="J5519" s="12" t="str">
        <f>HYPERLINK("https://www.boe.es/gazeta/dias/1802/01/12/pdfs/GMD-1802-4.pdf#page=4","Abrir facsímil")</f>
        <v>Abrir facsímil</v>
      </c>
      <c r="K5519" s="15" t="s">
        <v>23</v>
      </c>
    </row>
    <row r="5520" spans="1:11" ht="42" customHeight="1">
      <c r="A5520" s="4" t="s">
        <v>13534</v>
      </c>
      <c r="B5520" s="5" t="s">
        <v>13534</v>
      </c>
      <c r="C5520" s="5" t="s">
        <v>35</v>
      </c>
      <c r="D5520" s="5" t="s">
        <v>36</v>
      </c>
      <c r="E5520" s="5" t="s">
        <v>60</v>
      </c>
      <c r="F5520" s="9">
        <v>5</v>
      </c>
      <c r="G5520" s="9">
        <v>47</v>
      </c>
      <c r="H5520" s="5" t="s">
        <v>21</v>
      </c>
      <c r="I5520" s="5" t="s">
        <v>13538</v>
      </c>
      <c r="J5520" s="12" t="str">
        <f>HYPERLINK("https://www.boe.es/gazeta/dias/1802/01/15/pdfs/GMD-1802-5.pdf#page=3","Abrir facsímil")</f>
        <v>Abrir facsímil</v>
      </c>
      <c r="K5520" s="15" t="s">
        <v>23</v>
      </c>
    </row>
    <row r="5521" spans="1:11" ht="42" customHeight="1">
      <c r="A5521" s="4" t="s">
        <v>13534</v>
      </c>
      <c r="B5521" s="5" t="s">
        <v>13534</v>
      </c>
      <c r="C5521" s="5" t="s">
        <v>35</v>
      </c>
      <c r="D5521" s="5" t="s">
        <v>36</v>
      </c>
      <c r="E5521" s="5" t="s">
        <v>109</v>
      </c>
      <c r="F5521" s="9">
        <v>10</v>
      </c>
      <c r="G5521" s="9">
        <v>95</v>
      </c>
      <c r="H5521" s="5" t="s">
        <v>21</v>
      </c>
      <c r="I5521" s="5" t="s">
        <v>13539</v>
      </c>
      <c r="J5521" s="12" t="str">
        <f>HYPERLINK("https://www.boe.es/gazeta/dias/1802/02/02/pdfs/GMD-1802-10.pdf#page=3","Abrir facsímil")</f>
        <v>Abrir facsímil</v>
      </c>
      <c r="K5521" s="15" t="s">
        <v>23</v>
      </c>
    </row>
    <row r="5522" spans="1:11" ht="42" customHeight="1">
      <c r="A5522" s="4" t="s">
        <v>13534</v>
      </c>
      <c r="B5522" s="5" t="s">
        <v>13534</v>
      </c>
      <c r="C5522" s="5" t="s">
        <v>18</v>
      </c>
      <c r="D5522" s="5" t="s">
        <v>19</v>
      </c>
      <c r="E5522" s="5" t="s">
        <v>678</v>
      </c>
      <c r="F5522" s="9">
        <v>15</v>
      </c>
      <c r="G5522" s="9">
        <v>153</v>
      </c>
      <c r="H5522" s="5" t="s">
        <v>21</v>
      </c>
      <c r="I5522" s="5" t="s">
        <v>13540</v>
      </c>
      <c r="J5522" s="12" t="str">
        <f>HYPERLINK("https://www.boe.es/gazeta/dias/1802/02/19/pdfs/GMD-1802-15.pdf#page=5","Abrir facsímil")</f>
        <v>Abrir facsímil</v>
      </c>
      <c r="K5522" s="15" t="s">
        <v>23</v>
      </c>
    </row>
    <row r="5523" spans="1:11" ht="42" customHeight="1">
      <c r="A5523" s="4" t="s">
        <v>13534</v>
      </c>
      <c r="B5523" s="5" t="s">
        <v>13534</v>
      </c>
      <c r="C5523" s="5" t="s">
        <v>29</v>
      </c>
      <c r="D5523" s="5" t="s">
        <v>30</v>
      </c>
      <c r="E5523" s="5" t="s">
        <v>1097</v>
      </c>
      <c r="F5523" s="9">
        <v>20</v>
      </c>
      <c r="G5523" s="9">
        <v>216</v>
      </c>
      <c r="H5523" s="5" t="s">
        <v>21</v>
      </c>
      <c r="I5523" s="5" t="s">
        <v>13541</v>
      </c>
      <c r="J5523" s="12" t="str">
        <f>HYPERLINK("https://www.boe.es/gazeta/dias/1802/03/09/pdfs/GMD-1802-20.pdf#page=4","Abrir facsímil")</f>
        <v>Abrir facsímil</v>
      </c>
      <c r="K5523" s="15" t="s">
        <v>23</v>
      </c>
    </row>
    <row r="5524" spans="1:11" ht="42" customHeight="1">
      <c r="A5524" s="4" t="s">
        <v>13534</v>
      </c>
      <c r="B5524" s="5" t="s">
        <v>13534</v>
      </c>
      <c r="C5524" s="5" t="s">
        <v>35</v>
      </c>
      <c r="D5524" s="5" t="s">
        <v>36</v>
      </c>
      <c r="E5524" s="5" t="s">
        <v>71</v>
      </c>
      <c r="F5524" s="9">
        <v>21</v>
      </c>
      <c r="G5524" s="9">
        <v>226</v>
      </c>
      <c r="H5524" s="5" t="s">
        <v>21</v>
      </c>
      <c r="I5524" s="5" t="s">
        <v>13542</v>
      </c>
      <c r="J5524" s="12" t="str">
        <f>HYPERLINK("https://www.boe.es/gazeta/dias/1802/03/12/pdfs/GMD-1802-21.pdf#page=2","Abrir facsímil")</f>
        <v>Abrir facsímil</v>
      </c>
      <c r="K5524" s="15" t="s">
        <v>23</v>
      </c>
    </row>
    <row r="5525" spans="1:11" ht="42" customHeight="1">
      <c r="A5525" s="4" t="s">
        <v>13534</v>
      </c>
      <c r="B5525" s="5" t="s">
        <v>13534</v>
      </c>
      <c r="C5525" s="5" t="s">
        <v>29</v>
      </c>
      <c r="D5525" s="5" t="s">
        <v>30</v>
      </c>
      <c r="E5525" s="5" t="s">
        <v>71</v>
      </c>
      <c r="F5525" s="9">
        <v>21</v>
      </c>
      <c r="G5525" s="9">
        <v>227</v>
      </c>
      <c r="H5525" s="5" t="s">
        <v>21</v>
      </c>
      <c r="I5525" s="5" t="s">
        <v>13543</v>
      </c>
      <c r="J5525" s="12" t="str">
        <f>HYPERLINK("https://www.boe.es/gazeta/dias/1802/03/12/pdfs/GMD-1802-21.pdf#page=3","Abrir facsímil")</f>
        <v>Abrir facsímil</v>
      </c>
      <c r="K5525" s="15" t="s">
        <v>23</v>
      </c>
    </row>
    <row r="5526" spans="1:11" ht="42" customHeight="1">
      <c r="A5526" s="4" t="s">
        <v>13534</v>
      </c>
      <c r="B5526" s="5" t="s">
        <v>13534</v>
      </c>
      <c r="C5526" s="5" t="s">
        <v>160</v>
      </c>
      <c r="D5526" s="5" t="s">
        <v>91</v>
      </c>
      <c r="E5526" s="5" t="s">
        <v>232</v>
      </c>
      <c r="F5526" s="9">
        <v>30</v>
      </c>
      <c r="G5526" s="9">
        <v>347</v>
      </c>
      <c r="H5526" s="5" t="s">
        <v>21</v>
      </c>
      <c r="I5526" s="5" t="s">
        <v>13544</v>
      </c>
      <c r="J5526" s="12" t="str">
        <f>HYPERLINK("https://www.boe.es/gazeta/dias/1802/04/13/pdfs/GMD-1802-30.pdf#page=3","Abrir facsímil")</f>
        <v>Abrir facsímil</v>
      </c>
      <c r="K5526" s="15" t="s">
        <v>23</v>
      </c>
    </row>
    <row r="5527" spans="1:11" ht="42" customHeight="1">
      <c r="A5527" s="4" t="s">
        <v>13534</v>
      </c>
      <c r="B5527" s="5" t="s">
        <v>13534</v>
      </c>
      <c r="C5527" s="5" t="s">
        <v>18</v>
      </c>
      <c r="D5527" s="5" t="s">
        <v>19</v>
      </c>
      <c r="E5527" s="5" t="s">
        <v>1959</v>
      </c>
      <c r="F5527" s="9">
        <v>34</v>
      </c>
      <c r="G5527" s="9">
        <v>392</v>
      </c>
      <c r="H5527" s="5" t="s">
        <v>21</v>
      </c>
      <c r="I5527" s="5" t="s">
        <v>13545</v>
      </c>
      <c r="J5527" s="12" t="str">
        <f>HYPERLINK("https://www.boe.es/gazeta/dias/1802/04/27/pdfs/GMD-1802-34.pdf#page=4","Abrir facsímil")</f>
        <v>Abrir facsímil</v>
      </c>
      <c r="K5527" s="15" t="s">
        <v>23</v>
      </c>
    </row>
    <row r="5528" spans="1:11" ht="42" customHeight="1">
      <c r="A5528" s="4" t="s">
        <v>13534</v>
      </c>
      <c r="B5528" s="5" t="s">
        <v>13534</v>
      </c>
      <c r="C5528" s="5" t="s">
        <v>35</v>
      </c>
      <c r="D5528" s="5" t="s">
        <v>36</v>
      </c>
      <c r="E5528" s="5" t="s">
        <v>172</v>
      </c>
      <c r="F5528" s="9">
        <v>35</v>
      </c>
      <c r="G5528" s="9">
        <v>406</v>
      </c>
      <c r="H5528" s="5" t="s">
        <v>21</v>
      </c>
      <c r="I5528" s="5" t="s">
        <v>13546</v>
      </c>
      <c r="J5528" s="12" t="str">
        <f>HYPERLINK("https://www.boe.es/gazeta/dias/1802/04/30/pdfs/GMD-1802-35.pdf#page=6","Abrir facsímil")</f>
        <v>Abrir facsímil</v>
      </c>
      <c r="K5528" s="15" t="s">
        <v>23</v>
      </c>
    </row>
    <row r="5529" spans="1:11" ht="42" customHeight="1">
      <c r="A5529" s="4" t="s">
        <v>13534</v>
      </c>
      <c r="B5529" s="5" t="s">
        <v>13534</v>
      </c>
      <c r="C5529" s="5" t="s">
        <v>35</v>
      </c>
      <c r="D5529" s="5" t="s">
        <v>36</v>
      </c>
      <c r="E5529" s="5" t="s">
        <v>631</v>
      </c>
      <c r="F5529" s="9">
        <v>36</v>
      </c>
      <c r="G5529" s="9">
        <v>424</v>
      </c>
      <c r="H5529" s="5" t="s">
        <v>21</v>
      </c>
      <c r="I5529" s="5" t="s">
        <v>13547</v>
      </c>
      <c r="J5529" s="12" t="str">
        <f>HYPERLINK("https://www.boe.es/gazeta/dias/1802/05/04/pdfs/GMD-1802-36.pdf#page=4","Abrir facsímil")</f>
        <v>Abrir facsímil</v>
      </c>
      <c r="K5529" s="15" t="s">
        <v>23</v>
      </c>
    </row>
    <row r="5530" spans="1:11" ht="42" customHeight="1">
      <c r="A5530" s="4" t="s">
        <v>13534</v>
      </c>
      <c r="B5530" s="5" t="s">
        <v>13534</v>
      </c>
      <c r="C5530" s="5" t="s">
        <v>90</v>
      </c>
      <c r="D5530" s="5" t="s">
        <v>91</v>
      </c>
      <c r="E5530" s="5" t="s">
        <v>642</v>
      </c>
      <c r="F5530" s="9">
        <v>51</v>
      </c>
      <c r="G5530" s="9">
        <v>622</v>
      </c>
      <c r="H5530" s="5" t="s">
        <v>21</v>
      </c>
      <c r="I5530" s="5" t="s">
        <v>13548</v>
      </c>
      <c r="J5530" s="12" t="str">
        <f>HYPERLINK("https://www.boe.es/gazeta/dias/1802/06/25/pdfs/GMD-1802-51.pdf#page=10","Abrir facsímil")</f>
        <v>Abrir facsímil</v>
      </c>
      <c r="K5530" s="15" t="s">
        <v>23</v>
      </c>
    </row>
    <row r="5531" spans="1:11" ht="42" customHeight="1">
      <c r="A5531" s="4" t="s">
        <v>13534</v>
      </c>
      <c r="B5531" s="5" t="s">
        <v>13534</v>
      </c>
      <c r="C5531" s="5" t="s">
        <v>35</v>
      </c>
      <c r="D5531" s="5" t="s">
        <v>36</v>
      </c>
      <c r="E5531" s="5" t="s">
        <v>192</v>
      </c>
      <c r="F5531" s="9">
        <v>53</v>
      </c>
      <c r="G5531" s="9">
        <v>640</v>
      </c>
      <c r="H5531" s="5" t="s">
        <v>21</v>
      </c>
      <c r="I5531" s="5" t="s">
        <v>13549</v>
      </c>
      <c r="J5531" s="12" t="str">
        <f>HYPERLINK("https://www.boe.es/gazeta/dias/1802/07/02/pdfs/GMD-1802-53.pdf#page=8","Abrir facsímil")</f>
        <v>Abrir facsímil</v>
      </c>
      <c r="K5531" s="15" t="s">
        <v>23</v>
      </c>
    </row>
    <row r="5532" spans="1:11" ht="42" customHeight="1">
      <c r="A5532" s="4" t="s">
        <v>13534</v>
      </c>
      <c r="B5532" s="5" t="s">
        <v>13534</v>
      </c>
      <c r="C5532" s="5" t="s">
        <v>29</v>
      </c>
      <c r="D5532" s="5" t="s">
        <v>30</v>
      </c>
      <c r="E5532" s="5" t="s">
        <v>1749</v>
      </c>
      <c r="F5532" s="9">
        <v>60</v>
      </c>
      <c r="G5532" s="9">
        <v>724</v>
      </c>
      <c r="H5532" s="5" t="s">
        <v>21</v>
      </c>
      <c r="I5532" s="5" t="s">
        <v>13550</v>
      </c>
      <c r="J5532" s="12" t="str">
        <f>HYPERLINK("https://www.boe.es/gazeta/dias/1802/07/23/pdfs/GMD-1802-60.pdf#page=8","Abrir facsímil")</f>
        <v>Abrir facsímil</v>
      </c>
      <c r="K5532" s="15" t="s">
        <v>23</v>
      </c>
    </row>
    <row r="5533" spans="1:11" ht="42" customHeight="1">
      <c r="A5533" s="4" t="s">
        <v>13534</v>
      </c>
      <c r="B5533" s="5" t="s">
        <v>13534</v>
      </c>
      <c r="C5533" s="5" t="s">
        <v>55</v>
      </c>
      <c r="D5533" s="5" t="s">
        <v>56</v>
      </c>
      <c r="E5533" s="5" t="s">
        <v>1749</v>
      </c>
      <c r="F5533" s="9">
        <v>60</v>
      </c>
      <c r="G5533" s="9">
        <v>725</v>
      </c>
      <c r="H5533" s="5" t="s">
        <v>21</v>
      </c>
      <c r="I5533" s="5" t="s">
        <v>13551</v>
      </c>
      <c r="J5533" s="12" t="str">
        <f>HYPERLINK("https://www.boe.es/gazeta/dias/1802/07/23/pdfs/GMD-1802-60.pdf#page=9","Abrir facsímil")</f>
        <v>Abrir facsímil</v>
      </c>
      <c r="K5533" s="15" t="s">
        <v>23</v>
      </c>
    </row>
    <row r="5534" spans="1:11" ht="42" customHeight="1">
      <c r="A5534" s="4" t="s">
        <v>13552</v>
      </c>
      <c r="B5534" s="5" t="s">
        <v>13552</v>
      </c>
      <c r="C5534" s="5" t="s">
        <v>35</v>
      </c>
      <c r="D5534" s="5" t="s">
        <v>36</v>
      </c>
      <c r="E5534" s="5" t="s">
        <v>114</v>
      </c>
      <c r="F5534" s="9">
        <v>82</v>
      </c>
      <c r="G5534" s="9">
        <v>1008</v>
      </c>
      <c r="H5534" s="5" t="s">
        <v>21</v>
      </c>
      <c r="I5534" s="5" t="s">
        <v>13553</v>
      </c>
      <c r="J5534" s="12" t="str">
        <f>HYPERLINK("https://www.boe.es/gazeta/dias/1802/10/08/pdfs/GMD-1802-82.pdf#page=8","Abrir facsímil")</f>
        <v>Abrir facsímil</v>
      </c>
      <c r="K5534" s="15" t="s">
        <v>23</v>
      </c>
    </row>
    <row r="5535" spans="1:11" ht="42" customHeight="1">
      <c r="A5535" s="4" t="s">
        <v>13534</v>
      </c>
      <c r="B5535" s="5" t="s">
        <v>13534</v>
      </c>
      <c r="C5535" s="5" t="s">
        <v>18</v>
      </c>
      <c r="D5535" s="5" t="s">
        <v>19</v>
      </c>
      <c r="E5535" s="5" t="s">
        <v>44</v>
      </c>
      <c r="F5535" s="9">
        <v>99</v>
      </c>
      <c r="G5535" s="9">
        <v>1219</v>
      </c>
      <c r="H5535" s="5" t="s">
        <v>21</v>
      </c>
      <c r="I5535" s="5" t="s">
        <v>13554</v>
      </c>
      <c r="J5535" s="12" t="str">
        <f>HYPERLINK("https://www.boe.es/gazeta/dias/1802/12/07/pdfs/GMD-1802-99.pdf#page=3","Abrir facsímil")</f>
        <v>Abrir facsímil</v>
      </c>
      <c r="K5535" s="15" t="s">
        <v>23</v>
      </c>
    </row>
    <row r="5536" spans="1:11" ht="42" customHeight="1">
      <c r="A5536" s="4" t="s">
        <v>13534</v>
      </c>
      <c r="B5536" s="5" t="s">
        <v>13534</v>
      </c>
      <c r="C5536" s="5" t="s">
        <v>35</v>
      </c>
      <c r="D5536" s="5" t="s">
        <v>36</v>
      </c>
      <c r="E5536" s="5" t="s">
        <v>604</v>
      </c>
      <c r="F5536" s="9">
        <v>100</v>
      </c>
      <c r="G5536" s="9">
        <v>1231</v>
      </c>
      <c r="H5536" s="5" t="s">
        <v>21</v>
      </c>
      <c r="I5536" s="5" t="s">
        <v>13555</v>
      </c>
      <c r="J5536" s="12" t="str">
        <f>HYPERLINK("https://www.boe.es/gazeta/dias/1802/12/10/pdfs/GMD-1802-100.pdf#page=3","Abrir facsímil")</f>
        <v>Abrir facsímil</v>
      </c>
      <c r="K5536" s="15" t="s">
        <v>23</v>
      </c>
    </row>
    <row r="5537" spans="1:11" ht="42" customHeight="1">
      <c r="A5537" s="4" t="s">
        <v>13534</v>
      </c>
      <c r="B5537" s="5" t="s">
        <v>13534</v>
      </c>
      <c r="C5537" s="5" t="s">
        <v>35</v>
      </c>
      <c r="D5537" s="5" t="s">
        <v>36</v>
      </c>
      <c r="E5537" s="5" t="s">
        <v>754</v>
      </c>
      <c r="F5537" s="9">
        <v>101</v>
      </c>
      <c r="G5537" s="9">
        <v>1239</v>
      </c>
      <c r="H5537" s="5" t="s">
        <v>21</v>
      </c>
      <c r="I5537" s="5" t="s">
        <v>13556</v>
      </c>
      <c r="J5537" s="12" t="str">
        <f>HYPERLINK("https://www.boe.es/gazeta/dias/1802/12/14/pdfs/GMD-1802-101.pdf#page=3","Abrir facsímil")</f>
        <v>Abrir facsímil</v>
      </c>
      <c r="K5537" s="15" t="s">
        <v>23</v>
      </c>
    </row>
    <row r="5538" spans="1:11" ht="42" customHeight="1">
      <c r="A5538" s="4" t="s">
        <v>13557</v>
      </c>
      <c r="B5538" s="5" t="s">
        <v>13558</v>
      </c>
      <c r="C5538" s="5" t="s">
        <v>29</v>
      </c>
      <c r="D5538" s="5" t="s">
        <v>30</v>
      </c>
      <c r="E5538" s="5" t="s">
        <v>491</v>
      </c>
      <c r="F5538" s="9">
        <v>57</v>
      </c>
      <c r="G5538" s="9">
        <v>689</v>
      </c>
      <c r="H5538" s="5" t="s">
        <v>21</v>
      </c>
      <c r="I5538" s="5" t="s">
        <v>13559</v>
      </c>
      <c r="J5538" s="12" t="str">
        <f>HYPERLINK("https://www.boe.es/gazeta/dias/1802/07/16/pdfs/GMD-1802-57.pdf#page=9","Abrir facsímil")</f>
        <v>Abrir facsímil</v>
      </c>
      <c r="K5538" s="15" t="s">
        <v>23</v>
      </c>
    </row>
    <row r="5539" spans="1:11" ht="42" customHeight="1">
      <c r="A5539" s="4" t="s">
        <v>13560</v>
      </c>
      <c r="B5539" s="5" t="s">
        <v>13561</v>
      </c>
      <c r="C5539" s="5" t="s">
        <v>18</v>
      </c>
      <c r="D5539" s="5" t="s">
        <v>19</v>
      </c>
      <c r="E5539" s="5" t="s">
        <v>49</v>
      </c>
      <c r="F5539" s="9">
        <v>83</v>
      </c>
      <c r="G5539" s="9">
        <v>1024</v>
      </c>
      <c r="H5539" s="5" t="s">
        <v>21</v>
      </c>
      <c r="I5539" s="5" t="s">
        <v>13562</v>
      </c>
      <c r="J5539" s="12" t="str">
        <f>HYPERLINK("https://www.boe.es/gazeta/dias/1802/10/12/pdfs/GMD-1802-83.pdf#page=12","Abrir facsímil")</f>
        <v>Abrir facsímil</v>
      </c>
      <c r="K5539" s="15" t="s">
        <v>23</v>
      </c>
    </row>
    <row r="5540" spans="1:11" ht="42" customHeight="1">
      <c r="A5540" s="4" t="s">
        <v>13563</v>
      </c>
      <c r="B5540" s="5" t="s">
        <v>13564</v>
      </c>
      <c r="C5540" s="5" t="s">
        <v>29</v>
      </c>
      <c r="D5540" s="5" t="s">
        <v>30</v>
      </c>
      <c r="E5540" s="5" t="s">
        <v>86</v>
      </c>
      <c r="F5540" s="9">
        <v>26</v>
      </c>
      <c r="G5540" s="9">
        <v>298</v>
      </c>
      <c r="H5540" s="5" t="s">
        <v>21</v>
      </c>
      <c r="I5540" s="5" t="s">
        <v>13565</v>
      </c>
      <c r="J5540" s="12" t="str">
        <f>HYPERLINK("https://www.boe.es/gazeta/dias/1802/03/30/pdfs/GMD-1802-26.pdf#page=10","Abrir facsímil")</f>
        <v>Abrir facsímil</v>
      </c>
      <c r="K5540" s="15" t="s">
        <v>23</v>
      </c>
    </row>
    <row r="5541" spans="1:11" ht="42" customHeight="1">
      <c r="A5541" s="4" t="s">
        <v>13566</v>
      </c>
      <c r="B5541" s="5" t="s">
        <v>13566</v>
      </c>
      <c r="C5541" s="5" t="s">
        <v>18</v>
      </c>
      <c r="D5541" s="5" t="s">
        <v>19</v>
      </c>
      <c r="E5541" s="5" t="s">
        <v>219</v>
      </c>
      <c r="F5541" s="9">
        <v>81</v>
      </c>
      <c r="G5541" s="9">
        <v>998</v>
      </c>
      <c r="H5541" s="5" t="s">
        <v>21</v>
      </c>
      <c r="I5541" s="5" t="s">
        <v>13567</v>
      </c>
      <c r="J5541" s="12" t="str">
        <f>HYPERLINK("https://www.boe.es/gazeta/dias/1802/10/05/pdfs/GMD-1802-81.pdf#page=10","Abrir facsímil")</f>
        <v>Abrir facsímil</v>
      </c>
      <c r="K5541" s="15" t="s">
        <v>23</v>
      </c>
    </row>
    <row r="5542" spans="1:11" ht="42" customHeight="1">
      <c r="A5542" s="4" t="s">
        <v>13568</v>
      </c>
      <c r="B5542" s="5" t="s">
        <v>13569</v>
      </c>
      <c r="C5542" s="5" t="s">
        <v>29</v>
      </c>
      <c r="D5542" s="5" t="s">
        <v>30</v>
      </c>
      <c r="E5542" s="5" t="s">
        <v>299</v>
      </c>
      <c r="F5542" s="9">
        <v>19</v>
      </c>
      <c r="G5542" s="9">
        <v>211</v>
      </c>
      <c r="H5542" s="5" t="s">
        <v>21</v>
      </c>
      <c r="I5542" s="5" t="s">
        <v>13570</v>
      </c>
      <c r="J5542" s="12" t="str">
        <f>HYPERLINK("https://www.boe.es/gazeta/dias/1802/03/05/pdfs/GMD-1802-19.pdf#page=11","Abrir facsímil")</f>
        <v>Abrir facsímil</v>
      </c>
      <c r="K5542" s="15" t="s">
        <v>23</v>
      </c>
    </row>
    <row r="5543" spans="1:11" ht="42" customHeight="1">
      <c r="A5543" s="4" t="s">
        <v>13571</v>
      </c>
      <c r="B5543" s="5" t="s">
        <v>13572</v>
      </c>
      <c r="C5543" s="5" t="s">
        <v>29</v>
      </c>
      <c r="D5543" s="5" t="s">
        <v>30</v>
      </c>
      <c r="E5543" s="5" t="s">
        <v>206</v>
      </c>
      <c r="F5543" s="9">
        <v>22</v>
      </c>
      <c r="G5543" s="9">
        <v>242</v>
      </c>
      <c r="H5543" s="5" t="s">
        <v>21</v>
      </c>
      <c r="I5543" s="5" t="s">
        <v>13573</v>
      </c>
      <c r="J5543" s="12" t="str">
        <f>HYPERLINK("https://www.boe.es/gazeta/dias/1802/03/16/pdfs/GMD-1802-22.pdf#page=10","Abrir facsímil")</f>
        <v>Abrir facsímil</v>
      </c>
      <c r="K5543" s="15" t="s">
        <v>23</v>
      </c>
    </row>
    <row r="5544" spans="1:11" ht="42" customHeight="1">
      <c r="A5544" s="4" t="s">
        <v>13574</v>
      </c>
      <c r="B5544" s="5" t="s">
        <v>13575</v>
      </c>
      <c r="C5544" s="5" t="s">
        <v>18</v>
      </c>
      <c r="D5544" s="5" t="s">
        <v>19</v>
      </c>
      <c r="E5544" s="5" t="s">
        <v>20</v>
      </c>
      <c r="F5544" s="9">
        <v>84</v>
      </c>
      <c r="G5544" s="9">
        <v>1044</v>
      </c>
      <c r="H5544" s="5" t="s">
        <v>21</v>
      </c>
      <c r="I5544" s="5" t="s">
        <v>13576</v>
      </c>
      <c r="J5544" s="12" t="str">
        <f>HYPERLINK("https://www.boe.es/gazeta/dias/1802/10/15/pdfs/GMD-1802-84.pdf#page=12","Abrir facsímil")</f>
        <v>Abrir facsímil</v>
      </c>
      <c r="K5544" s="15" t="s">
        <v>23</v>
      </c>
    </row>
    <row r="5545" spans="1:11" ht="42" customHeight="1">
      <c r="A5545" s="4" t="s">
        <v>13577</v>
      </c>
      <c r="B5545" s="5" t="s">
        <v>13578</v>
      </c>
      <c r="C5545" s="5" t="s">
        <v>90</v>
      </c>
      <c r="D5545" s="5" t="s">
        <v>91</v>
      </c>
      <c r="E5545" s="5" t="s">
        <v>1332</v>
      </c>
      <c r="F5545" s="9">
        <v>4</v>
      </c>
      <c r="G5545" s="9">
        <v>38</v>
      </c>
      <c r="H5545" s="5" t="s">
        <v>21</v>
      </c>
      <c r="I5545" s="5" t="s">
        <v>13579</v>
      </c>
      <c r="J5545" s="12" t="str">
        <f>HYPERLINK("https://www.boe.es/gazeta/dias/1802/01/12/pdfs/GMD-1802-4.pdf#page=10","Abrir facsímil")</f>
        <v>Abrir facsímil</v>
      </c>
      <c r="K5545" s="15" t="s">
        <v>23</v>
      </c>
    </row>
    <row r="5546" spans="1:11" ht="42" customHeight="1">
      <c r="A5546" s="4" t="s">
        <v>13580</v>
      </c>
      <c r="B5546" s="5" t="s">
        <v>13581</v>
      </c>
      <c r="C5546" s="5" t="s">
        <v>90</v>
      </c>
      <c r="D5546" s="5" t="s">
        <v>91</v>
      </c>
      <c r="E5546" s="5" t="s">
        <v>1332</v>
      </c>
      <c r="F5546" s="9">
        <v>4</v>
      </c>
      <c r="G5546" s="9">
        <v>38</v>
      </c>
      <c r="H5546" s="5" t="s">
        <v>21</v>
      </c>
      <c r="I5546" s="5" t="s">
        <v>13582</v>
      </c>
      <c r="J5546" s="12" t="str">
        <f>HYPERLINK("https://www.boe.es/gazeta/dias/1802/01/12/pdfs/GMD-1802-4.pdf#page=10","Abrir facsímil")</f>
        <v>Abrir facsímil</v>
      </c>
      <c r="K5546" s="15" t="s">
        <v>23</v>
      </c>
    </row>
    <row r="5547" spans="1:11" ht="42" customHeight="1">
      <c r="A5547" s="4" t="s">
        <v>13583</v>
      </c>
      <c r="B5547" s="5" t="s">
        <v>13584</v>
      </c>
      <c r="C5547" s="5" t="s">
        <v>29</v>
      </c>
      <c r="D5547" s="5" t="s">
        <v>30</v>
      </c>
      <c r="E5547" s="5" t="s">
        <v>670</v>
      </c>
      <c r="F5547" s="9">
        <v>40</v>
      </c>
      <c r="G5547" s="9">
        <v>481</v>
      </c>
      <c r="H5547" s="5" t="s">
        <v>21</v>
      </c>
      <c r="I5547" s="5" t="s">
        <v>13585</v>
      </c>
      <c r="J5547" s="12" t="str">
        <f>HYPERLINK("https://www.boe.es/gazeta/dias/1802/05/18/pdfs/GMD-1802-40.pdf#page=9","Abrir facsímil")</f>
        <v>Abrir facsímil</v>
      </c>
      <c r="K5547" s="15" t="s">
        <v>23</v>
      </c>
    </row>
    <row r="5548" spans="1:11" ht="42" customHeight="1">
      <c r="A5548" s="4" t="s">
        <v>13586</v>
      </c>
      <c r="B5548" s="5" t="s">
        <v>13587</v>
      </c>
      <c r="C5548" s="5" t="s">
        <v>90</v>
      </c>
      <c r="D5548" s="5" t="s">
        <v>91</v>
      </c>
      <c r="E5548" s="5" t="s">
        <v>631</v>
      </c>
      <c r="F5548" s="9">
        <v>36</v>
      </c>
      <c r="G5548" s="9">
        <v>430</v>
      </c>
      <c r="H5548" s="5" t="s">
        <v>21</v>
      </c>
      <c r="I5548" s="5" t="s">
        <v>13588</v>
      </c>
      <c r="J5548" s="12" t="str">
        <f>HYPERLINK("https://www.boe.es/gazeta/dias/1802/05/04/pdfs/GMD-1802-36.pdf#page=10","Abrir facsímil")</f>
        <v>Abrir facsímil</v>
      </c>
      <c r="K5548" s="15" t="s">
        <v>23</v>
      </c>
    </row>
    <row r="5549" spans="1:11" ht="42" customHeight="1">
      <c r="A5549" s="4" t="s">
        <v>13589</v>
      </c>
      <c r="B5549" s="5" t="s">
        <v>13589</v>
      </c>
      <c r="C5549" s="5" t="s">
        <v>29</v>
      </c>
      <c r="D5549" s="5" t="s">
        <v>30</v>
      </c>
      <c r="E5549" s="5" t="s">
        <v>73</v>
      </c>
      <c r="F5549" s="9">
        <v>102</v>
      </c>
      <c r="G5549" s="9">
        <v>1252</v>
      </c>
      <c r="H5549" s="5" t="s">
        <v>21</v>
      </c>
      <c r="I5549" s="5" t="s">
        <v>13590</v>
      </c>
      <c r="J5549" s="12" t="str">
        <f>HYPERLINK("https://www.boe.es/gazeta/dias/1802/12/17/pdfs/GMD-1802-102.pdf#page=8","Abrir facsímil")</f>
        <v>Abrir facsímil</v>
      </c>
      <c r="K5549" s="15" t="s">
        <v>23</v>
      </c>
    </row>
    <row r="5550" spans="1:11" ht="42" customHeight="1">
      <c r="A5550" s="4" t="s">
        <v>13591</v>
      </c>
      <c r="B5550" s="5" t="s">
        <v>13591</v>
      </c>
      <c r="C5550" s="5" t="s">
        <v>18</v>
      </c>
      <c r="D5550" s="5" t="s">
        <v>19</v>
      </c>
      <c r="E5550" s="5" t="s">
        <v>20</v>
      </c>
      <c r="F5550" s="9">
        <v>84</v>
      </c>
      <c r="G5550" s="9">
        <v>1045</v>
      </c>
      <c r="H5550" s="5" t="s">
        <v>21</v>
      </c>
      <c r="I5550" s="5" t="s">
        <v>13592</v>
      </c>
      <c r="J5550" s="12" t="str">
        <f>HYPERLINK("https://www.boe.es/gazeta/dias/1802/10/15/pdfs/GMD-1802-84.pdf#page=13","Abrir facsímil")</f>
        <v>Abrir facsímil</v>
      </c>
      <c r="K5550" s="15" t="s">
        <v>23</v>
      </c>
    </row>
    <row r="5551" spans="1:11" ht="42" customHeight="1">
      <c r="A5551" s="4" t="s">
        <v>13593</v>
      </c>
      <c r="B5551" s="5" t="s">
        <v>13594</v>
      </c>
      <c r="C5551" s="5" t="s">
        <v>90</v>
      </c>
      <c r="D5551" s="5" t="s">
        <v>91</v>
      </c>
      <c r="E5551" s="5" t="s">
        <v>1051</v>
      </c>
      <c r="F5551" s="9">
        <v>43</v>
      </c>
      <c r="G5551" s="9">
        <v>519</v>
      </c>
      <c r="H5551" s="5" t="s">
        <v>21</v>
      </c>
      <c r="I5551" s="5" t="s">
        <v>13595</v>
      </c>
      <c r="J5551" s="12" t="str">
        <f>HYPERLINK("https://www.boe.es/gazeta/dias/1802/05/28/pdfs/GMD-1802-43.pdf#page=11","Abrir facsímil")</f>
        <v>Abrir facsímil</v>
      </c>
      <c r="K5551" s="15" t="s">
        <v>23</v>
      </c>
    </row>
    <row r="5552" spans="1:11" ht="42" customHeight="1">
      <c r="A5552" s="4" t="s">
        <v>13596</v>
      </c>
      <c r="B5552" s="5" t="s">
        <v>13597</v>
      </c>
      <c r="C5552" s="5" t="s">
        <v>29</v>
      </c>
      <c r="D5552" s="5" t="s">
        <v>30</v>
      </c>
      <c r="E5552" s="5" t="s">
        <v>71</v>
      </c>
      <c r="F5552" s="9">
        <v>21</v>
      </c>
      <c r="G5552" s="9">
        <v>233</v>
      </c>
      <c r="H5552" s="5" t="s">
        <v>21</v>
      </c>
      <c r="I5552" s="5" t="s">
        <v>13598</v>
      </c>
      <c r="J5552" s="12" t="str">
        <f>HYPERLINK("https://www.boe.es/gazeta/dias/1802/03/12/pdfs/GMD-1802-21.pdf#page=9","Abrir facsímil")</f>
        <v>Abrir facsímil</v>
      </c>
      <c r="K5552" s="15" t="s">
        <v>23</v>
      </c>
    </row>
    <row r="5553" spans="1:11" ht="42" customHeight="1">
      <c r="A5553" s="4" t="s">
        <v>13596</v>
      </c>
      <c r="B5553" s="5" t="s">
        <v>13597</v>
      </c>
      <c r="C5553" s="5" t="s">
        <v>18</v>
      </c>
      <c r="D5553" s="5" t="s">
        <v>19</v>
      </c>
      <c r="E5553" s="5" t="s">
        <v>206</v>
      </c>
      <c r="F5553" s="9">
        <v>22</v>
      </c>
      <c r="G5553" s="9">
        <v>243</v>
      </c>
      <c r="H5553" s="5" t="s">
        <v>21</v>
      </c>
      <c r="I5553" s="5" t="s">
        <v>13599</v>
      </c>
      <c r="J5553" s="12" t="str">
        <f>HYPERLINK("https://www.boe.es/gazeta/dias/1802/03/16/pdfs/GMD-1802-22.pdf#page=11","Abrir facsímil")</f>
        <v>Abrir facsímil</v>
      </c>
      <c r="K5553" s="15" t="s">
        <v>23</v>
      </c>
    </row>
    <row r="5554" spans="1:11" ht="42" customHeight="1">
      <c r="A5554" s="4" t="s">
        <v>13596</v>
      </c>
      <c r="B5554" s="5" t="s">
        <v>13597</v>
      </c>
      <c r="C5554" s="5" t="s">
        <v>42</v>
      </c>
      <c r="D5554" s="5" t="s">
        <v>43</v>
      </c>
      <c r="E5554" s="5" t="s">
        <v>44</v>
      </c>
      <c r="F5554" s="9">
        <v>99</v>
      </c>
      <c r="G5554" s="9" t="s">
        <v>548</v>
      </c>
      <c r="H5554" s="5" t="s">
        <v>21</v>
      </c>
      <c r="I5554" s="5" t="s">
        <v>13600</v>
      </c>
      <c r="J5554" s="12" t="str">
        <f>HYPERLINK("https://www.boe.es/gazeta/dias/1802/12/07/pdfs/GMD-D-1802-99.pdf#page=12","Abrir facsímil")</f>
        <v>Abrir facsímil</v>
      </c>
      <c r="K5554" s="15" t="s">
        <v>23</v>
      </c>
    </row>
    <row r="5555" spans="1:11" ht="42" customHeight="1">
      <c r="A5555" s="4" t="s">
        <v>13601</v>
      </c>
      <c r="B5555" s="5" t="s">
        <v>13602</v>
      </c>
      <c r="C5555" s="5" t="s">
        <v>29</v>
      </c>
      <c r="D5555" s="5" t="s">
        <v>30</v>
      </c>
      <c r="E5555" s="5" t="s">
        <v>1588</v>
      </c>
      <c r="F5555" s="9">
        <v>18</v>
      </c>
      <c r="G5555" s="9">
        <v>197</v>
      </c>
      <c r="H5555" s="5" t="s">
        <v>21</v>
      </c>
      <c r="I5555" s="5" t="s">
        <v>13603</v>
      </c>
      <c r="J5555" s="12" t="str">
        <f>HYPERLINK("https://www.boe.es/gazeta/dias/1802/03/02/pdfs/GMD-1802-18.pdf#page=9","Abrir facsímil")</f>
        <v>Abrir facsímil</v>
      </c>
      <c r="K5555" s="15" t="s">
        <v>23</v>
      </c>
    </row>
    <row r="5556" spans="1:11" ht="42" customHeight="1">
      <c r="A5556" s="4" t="s">
        <v>13604</v>
      </c>
      <c r="B5556" s="5" t="s">
        <v>13605</v>
      </c>
      <c r="C5556" s="5" t="s">
        <v>572</v>
      </c>
      <c r="D5556" s="5" t="s">
        <v>573</v>
      </c>
      <c r="E5556" s="5" t="s">
        <v>574</v>
      </c>
      <c r="F5556" s="9" t="s">
        <v>575</v>
      </c>
      <c r="G5556" s="9">
        <v>713</v>
      </c>
      <c r="H5556" s="5" t="s">
        <v>21</v>
      </c>
      <c r="I5556" s="5" t="s">
        <v>13606</v>
      </c>
      <c r="J5556" s="12" t="str">
        <f>HYPERLINK("https://www.boe.es/gazeta/dias/1802/07/21/pdfs/GMD-1802-59E.pdf#page=9","Abrir facsímil")</f>
        <v>Abrir facsímil</v>
      </c>
      <c r="K5556" s="15" t="s">
        <v>23</v>
      </c>
    </row>
    <row r="5557" spans="1:11" ht="42" customHeight="1">
      <c r="A5557" s="4" t="s">
        <v>13604</v>
      </c>
      <c r="B5557" s="5" t="s">
        <v>13605</v>
      </c>
      <c r="C5557" s="5" t="s">
        <v>18</v>
      </c>
      <c r="D5557" s="5" t="s">
        <v>19</v>
      </c>
      <c r="E5557" s="5" t="s">
        <v>49</v>
      </c>
      <c r="F5557" s="9">
        <v>83</v>
      </c>
      <c r="G5557" s="9">
        <v>1022</v>
      </c>
      <c r="H5557" s="5" t="s">
        <v>21</v>
      </c>
      <c r="I5557" s="5" t="s">
        <v>13607</v>
      </c>
      <c r="J5557" s="12" t="str">
        <f>HYPERLINK("https://www.boe.es/gazeta/dias/1802/10/12/pdfs/GMD-1802-83.pdf#page=10","Abrir facsímil")</f>
        <v>Abrir facsímil</v>
      </c>
      <c r="K5557" s="15" t="s">
        <v>23</v>
      </c>
    </row>
    <row r="5558" spans="1:11" ht="42" customHeight="1">
      <c r="A5558" s="4" t="s">
        <v>13608</v>
      </c>
      <c r="B5558" s="5" t="s">
        <v>13609</v>
      </c>
      <c r="C5558" s="5" t="s">
        <v>35</v>
      </c>
      <c r="D5558" s="5" t="s">
        <v>36</v>
      </c>
      <c r="E5558" s="5" t="s">
        <v>1618</v>
      </c>
      <c r="F5558" s="9">
        <v>31</v>
      </c>
      <c r="G5558" s="9">
        <v>358</v>
      </c>
      <c r="H5558" s="5" t="s">
        <v>21</v>
      </c>
      <c r="I5558" s="5" t="s">
        <v>13610</v>
      </c>
      <c r="J5558" s="12" t="str">
        <f>HYPERLINK("https://www.boe.es/gazeta/dias/1802/04/16/pdfs/GMD-1802-31.pdf#page=2","Abrir facsímil")</f>
        <v>Abrir facsímil</v>
      </c>
      <c r="K5558" s="15" t="s">
        <v>23</v>
      </c>
    </row>
    <row r="5559" spans="1:11" ht="42" customHeight="1">
      <c r="A5559" s="4" t="s">
        <v>13608</v>
      </c>
      <c r="B5559" s="5" t="s">
        <v>13609</v>
      </c>
      <c r="C5559" s="5" t="s">
        <v>29</v>
      </c>
      <c r="D5559" s="5" t="s">
        <v>30</v>
      </c>
      <c r="E5559" s="5" t="s">
        <v>631</v>
      </c>
      <c r="F5559" s="9">
        <v>36</v>
      </c>
      <c r="G5559" s="9">
        <v>423</v>
      </c>
      <c r="H5559" s="5" t="s">
        <v>21</v>
      </c>
      <c r="I5559" s="5" t="s">
        <v>13611</v>
      </c>
      <c r="J5559" s="12" t="str">
        <f>HYPERLINK("https://www.boe.es/gazeta/dias/1802/05/04/pdfs/GMD-1802-36.pdf#page=3","Abrir facsímil")</f>
        <v>Abrir facsímil</v>
      </c>
      <c r="K5559" s="15" t="s">
        <v>23</v>
      </c>
    </row>
    <row r="5560" spans="1:11" ht="42" customHeight="1">
      <c r="A5560" s="4" t="s">
        <v>13608</v>
      </c>
      <c r="B5560" s="5" t="s">
        <v>13609</v>
      </c>
      <c r="C5560" s="5" t="s">
        <v>35</v>
      </c>
      <c r="D5560" s="5" t="s">
        <v>36</v>
      </c>
      <c r="E5560" s="5" t="s">
        <v>429</v>
      </c>
      <c r="F5560" s="9">
        <v>91</v>
      </c>
      <c r="G5560" s="9">
        <v>1122</v>
      </c>
      <c r="H5560" s="5" t="s">
        <v>21</v>
      </c>
      <c r="I5560" s="5" t="s">
        <v>13612</v>
      </c>
      <c r="J5560" s="12" t="str">
        <f>HYPERLINK("https://www.boe.es/gazeta/dias/1802/11/09/pdfs/GMD-1802-91.pdf#page=2","Abrir facsímil")</f>
        <v>Abrir facsímil</v>
      </c>
      <c r="K5560" s="15" t="s">
        <v>23</v>
      </c>
    </row>
    <row r="5561" spans="1:11" ht="42" customHeight="1">
      <c r="A5561" s="4" t="s">
        <v>13613</v>
      </c>
      <c r="B5561" s="5" t="s">
        <v>13614</v>
      </c>
      <c r="C5561" s="5" t="s">
        <v>29</v>
      </c>
      <c r="D5561" s="5" t="s">
        <v>30</v>
      </c>
      <c r="E5561" s="5" t="s">
        <v>109</v>
      </c>
      <c r="F5561" s="9">
        <v>10</v>
      </c>
      <c r="G5561" s="9">
        <v>94</v>
      </c>
      <c r="H5561" s="5" t="s">
        <v>21</v>
      </c>
      <c r="I5561" s="5" t="s">
        <v>13615</v>
      </c>
      <c r="J5561" s="12" t="str">
        <f>HYPERLINK("https://www.boe.es/gazeta/dias/1802/02/02/pdfs/GMD-1802-10.pdf#page=2","Abrir facsímil")</f>
        <v>Abrir facsímil</v>
      </c>
      <c r="K5561" s="15" t="s">
        <v>23</v>
      </c>
    </row>
    <row r="5562" spans="1:11" ht="42" customHeight="1">
      <c r="A5562" s="4" t="s">
        <v>13616</v>
      </c>
      <c r="B5562" s="5" t="s">
        <v>13617</v>
      </c>
      <c r="C5562" s="5" t="s">
        <v>29</v>
      </c>
      <c r="D5562" s="5" t="s">
        <v>30</v>
      </c>
      <c r="E5562" s="5" t="s">
        <v>73</v>
      </c>
      <c r="F5562" s="9">
        <v>102</v>
      </c>
      <c r="G5562" s="9">
        <v>1254</v>
      </c>
      <c r="H5562" s="5" t="s">
        <v>21</v>
      </c>
      <c r="I5562" s="5" t="s">
        <v>13618</v>
      </c>
      <c r="J5562" s="12" t="str">
        <f>HYPERLINK("https://www.boe.es/gazeta/dias/1802/12/17/pdfs/GMD-1802-102.pdf#page=10","Abrir facsímil")</f>
        <v>Abrir facsímil</v>
      </c>
      <c r="K5562" s="15" t="s">
        <v>23</v>
      </c>
    </row>
    <row r="5563" spans="1:11" ht="42" customHeight="1">
      <c r="A5563" s="4" t="s">
        <v>13619</v>
      </c>
      <c r="B5563" s="5" t="s">
        <v>13619</v>
      </c>
      <c r="C5563" s="5" t="s">
        <v>35</v>
      </c>
      <c r="D5563" s="5" t="s">
        <v>36</v>
      </c>
      <c r="E5563" s="5" t="s">
        <v>188</v>
      </c>
      <c r="F5563" s="9">
        <v>49</v>
      </c>
      <c r="G5563" s="9">
        <v>596</v>
      </c>
      <c r="H5563" s="5" t="s">
        <v>21</v>
      </c>
      <c r="I5563" s="5" t="s">
        <v>13620</v>
      </c>
      <c r="J5563" s="12" t="str">
        <f>HYPERLINK("https://www.boe.es/gazeta/dias/1802/06/18/pdfs/GMD-1802-49.pdf#page=8","Abrir facsímil")</f>
        <v>Abrir facsímil</v>
      </c>
      <c r="K5563" s="15" t="s">
        <v>23</v>
      </c>
    </row>
    <row r="5564" spans="1:11" ht="42" customHeight="1">
      <c r="A5564" s="4" t="s">
        <v>13621</v>
      </c>
      <c r="B5564" s="5" t="s">
        <v>13622</v>
      </c>
      <c r="C5564" s="5" t="s">
        <v>29</v>
      </c>
      <c r="D5564" s="5" t="s">
        <v>30</v>
      </c>
      <c r="E5564" s="5" t="s">
        <v>128</v>
      </c>
      <c r="F5564" s="9">
        <v>9</v>
      </c>
      <c r="G5564" s="9">
        <v>89</v>
      </c>
      <c r="H5564" s="5" t="s">
        <v>21</v>
      </c>
      <c r="I5564" s="5" t="s">
        <v>13623</v>
      </c>
      <c r="J5564" s="12" t="str">
        <f>HYPERLINK("https://www.boe.es/gazeta/dias/1802/01/29/pdfs/GMD-1802-9.pdf#page=9","Abrir facsímil")</f>
        <v>Abrir facsímil</v>
      </c>
      <c r="K5564" s="15" t="s">
        <v>23</v>
      </c>
    </row>
    <row r="5565" spans="1:11" ht="42" customHeight="1">
      <c r="A5565" s="4" t="s">
        <v>13624</v>
      </c>
      <c r="B5565" s="5" t="s">
        <v>13625</v>
      </c>
      <c r="C5565" s="5" t="s">
        <v>160</v>
      </c>
      <c r="D5565" s="5" t="s">
        <v>91</v>
      </c>
      <c r="E5565" s="5" t="s">
        <v>258</v>
      </c>
      <c r="F5565" s="9">
        <v>63</v>
      </c>
      <c r="G5565" s="9">
        <v>769</v>
      </c>
      <c r="H5565" s="5" t="s">
        <v>21</v>
      </c>
      <c r="I5565" s="5" t="s">
        <v>13626</v>
      </c>
      <c r="J5565" s="12" t="str">
        <f>HYPERLINK("https://www.boe.es/gazeta/dias/1802/08/03/pdfs/GMD-1802-63.pdf#page=9","Abrir facsímil")</f>
        <v>Abrir facsímil</v>
      </c>
      <c r="K5565" s="15" t="s">
        <v>23</v>
      </c>
    </row>
    <row r="5566" spans="1:11" ht="42" customHeight="1">
      <c r="A5566" s="4" t="s">
        <v>13627</v>
      </c>
      <c r="B5566" s="5" t="s">
        <v>13628</v>
      </c>
      <c r="C5566" s="5" t="s">
        <v>18</v>
      </c>
      <c r="D5566" s="5" t="s">
        <v>19</v>
      </c>
      <c r="E5566" s="5" t="s">
        <v>49</v>
      </c>
      <c r="F5566" s="9">
        <v>83</v>
      </c>
      <c r="G5566" s="9">
        <v>1024</v>
      </c>
      <c r="H5566" s="5" t="s">
        <v>21</v>
      </c>
      <c r="I5566" s="5" t="s">
        <v>13629</v>
      </c>
      <c r="J5566" s="12" t="str">
        <f>HYPERLINK("https://www.boe.es/gazeta/dias/1802/10/12/pdfs/GMD-1802-83.pdf#page=12","Abrir facsímil")</f>
        <v>Abrir facsímil</v>
      </c>
      <c r="K5566" s="15" t="s">
        <v>23</v>
      </c>
    </row>
    <row r="5567" spans="1:11" ht="42" customHeight="1">
      <c r="A5567" s="4" t="s">
        <v>13630</v>
      </c>
      <c r="B5567" s="5" t="s">
        <v>13630</v>
      </c>
      <c r="C5567" s="5" t="s">
        <v>18</v>
      </c>
      <c r="D5567" s="5" t="s">
        <v>19</v>
      </c>
      <c r="E5567" s="5" t="s">
        <v>25</v>
      </c>
      <c r="F5567" s="9">
        <v>44</v>
      </c>
      <c r="G5567" s="9">
        <v>531</v>
      </c>
      <c r="H5567" s="5" t="s">
        <v>21</v>
      </c>
      <c r="I5567" s="5" t="s">
        <v>13631</v>
      </c>
      <c r="J5567" s="12" t="str">
        <f>HYPERLINK("https://www.boe.es/gazeta/dias/1802/06/01/pdfs/GMD-1802-44.pdf#page=7","Abrir facsímil")</f>
        <v>Abrir facsímil</v>
      </c>
      <c r="K5567" s="15" t="s">
        <v>23</v>
      </c>
    </row>
    <row r="5568" spans="1:11" ht="42" customHeight="1">
      <c r="A5568" s="4" t="s">
        <v>13632</v>
      </c>
      <c r="B5568" s="5" t="s">
        <v>13633</v>
      </c>
      <c r="C5568" s="5" t="s">
        <v>18</v>
      </c>
      <c r="D5568" s="5" t="s">
        <v>19</v>
      </c>
      <c r="E5568" s="5" t="s">
        <v>20</v>
      </c>
      <c r="F5568" s="9">
        <v>84</v>
      </c>
      <c r="G5568" s="9">
        <v>1044</v>
      </c>
      <c r="H5568" s="5" t="s">
        <v>21</v>
      </c>
      <c r="I5568" s="5" t="s">
        <v>13634</v>
      </c>
      <c r="J5568" s="12" t="str">
        <f>HYPERLINK("https://www.boe.es/gazeta/dias/1802/10/15/pdfs/GMD-1802-84.pdf#page=12","Abrir facsímil")</f>
        <v>Abrir facsímil</v>
      </c>
      <c r="K5568" s="15" t="s">
        <v>23</v>
      </c>
    </row>
    <row r="5569" spans="1:11" ht="42" customHeight="1">
      <c r="A5569" s="4" t="s">
        <v>13635</v>
      </c>
      <c r="B5569" s="5" t="s">
        <v>13636</v>
      </c>
      <c r="C5569" s="5" t="s">
        <v>18</v>
      </c>
      <c r="D5569" s="5" t="s">
        <v>19</v>
      </c>
      <c r="E5569" s="5" t="s">
        <v>678</v>
      </c>
      <c r="F5569" s="9">
        <v>15</v>
      </c>
      <c r="G5569" s="9">
        <v>159</v>
      </c>
      <c r="H5569" s="5" t="s">
        <v>21</v>
      </c>
      <c r="I5569" s="5" t="s">
        <v>13637</v>
      </c>
      <c r="J5569" s="12" t="str">
        <f>HYPERLINK("https://www.boe.es/gazeta/dias/1802/02/19/pdfs/GMD-1802-15.pdf#page=11","Abrir facsímil")</f>
        <v>Abrir facsímil</v>
      </c>
      <c r="K5569" s="15" t="s">
        <v>23</v>
      </c>
    </row>
    <row r="5570" spans="1:11" ht="42" customHeight="1">
      <c r="A5570" s="4" t="s">
        <v>13638</v>
      </c>
      <c r="B5570" s="5" t="s">
        <v>13639</v>
      </c>
      <c r="C5570" s="5" t="s">
        <v>55</v>
      </c>
      <c r="D5570" s="5" t="s">
        <v>56</v>
      </c>
      <c r="E5570" s="5" t="s">
        <v>1185</v>
      </c>
      <c r="F5570" s="9">
        <v>93</v>
      </c>
      <c r="G5570" s="9">
        <v>1152</v>
      </c>
      <c r="H5570" s="5" t="s">
        <v>21</v>
      </c>
      <c r="I5570" s="5" t="s">
        <v>13640</v>
      </c>
      <c r="J5570" s="12" t="str">
        <f>HYPERLINK("https://www.boe.es/gazeta/dias/1802/11/16/pdfs/GMD-1802-93.pdf#page=12","Abrir facsímil")</f>
        <v>Abrir facsímil</v>
      </c>
      <c r="K5570" s="15" t="s">
        <v>23</v>
      </c>
    </row>
    <row r="5571" spans="1:11" ht="42" customHeight="1">
      <c r="A5571" s="4" t="s">
        <v>13641</v>
      </c>
      <c r="B5571" s="5" t="s">
        <v>13642</v>
      </c>
      <c r="C5571" s="5" t="s">
        <v>29</v>
      </c>
      <c r="D5571" s="5" t="s">
        <v>30</v>
      </c>
      <c r="E5571" s="5" t="s">
        <v>148</v>
      </c>
      <c r="F5571" s="9">
        <v>66</v>
      </c>
      <c r="G5571" s="9">
        <v>809</v>
      </c>
      <c r="H5571" s="5" t="s">
        <v>21</v>
      </c>
      <c r="I5571" s="5" t="s">
        <v>13643</v>
      </c>
      <c r="J5571" s="12" t="str">
        <f>HYPERLINK("https://www.boe.es/gazeta/dias/1802/08/13/pdfs/GMD-1802-66.pdf#page=13","Abrir facsímil")</f>
        <v>Abrir facsímil</v>
      </c>
      <c r="K5571" s="15" t="s">
        <v>23</v>
      </c>
    </row>
    <row r="5572" spans="1:11" ht="42" customHeight="1">
      <c r="A5572" s="4" t="s">
        <v>13644</v>
      </c>
      <c r="B5572" s="5" t="s">
        <v>13644</v>
      </c>
      <c r="C5572" s="5" t="s">
        <v>35</v>
      </c>
      <c r="D5572" s="5" t="s">
        <v>36</v>
      </c>
      <c r="E5572" s="5" t="s">
        <v>102</v>
      </c>
      <c r="F5572" s="9">
        <v>73</v>
      </c>
      <c r="G5572" s="9">
        <v>893</v>
      </c>
      <c r="H5572" s="5" t="s">
        <v>21</v>
      </c>
      <c r="I5572" s="5" t="s">
        <v>13645</v>
      </c>
      <c r="J5572" s="12" t="str">
        <f>HYPERLINK("https://www.boe.es/gazeta/dias/1802/09/07/pdfs/GMD-1802-73.pdf#page=1","Abrir facsímil")</f>
        <v>Abrir facsímil</v>
      </c>
      <c r="K5572" s="15" t="s">
        <v>23</v>
      </c>
    </row>
    <row r="5573" spans="1:11" ht="42" customHeight="1">
      <c r="A5573" s="4" t="s">
        <v>13646</v>
      </c>
      <c r="B5573" s="5" t="s">
        <v>13647</v>
      </c>
      <c r="C5573" s="5" t="s">
        <v>29</v>
      </c>
      <c r="D5573" s="5" t="s">
        <v>30</v>
      </c>
      <c r="E5573" s="5" t="s">
        <v>73</v>
      </c>
      <c r="F5573" s="9">
        <v>102</v>
      </c>
      <c r="G5573" s="9">
        <v>1254</v>
      </c>
      <c r="H5573" s="5" t="s">
        <v>21</v>
      </c>
      <c r="I5573" s="5" t="s">
        <v>13648</v>
      </c>
      <c r="J5573" s="12" t="str">
        <f>HYPERLINK("https://www.boe.es/gazeta/dias/1802/12/17/pdfs/GMD-1802-102.pdf#page=10","Abrir facsímil")</f>
        <v>Abrir facsímil</v>
      </c>
      <c r="K5573" s="15" t="s">
        <v>23</v>
      </c>
    </row>
    <row r="5574" spans="1:11" ht="42" customHeight="1">
      <c r="A5574" s="4" t="s">
        <v>13649</v>
      </c>
      <c r="B5574" s="5" t="s">
        <v>13650</v>
      </c>
      <c r="C5574" s="5" t="s">
        <v>55</v>
      </c>
      <c r="D5574" s="5" t="s">
        <v>56</v>
      </c>
      <c r="E5574" s="5" t="s">
        <v>148</v>
      </c>
      <c r="F5574" s="9">
        <v>66</v>
      </c>
      <c r="G5574" s="9">
        <v>807</v>
      </c>
      <c r="H5574" s="5" t="s">
        <v>21</v>
      </c>
      <c r="I5574" s="5" t="s">
        <v>13651</v>
      </c>
      <c r="J5574" s="12" t="str">
        <f>HYPERLINK("https://www.boe.es/gazeta/dias/1802/08/13/pdfs/GMD-1802-66.pdf#page=11","Abrir facsímil")</f>
        <v>Abrir facsímil</v>
      </c>
      <c r="K5574" s="15" t="s">
        <v>23</v>
      </c>
    </row>
    <row r="5575" spans="1:11" ht="42" customHeight="1">
      <c r="A5575" s="4" t="s">
        <v>13652</v>
      </c>
      <c r="B5575" s="5" t="s">
        <v>13652</v>
      </c>
      <c r="C5575" s="5" t="s">
        <v>35</v>
      </c>
      <c r="D5575" s="5" t="s">
        <v>36</v>
      </c>
      <c r="E5575" s="5" t="s">
        <v>865</v>
      </c>
      <c r="F5575" s="9">
        <v>12</v>
      </c>
      <c r="G5575" s="9">
        <v>120</v>
      </c>
      <c r="H5575" s="5" t="s">
        <v>21</v>
      </c>
      <c r="I5575" s="5" t="s">
        <v>13653</v>
      </c>
      <c r="J5575" s="12" t="str">
        <f>HYPERLINK("https://www.boe.es/gazeta/dias/1802/02/09/pdfs/GMD-1802-12.pdf#page=4","Abrir facsímil")</f>
        <v>Abrir facsímil</v>
      </c>
      <c r="K5575" s="15" t="s">
        <v>23</v>
      </c>
    </row>
    <row r="5576" spans="1:11" ht="42" customHeight="1">
      <c r="A5576" s="4" t="s">
        <v>13654</v>
      </c>
      <c r="B5576" s="5" t="s">
        <v>13655</v>
      </c>
      <c r="C5576" s="5" t="s">
        <v>35</v>
      </c>
      <c r="D5576" s="5" t="s">
        <v>36</v>
      </c>
      <c r="E5576" s="5" t="s">
        <v>865</v>
      </c>
      <c r="F5576" s="9">
        <v>12</v>
      </c>
      <c r="G5576" s="9">
        <v>120</v>
      </c>
      <c r="H5576" s="5" t="s">
        <v>21</v>
      </c>
      <c r="I5576" s="5" t="s">
        <v>13656</v>
      </c>
      <c r="J5576" s="12" t="str">
        <f>HYPERLINK("https://www.boe.es/gazeta/dias/1802/02/09/pdfs/GMD-1802-12.pdf#page=4","Abrir facsímil")</f>
        <v>Abrir facsímil</v>
      </c>
      <c r="K5576" s="15" t="s">
        <v>23</v>
      </c>
    </row>
    <row r="5577" spans="1:11" ht="42" customHeight="1">
      <c r="A5577" s="4" t="s">
        <v>13657</v>
      </c>
      <c r="B5577" s="5" t="s">
        <v>13658</v>
      </c>
      <c r="C5577" s="5" t="s">
        <v>42</v>
      </c>
      <c r="D5577" s="5" t="s">
        <v>43</v>
      </c>
      <c r="E5577" s="5" t="s">
        <v>44</v>
      </c>
      <c r="F5577" s="9">
        <v>99</v>
      </c>
      <c r="G5577" s="9" t="s">
        <v>779</v>
      </c>
      <c r="H5577" s="5" t="s">
        <v>21</v>
      </c>
      <c r="I5577" s="5" t="s">
        <v>13659</v>
      </c>
      <c r="J5577" s="12" t="str">
        <f>HYPERLINK("https://www.boe.es/gazeta/dias/1802/12/07/pdfs/GMD-D-1802-99.pdf#page=13","Abrir facsímil")</f>
        <v>Abrir facsímil</v>
      </c>
      <c r="K5577" s="15" t="s">
        <v>23</v>
      </c>
    </row>
    <row r="5578" spans="1:11" ht="42" customHeight="1">
      <c r="A5578" s="4" t="s">
        <v>13660</v>
      </c>
      <c r="B5578" s="5" t="s">
        <v>13660</v>
      </c>
      <c r="C5578" s="5" t="s">
        <v>35</v>
      </c>
      <c r="D5578" s="5" t="s">
        <v>36</v>
      </c>
      <c r="E5578" s="5" t="s">
        <v>311</v>
      </c>
      <c r="F5578" s="9">
        <v>88</v>
      </c>
      <c r="G5578" s="9">
        <v>1091</v>
      </c>
      <c r="H5578" s="5" t="s">
        <v>21</v>
      </c>
      <c r="I5578" s="5" t="s">
        <v>13661</v>
      </c>
      <c r="J5578" s="12" t="str">
        <f>HYPERLINK("https://www.boe.es/gazeta/dias/1802/10/29/pdfs/GMD-1802-88.pdf#page=7","Abrir facsímil")</f>
        <v>Abrir facsímil</v>
      </c>
      <c r="K5578" s="15" t="s">
        <v>23</v>
      </c>
    </row>
    <row r="5579" spans="1:11" ht="42" customHeight="1">
      <c r="A5579" s="4" t="s">
        <v>13662</v>
      </c>
      <c r="B5579" s="5" t="s">
        <v>13663</v>
      </c>
      <c r="C5579" s="5" t="s">
        <v>18</v>
      </c>
      <c r="D5579" s="5" t="s">
        <v>19</v>
      </c>
      <c r="E5579" s="5" t="s">
        <v>49</v>
      </c>
      <c r="F5579" s="9">
        <v>83</v>
      </c>
      <c r="G5579" s="9">
        <v>1025</v>
      </c>
      <c r="H5579" s="5" t="s">
        <v>21</v>
      </c>
      <c r="I5579" s="5" t="s">
        <v>13664</v>
      </c>
      <c r="J5579" s="12" t="str">
        <f>HYPERLINK("https://www.boe.es/gazeta/dias/1802/10/12/pdfs/GMD-1802-83.pdf#page=13","Abrir facsímil")</f>
        <v>Abrir facsímil</v>
      </c>
      <c r="K5579" s="15" t="s">
        <v>23</v>
      </c>
    </row>
    <row r="5580" spans="1:11" ht="42" customHeight="1">
      <c r="A5580" s="4" t="s">
        <v>13665</v>
      </c>
      <c r="B5580" s="5" t="s">
        <v>13666</v>
      </c>
      <c r="C5580" s="5" t="s">
        <v>18</v>
      </c>
      <c r="D5580" s="5" t="s">
        <v>19</v>
      </c>
      <c r="E5580" s="5" t="s">
        <v>20</v>
      </c>
      <c r="F5580" s="9">
        <v>84</v>
      </c>
      <c r="G5580" s="9">
        <v>1044</v>
      </c>
      <c r="H5580" s="5" t="s">
        <v>21</v>
      </c>
      <c r="I5580" s="5" t="s">
        <v>13667</v>
      </c>
      <c r="J5580" s="12" t="str">
        <f>HYPERLINK("https://www.boe.es/gazeta/dias/1802/10/15/pdfs/GMD-1802-84.pdf#page=12","Abrir facsímil")</f>
        <v>Abrir facsímil</v>
      </c>
      <c r="K5580" s="15" t="s">
        <v>23</v>
      </c>
    </row>
    <row r="5581" spans="1:11" ht="42" customHeight="1">
      <c r="A5581" s="4" t="s">
        <v>13668</v>
      </c>
      <c r="B5581" s="5" t="s">
        <v>13669</v>
      </c>
      <c r="C5581" s="5" t="s">
        <v>18</v>
      </c>
      <c r="D5581" s="5" t="s">
        <v>19</v>
      </c>
      <c r="E5581" s="5" t="s">
        <v>20</v>
      </c>
      <c r="F5581" s="9">
        <v>84</v>
      </c>
      <c r="G5581" s="9">
        <v>1041</v>
      </c>
      <c r="H5581" s="5" t="s">
        <v>21</v>
      </c>
      <c r="I5581" s="5" t="s">
        <v>13670</v>
      </c>
      <c r="J5581" s="12" t="str">
        <f>HYPERLINK("https://www.boe.es/gazeta/dias/1802/10/15/pdfs/GMD-1802-84.pdf#page=9","Abrir facsímil")</f>
        <v>Abrir facsímil</v>
      </c>
      <c r="K5581" s="15" t="s">
        <v>23</v>
      </c>
    </row>
    <row r="5582" spans="1:11" ht="42" customHeight="1">
      <c r="A5582" s="4" t="s">
        <v>13671</v>
      </c>
      <c r="B5582" s="5" t="s">
        <v>13672</v>
      </c>
      <c r="C5582" s="5" t="s">
        <v>35</v>
      </c>
      <c r="D5582" s="5" t="s">
        <v>36</v>
      </c>
      <c r="E5582" s="5" t="s">
        <v>109</v>
      </c>
      <c r="F5582" s="9">
        <v>10</v>
      </c>
      <c r="G5582" s="9">
        <v>97</v>
      </c>
      <c r="H5582" s="5" t="s">
        <v>21</v>
      </c>
      <c r="I5582" s="5" t="s">
        <v>13673</v>
      </c>
      <c r="J5582" s="12" t="str">
        <f>HYPERLINK("https://www.boe.es/gazeta/dias/1802/02/02/pdfs/GMD-1802-10.pdf#page=5","Abrir facsímil")</f>
        <v>Abrir facsímil</v>
      </c>
      <c r="K5582" s="15" t="s">
        <v>23</v>
      </c>
    </row>
    <row r="5583" spans="1:11" ht="42" customHeight="1">
      <c r="A5583" s="4" t="s">
        <v>13674</v>
      </c>
      <c r="B5583" s="5" t="s">
        <v>13675</v>
      </c>
      <c r="C5583" s="5" t="s">
        <v>42</v>
      </c>
      <c r="D5583" s="5" t="s">
        <v>43</v>
      </c>
      <c r="E5583" s="5" t="s">
        <v>44</v>
      </c>
      <c r="F5583" s="9">
        <v>99</v>
      </c>
      <c r="G5583" s="9" t="s">
        <v>262</v>
      </c>
      <c r="H5583" s="5" t="s">
        <v>21</v>
      </c>
      <c r="I5583" s="5" t="s">
        <v>13676</v>
      </c>
      <c r="J5583" s="12" t="str">
        <f>HYPERLINK("https://www.boe.es/gazeta/dias/1802/12/07/pdfs/GMD-D-1802-99.pdf#page=8","Abrir facsímil")</f>
        <v>Abrir facsímil</v>
      </c>
      <c r="K5583" s="15" t="s">
        <v>23</v>
      </c>
    </row>
    <row r="5584" spans="1:11" ht="42" customHeight="1">
      <c r="A5584" s="4" t="s">
        <v>13677</v>
      </c>
      <c r="B5584" s="5" t="s">
        <v>13678</v>
      </c>
      <c r="C5584" s="5" t="s">
        <v>18</v>
      </c>
      <c r="D5584" s="5" t="s">
        <v>19</v>
      </c>
      <c r="E5584" s="5" t="s">
        <v>148</v>
      </c>
      <c r="F5584" s="9">
        <v>66</v>
      </c>
      <c r="G5584" s="9">
        <v>811</v>
      </c>
      <c r="H5584" s="5" t="s">
        <v>21</v>
      </c>
      <c r="I5584" s="5" t="s">
        <v>13679</v>
      </c>
      <c r="J5584" s="12" t="str">
        <f>HYPERLINK("https://www.boe.es/gazeta/dias/1802/08/13/pdfs/GMD-1802-66.pdf#page=15","Abrir facsímil")</f>
        <v>Abrir facsímil</v>
      </c>
      <c r="K5584" s="15" t="s">
        <v>23</v>
      </c>
    </row>
    <row r="5585" spans="1:11" ht="42" customHeight="1">
      <c r="A5585" s="4" t="s">
        <v>13680</v>
      </c>
      <c r="B5585" s="5" t="s">
        <v>13681</v>
      </c>
      <c r="C5585" s="5" t="s">
        <v>29</v>
      </c>
      <c r="D5585" s="5" t="s">
        <v>30</v>
      </c>
      <c r="E5585" s="5" t="s">
        <v>655</v>
      </c>
      <c r="F5585" s="9">
        <v>46</v>
      </c>
      <c r="G5585" s="9">
        <v>558</v>
      </c>
      <c r="H5585" s="5" t="s">
        <v>21</v>
      </c>
      <c r="I5585" s="5" t="s">
        <v>13682</v>
      </c>
      <c r="J5585" s="12" t="str">
        <f>HYPERLINK("https://www.boe.es/gazeta/dias/1802/06/08/pdfs/GMD-1802-46.pdf#page=10","Abrir facsímil")</f>
        <v>Abrir facsímil</v>
      </c>
      <c r="K5585" s="15" t="s">
        <v>23</v>
      </c>
    </row>
    <row r="5586" spans="1:11" ht="42" customHeight="1">
      <c r="A5586" s="4" t="s">
        <v>13683</v>
      </c>
      <c r="B5586" s="5" t="s">
        <v>13684</v>
      </c>
      <c r="C5586" s="5" t="s">
        <v>29</v>
      </c>
      <c r="D5586" s="5" t="s">
        <v>30</v>
      </c>
      <c r="E5586" s="5" t="s">
        <v>20</v>
      </c>
      <c r="F5586" s="9">
        <v>84</v>
      </c>
      <c r="G5586" s="9">
        <v>1042</v>
      </c>
      <c r="H5586" s="5" t="s">
        <v>21</v>
      </c>
      <c r="I5586" s="5" t="s">
        <v>13685</v>
      </c>
      <c r="J5586" s="12" t="str">
        <f>HYPERLINK("https://www.boe.es/gazeta/dias/1802/10/15/pdfs/GMD-1802-84.pdf#page=10","Abrir facsímil")</f>
        <v>Abrir facsímil</v>
      </c>
      <c r="K5586" s="15" t="s">
        <v>23</v>
      </c>
    </row>
    <row r="5587" spans="1:11" ht="42" customHeight="1">
      <c r="A5587" s="4" t="s">
        <v>13686</v>
      </c>
      <c r="B5587" s="5" t="s">
        <v>13687</v>
      </c>
      <c r="C5587" s="5" t="s">
        <v>18</v>
      </c>
      <c r="D5587" s="5" t="s">
        <v>19</v>
      </c>
      <c r="E5587" s="5" t="s">
        <v>20</v>
      </c>
      <c r="F5587" s="9">
        <v>84</v>
      </c>
      <c r="G5587" s="9">
        <v>1040</v>
      </c>
      <c r="H5587" s="5" t="s">
        <v>21</v>
      </c>
      <c r="I5587" s="5" t="s">
        <v>13688</v>
      </c>
      <c r="J5587" s="12" t="str">
        <f>HYPERLINK("https://www.boe.es/gazeta/dias/1802/10/15/pdfs/GMD-1802-84.pdf#page=8","Abrir facsímil")</f>
        <v>Abrir facsímil</v>
      </c>
      <c r="K5587" s="15" t="s">
        <v>23</v>
      </c>
    </row>
    <row r="5588" spans="1:11" ht="42" customHeight="1">
      <c r="A5588" s="4" t="s">
        <v>13689</v>
      </c>
      <c r="B5588" s="5" t="s">
        <v>13690</v>
      </c>
      <c r="C5588" s="5" t="s">
        <v>90</v>
      </c>
      <c r="D5588" s="5" t="s">
        <v>91</v>
      </c>
      <c r="E5588" s="5" t="s">
        <v>152</v>
      </c>
      <c r="F5588" s="9">
        <v>25</v>
      </c>
      <c r="G5588" s="9">
        <v>285</v>
      </c>
      <c r="H5588" s="5" t="s">
        <v>21</v>
      </c>
      <c r="I5588" s="5" t="s">
        <v>13691</v>
      </c>
      <c r="J5588" s="12" t="str">
        <f>HYPERLINK("https://www.boe.es/gazeta/dias/1802/03/26/pdfs/GMD-1802-25.pdf#page=9","Abrir facsímil")</f>
        <v>Abrir facsímil</v>
      </c>
      <c r="K5588" s="15" t="s">
        <v>23</v>
      </c>
    </row>
    <row r="5589" spans="1:11" ht="42" customHeight="1">
      <c r="A5589" s="4" t="s">
        <v>13692</v>
      </c>
      <c r="B5589" s="5" t="s">
        <v>13693</v>
      </c>
      <c r="C5589" s="5" t="s">
        <v>55</v>
      </c>
      <c r="D5589" s="5" t="s">
        <v>56</v>
      </c>
      <c r="E5589" s="5" t="s">
        <v>611</v>
      </c>
      <c r="F5589" s="9">
        <v>68</v>
      </c>
      <c r="G5589" s="9">
        <v>836</v>
      </c>
      <c r="H5589" s="5" t="s">
        <v>21</v>
      </c>
      <c r="I5589" s="5" t="s">
        <v>13694</v>
      </c>
      <c r="J5589" s="12" t="str">
        <f>HYPERLINK("https://www.boe.es/gazeta/dias/1802/08/20/pdfs/GMD-1802-68.pdf#page=12","Abrir facsímil")</f>
        <v>Abrir facsímil</v>
      </c>
      <c r="K5589" s="15" t="s">
        <v>23</v>
      </c>
    </row>
    <row r="5590" spans="1:11" ht="42" customHeight="1">
      <c r="A5590" s="4" t="s">
        <v>13695</v>
      </c>
      <c r="B5590" s="5" t="s">
        <v>13695</v>
      </c>
      <c r="C5590" s="5" t="s">
        <v>35</v>
      </c>
      <c r="D5590" s="5" t="s">
        <v>36</v>
      </c>
      <c r="E5590" s="5" t="s">
        <v>109</v>
      </c>
      <c r="F5590" s="9">
        <v>10</v>
      </c>
      <c r="G5590" s="9">
        <v>96</v>
      </c>
      <c r="H5590" s="5" t="s">
        <v>21</v>
      </c>
      <c r="I5590" s="5" t="s">
        <v>13696</v>
      </c>
      <c r="J5590" s="12" t="str">
        <f>HYPERLINK("https://www.boe.es/gazeta/dias/1802/02/02/pdfs/GMD-1802-10.pdf#page=4","Abrir facsímil")</f>
        <v>Abrir facsímil</v>
      </c>
      <c r="K5590" s="15" t="s">
        <v>23</v>
      </c>
    </row>
    <row r="5591" spans="1:11" ht="42" customHeight="1">
      <c r="A5591" s="4" t="s">
        <v>13697</v>
      </c>
      <c r="B5591" s="5" t="s">
        <v>13698</v>
      </c>
      <c r="C5591" s="5" t="s">
        <v>29</v>
      </c>
      <c r="D5591" s="5" t="s">
        <v>30</v>
      </c>
      <c r="E5591" s="5" t="s">
        <v>60</v>
      </c>
      <c r="F5591" s="9">
        <v>5</v>
      </c>
      <c r="G5591" s="9">
        <v>48</v>
      </c>
      <c r="H5591" s="5" t="s">
        <v>21</v>
      </c>
      <c r="I5591" s="5" t="s">
        <v>13699</v>
      </c>
      <c r="J5591" s="12" t="str">
        <f>HYPERLINK("https://www.boe.es/gazeta/dias/1802/01/15/pdfs/GMD-1802-5.pdf#page=4","Abrir facsímil")</f>
        <v>Abrir facsímil</v>
      </c>
      <c r="K5591" s="15" t="s">
        <v>23</v>
      </c>
    </row>
    <row r="5592" spans="1:11" ht="42" customHeight="1">
      <c r="A5592" s="4" t="s">
        <v>13700</v>
      </c>
      <c r="B5592" s="5" t="s">
        <v>13701</v>
      </c>
      <c r="C5592" s="5" t="s">
        <v>90</v>
      </c>
      <c r="D5592" s="5" t="s">
        <v>91</v>
      </c>
      <c r="E5592" s="5" t="s">
        <v>678</v>
      </c>
      <c r="F5592" s="9">
        <v>15</v>
      </c>
      <c r="G5592" s="9">
        <v>158</v>
      </c>
      <c r="H5592" s="5" t="s">
        <v>21</v>
      </c>
      <c r="I5592" s="5" t="s">
        <v>13702</v>
      </c>
      <c r="J5592" s="12" t="str">
        <f>HYPERLINK("https://www.boe.es/gazeta/dias/1802/02/19/pdfs/GMD-1802-15.pdf#page=10","Abrir facsímil")</f>
        <v>Abrir facsímil</v>
      </c>
      <c r="K5592" s="15" t="s">
        <v>23</v>
      </c>
    </row>
    <row r="5593" spans="1:11" ht="42" customHeight="1">
      <c r="A5593" s="4" t="s">
        <v>13703</v>
      </c>
      <c r="B5593" s="5" t="s">
        <v>13704</v>
      </c>
      <c r="C5593" s="5" t="s">
        <v>42</v>
      </c>
      <c r="D5593" s="5" t="s">
        <v>43</v>
      </c>
      <c r="E5593" s="5" t="s">
        <v>44</v>
      </c>
      <c r="F5593" s="9">
        <v>99</v>
      </c>
      <c r="G5593" s="9" t="s">
        <v>548</v>
      </c>
      <c r="H5593" s="5" t="s">
        <v>21</v>
      </c>
      <c r="I5593" s="5" t="s">
        <v>13705</v>
      </c>
      <c r="J5593" s="12" t="str">
        <f>HYPERLINK("https://www.boe.es/gazeta/dias/1802/12/07/pdfs/GMD-D-1802-99.pdf#page=12","Abrir facsímil")</f>
        <v>Abrir facsímil</v>
      </c>
      <c r="K5593" s="15" t="s">
        <v>23</v>
      </c>
    </row>
    <row r="5594" spans="1:11" ht="42" customHeight="1">
      <c r="A5594" s="4" t="s">
        <v>13706</v>
      </c>
      <c r="B5594" s="5" t="s">
        <v>13707</v>
      </c>
      <c r="C5594" s="5" t="s">
        <v>18</v>
      </c>
      <c r="D5594" s="5" t="s">
        <v>19</v>
      </c>
      <c r="E5594" s="5" t="s">
        <v>20</v>
      </c>
      <c r="F5594" s="9">
        <v>84</v>
      </c>
      <c r="G5594" s="9">
        <v>1041</v>
      </c>
      <c r="H5594" s="5" t="s">
        <v>21</v>
      </c>
      <c r="I5594" s="5" t="s">
        <v>13708</v>
      </c>
      <c r="J5594" s="12" t="str">
        <f>HYPERLINK("https://www.boe.es/gazeta/dias/1802/10/15/pdfs/GMD-1802-84.pdf#page=9","Abrir facsímil")</f>
        <v>Abrir facsímil</v>
      </c>
      <c r="K5594" s="15" t="s">
        <v>23</v>
      </c>
    </row>
    <row r="5595" spans="1:11" ht="42" customHeight="1">
      <c r="A5595" s="4" t="s">
        <v>13709</v>
      </c>
      <c r="B5595" s="5" t="s">
        <v>13710</v>
      </c>
      <c r="C5595" s="5" t="s">
        <v>29</v>
      </c>
      <c r="D5595" s="5" t="s">
        <v>30</v>
      </c>
      <c r="E5595" s="5" t="s">
        <v>1332</v>
      </c>
      <c r="F5595" s="9">
        <v>4</v>
      </c>
      <c r="G5595" s="9">
        <v>38</v>
      </c>
      <c r="H5595" s="5" t="s">
        <v>21</v>
      </c>
      <c r="I5595" s="5" t="s">
        <v>13711</v>
      </c>
      <c r="J5595" s="12" t="str">
        <f>HYPERLINK("https://www.boe.es/gazeta/dias/1802/01/12/pdfs/GMD-1802-4.pdf#page=10","Abrir facsímil")</f>
        <v>Abrir facsímil</v>
      </c>
      <c r="K5595" s="15" t="s">
        <v>23</v>
      </c>
    </row>
    <row r="5596" spans="1:11" ht="42" customHeight="1">
      <c r="A5596" s="4" t="s">
        <v>13712</v>
      </c>
      <c r="B5596" s="5" t="s">
        <v>13713</v>
      </c>
      <c r="C5596" s="5" t="s">
        <v>160</v>
      </c>
      <c r="D5596" s="5" t="s">
        <v>91</v>
      </c>
      <c r="E5596" s="5" t="s">
        <v>1381</v>
      </c>
      <c r="F5596" s="9">
        <v>17</v>
      </c>
      <c r="G5596" s="9">
        <v>186</v>
      </c>
      <c r="H5596" s="5" t="s">
        <v>21</v>
      </c>
      <c r="I5596" s="5" t="s">
        <v>13714</v>
      </c>
      <c r="J5596" s="12" t="str">
        <f>HYPERLINK("https://www.boe.es/gazeta/dias/1802/02/26/pdfs/GMD-1802-17.pdf#page=10","Abrir facsímil")</f>
        <v>Abrir facsímil</v>
      </c>
      <c r="K5596" s="15" t="s">
        <v>23</v>
      </c>
    </row>
    <row r="5597" spans="1:11" ht="42" customHeight="1">
      <c r="A5597" s="4" t="s">
        <v>13715</v>
      </c>
      <c r="B5597" s="5" t="s">
        <v>13716</v>
      </c>
      <c r="C5597" s="5" t="s">
        <v>18</v>
      </c>
      <c r="D5597" s="5" t="s">
        <v>19</v>
      </c>
      <c r="E5597" s="5" t="s">
        <v>49</v>
      </c>
      <c r="F5597" s="9">
        <v>83</v>
      </c>
      <c r="G5597" s="9">
        <v>1022</v>
      </c>
      <c r="H5597" s="5" t="s">
        <v>21</v>
      </c>
      <c r="I5597" s="5" t="s">
        <v>13717</v>
      </c>
      <c r="J5597" s="12" t="str">
        <f>HYPERLINK("https://www.boe.es/gazeta/dias/1802/10/12/pdfs/GMD-1802-83.pdf#page=10","Abrir facsímil")</f>
        <v>Abrir facsímil</v>
      </c>
      <c r="K5597" s="15" t="s">
        <v>23</v>
      </c>
    </row>
    <row r="5598" spans="1:11" ht="42" customHeight="1">
      <c r="A5598" s="4" t="s">
        <v>13718</v>
      </c>
      <c r="B5598" s="5" t="s">
        <v>13719</v>
      </c>
      <c r="C5598" s="5" t="s">
        <v>42</v>
      </c>
      <c r="D5598" s="5" t="s">
        <v>43</v>
      </c>
      <c r="E5598" s="5" t="s">
        <v>44</v>
      </c>
      <c r="F5598" s="9">
        <v>99</v>
      </c>
      <c r="G5598" s="9" t="s">
        <v>544</v>
      </c>
      <c r="H5598" s="5" t="s">
        <v>21</v>
      </c>
      <c r="I5598" s="5" t="s">
        <v>13720</v>
      </c>
      <c r="J5598" s="12" t="str">
        <f>HYPERLINK("https://www.boe.es/gazeta/dias/1802/12/07/pdfs/GMD-D-1802-99.pdf#page=11","Abrir facsímil")</f>
        <v>Abrir facsímil</v>
      </c>
      <c r="K5598" s="15" t="s">
        <v>23</v>
      </c>
    </row>
    <row r="5599" spans="1:11" ht="42" customHeight="1">
      <c r="A5599" s="4" t="s">
        <v>13721</v>
      </c>
      <c r="B5599" s="5" t="s">
        <v>13722</v>
      </c>
      <c r="C5599" s="5" t="s">
        <v>29</v>
      </c>
      <c r="D5599" s="5" t="s">
        <v>30</v>
      </c>
      <c r="E5599" s="5" t="s">
        <v>92</v>
      </c>
      <c r="F5599" s="9">
        <v>29</v>
      </c>
      <c r="G5599" s="9">
        <v>342</v>
      </c>
      <c r="H5599" s="5" t="s">
        <v>21</v>
      </c>
      <c r="I5599" s="5" t="s">
        <v>13723</v>
      </c>
      <c r="J5599" s="12" t="str">
        <f>HYPERLINK("https://www.boe.es/gazeta/dias/1802/04/09/pdfs/GMD-1802-29.pdf#page=10","Abrir facsímil")</f>
        <v>Abrir facsímil</v>
      </c>
      <c r="K5599" s="15" t="s">
        <v>23</v>
      </c>
    </row>
    <row r="5600" spans="1:11" ht="42" customHeight="1">
      <c r="A5600" s="4" t="s">
        <v>13724</v>
      </c>
      <c r="B5600" s="5" t="s">
        <v>13724</v>
      </c>
      <c r="C5600" s="5" t="s">
        <v>18</v>
      </c>
      <c r="D5600" s="5" t="s">
        <v>19</v>
      </c>
      <c r="E5600" s="5" t="s">
        <v>20</v>
      </c>
      <c r="F5600" s="9">
        <v>84</v>
      </c>
      <c r="G5600" s="9">
        <v>1039</v>
      </c>
      <c r="H5600" s="5" t="s">
        <v>21</v>
      </c>
      <c r="I5600" s="5" t="s">
        <v>13725</v>
      </c>
      <c r="J5600" s="12" t="str">
        <f>HYPERLINK("https://www.boe.es/gazeta/dias/1802/10/15/pdfs/GMD-1802-84.pdf#page=7","Abrir facsímil")</f>
        <v>Abrir facsímil</v>
      </c>
      <c r="K5600" s="15" t="s">
        <v>23</v>
      </c>
    </row>
    <row r="5601" spans="1:11" ht="42" customHeight="1">
      <c r="A5601" s="4" t="s">
        <v>13726</v>
      </c>
      <c r="B5601" s="5" t="s">
        <v>13727</v>
      </c>
      <c r="C5601" s="5" t="s">
        <v>29</v>
      </c>
      <c r="D5601" s="5" t="s">
        <v>30</v>
      </c>
      <c r="E5601" s="5" t="s">
        <v>491</v>
      </c>
      <c r="F5601" s="9">
        <v>57</v>
      </c>
      <c r="G5601" s="9">
        <v>689</v>
      </c>
      <c r="H5601" s="5" t="s">
        <v>21</v>
      </c>
      <c r="I5601" s="5" t="s">
        <v>13728</v>
      </c>
      <c r="J5601" s="12" t="str">
        <f>HYPERLINK("https://www.boe.es/gazeta/dias/1802/07/16/pdfs/GMD-1802-57.pdf#page=9","Abrir facsímil")</f>
        <v>Abrir facsímil</v>
      </c>
      <c r="K5601" s="15" t="s">
        <v>23</v>
      </c>
    </row>
    <row r="5602" spans="1:11" ht="42" customHeight="1">
      <c r="A5602" s="4" t="s">
        <v>13726</v>
      </c>
      <c r="B5602" s="5" t="s">
        <v>13727</v>
      </c>
      <c r="C5602" s="5" t="s">
        <v>29</v>
      </c>
      <c r="D5602" s="5" t="s">
        <v>30</v>
      </c>
      <c r="E5602" s="5" t="s">
        <v>436</v>
      </c>
      <c r="F5602" s="9">
        <v>58</v>
      </c>
      <c r="G5602" s="9">
        <v>701</v>
      </c>
      <c r="H5602" s="5" t="s">
        <v>21</v>
      </c>
      <c r="I5602" s="5" t="s">
        <v>13729</v>
      </c>
      <c r="J5602" s="12" t="str">
        <f>HYPERLINK("https://www.boe.es/gazeta/dias/1802/07/20/pdfs/GMD-1802-58.pdf#page=9","Abrir facsímil")</f>
        <v>Abrir facsímil</v>
      </c>
      <c r="K5602" s="15" t="s">
        <v>23</v>
      </c>
    </row>
    <row r="5603" spans="1:11" ht="42" customHeight="1">
      <c r="A5603" s="4" t="s">
        <v>13730</v>
      </c>
      <c r="B5603" s="5" t="s">
        <v>13731</v>
      </c>
      <c r="C5603" s="5" t="s">
        <v>18</v>
      </c>
      <c r="D5603" s="5" t="s">
        <v>19</v>
      </c>
      <c r="E5603" s="5" t="s">
        <v>49</v>
      </c>
      <c r="F5603" s="9">
        <v>83</v>
      </c>
      <c r="G5603" s="9">
        <v>1022</v>
      </c>
      <c r="H5603" s="5" t="s">
        <v>21</v>
      </c>
      <c r="I5603" s="5" t="s">
        <v>13732</v>
      </c>
      <c r="J5603" s="12" t="str">
        <f>HYPERLINK("https://www.boe.es/gazeta/dias/1802/10/12/pdfs/GMD-1802-83.pdf#page=10","Abrir facsímil")</f>
        <v>Abrir facsímil</v>
      </c>
      <c r="K5603" s="15" t="s">
        <v>23</v>
      </c>
    </row>
    <row r="5604" spans="1:11" ht="42" customHeight="1">
      <c r="A5604" s="4" t="s">
        <v>13733</v>
      </c>
      <c r="B5604" s="5" t="s">
        <v>13733</v>
      </c>
      <c r="C5604" s="5" t="s">
        <v>18</v>
      </c>
      <c r="D5604" s="5" t="s">
        <v>19</v>
      </c>
      <c r="E5604" s="5" t="s">
        <v>232</v>
      </c>
      <c r="F5604" s="9">
        <v>30</v>
      </c>
      <c r="G5604" s="9">
        <v>351</v>
      </c>
      <c r="H5604" s="5" t="s">
        <v>21</v>
      </c>
      <c r="I5604" s="5" t="s">
        <v>13734</v>
      </c>
      <c r="J5604" s="12" t="str">
        <f>HYPERLINK("https://www.boe.es/gazeta/dias/1802/04/13/pdfs/GMD-1802-30.pdf#page=7","Abrir facsímil")</f>
        <v>Abrir facsímil</v>
      </c>
      <c r="K5604" s="15" t="s">
        <v>23</v>
      </c>
    </row>
    <row r="5605" spans="1:11" ht="42" customHeight="1">
      <c r="A5605" s="4" t="s">
        <v>13735</v>
      </c>
      <c r="B5605" s="5" t="s">
        <v>13735</v>
      </c>
      <c r="C5605" s="5" t="s">
        <v>18</v>
      </c>
      <c r="D5605" s="5" t="s">
        <v>19</v>
      </c>
      <c r="E5605" s="5" t="s">
        <v>82</v>
      </c>
      <c r="F5605" s="9">
        <v>74</v>
      </c>
      <c r="G5605" s="9">
        <v>914</v>
      </c>
      <c r="H5605" s="5" t="s">
        <v>21</v>
      </c>
      <c r="I5605" s="5" t="s">
        <v>13736</v>
      </c>
      <c r="J5605" s="12" t="str">
        <f>HYPERLINK("https://www.boe.es/gazeta/dias/1802/09/10/pdfs/GMD-1802-74.pdf#page=10","Abrir facsímil")</f>
        <v>Abrir facsímil</v>
      </c>
      <c r="K5605" s="15" t="s">
        <v>23</v>
      </c>
    </row>
    <row r="5606" spans="1:11" ht="42" customHeight="1">
      <c r="A5606" s="4" t="s">
        <v>13737</v>
      </c>
      <c r="B5606" s="5" t="s">
        <v>13737</v>
      </c>
      <c r="C5606" s="5" t="s">
        <v>18</v>
      </c>
      <c r="D5606" s="5" t="s">
        <v>19</v>
      </c>
      <c r="E5606" s="5" t="s">
        <v>232</v>
      </c>
      <c r="F5606" s="9">
        <v>30</v>
      </c>
      <c r="G5606" s="9">
        <v>351</v>
      </c>
      <c r="H5606" s="5" t="s">
        <v>21</v>
      </c>
      <c r="I5606" s="5" t="s">
        <v>13738</v>
      </c>
      <c r="J5606" s="12" t="str">
        <f>HYPERLINK("https://www.boe.es/gazeta/dias/1802/04/13/pdfs/GMD-1802-30.pdf#page=7","Abrir facsímil")</f>
        <v>Abrir facsímil</v>
      </c>
      <c r="K5606" s="15" t="s">
        <v>23</v>
      </c>
    </row>
    <row r="5607" spans="1:11" ht="42" customHeight="1">
      <c r="A5607" s="4" t="s">
        <v>13739</v>
      </c>
      <c r="B5607" s="5" t="s">
        <v>13739</v>
      </c>
      <c r="C5607" s="5" t="s">
        <v>29</v>
      </c>
      <c r="D5607" s="5" t="s">
        <v>30</v>
      </c>
      <c r="E5607" s="5" t="s">
        <v>530</v>
      </c>
      <c r="F5607" s="9">
        <v>48</v>
      </c>
      <c r="G5607" s="9">
        <v>586</v>
      </c>
      <c r="H5607" s="5" t="s">
        <v>21</v>
      </c>
      <c r="I5607" s="5" t="s">
        <v>13740</v>
      </c>
      <c r="J5607" s="12" t="str">
        <f>HYPERLINK("https://www.boe.es/gazeta/dias/1802/06/15/pdfs/GMD-1802-48.pdf#page=10","Abrir facsímil")</f>
        <v>Abrir facsímil</v>
      </c>
      <c r="K5607" s="15" t="s">
        <v>23</v>
      </c>
    </row>
    <row r="5608" spans="1:11" ht="42" customHeight="1">
      <c r="A5608" s="4" t="s">
        <v>13741</v>
      </c>
      <c r="B5608" s="5" t="s">
        <v>13742</v>
      </c>
      <c r="C5608" s="5" t="s">
        <v>90</v>
      </c>
      <c r="D5608" s="5" t="s">
        <v>91</v>
      </c>
      <c r="E5608" s="5" t="s">
        <v>60</v>
      </c>
      <c r="F5608" s="9">
        <v>5</v>
      </c>
      <c r="G5608" s="9">
        <v>51</v>
      </c>
      <c r="H5608" s="5" t="s">
        <v>21</v>
      </c>
      <c r="I5608" s="5" t="s">
        <v>13743</v>
      </c>
      <c r="J5608" s="12" t="str">
        <f>HYPERLINK("https://www.boe.es/gazeta/dias/1802/01/15/pdfs/GMD-1802-5.pdf#page=7","Abrir facsímil")</f>
        <v>Abrir facsímil</v>
      </c>
      <c r="K5608" s="15" t="s">
        <v>23</v>
      </c>
    </row>
    <row r="5609" spans="1:11" ht="42" customHeight="1">
      <c r="A5609" s="4" t="s">
        <v>13744</v>
      </c>
      <c r="B5609" s="5" t="s">
        <v>13744</v>
      </c>
      <c r="C5609" s="5" t="s">
        <v>42</v>
      </c>
      <c r="D5609" s="5" t="s">
        <v>43</v>
      </c>
      <c r="E5609" s="5" t="s">
        <v>44</v>
      </c>
      <c r="F5609" s="9">
        <v>99</v>
      </c>
      <c r="G5609" s="9" t="s">
        <v>295</v>
      </c>
      <c r="H5609" s="5" t="s">
        <v>21</v>
      </c>
      <c r="I5609" s="5" t="s">
        <v>13745</v>
      </c>
      <c r="J5609" s="12" t="str">
        <f>HYPERLINK("https://www.boe.es/gazeta/dias/1802/12/07/pdfs/GMD-D-1802-99.pdf#page=7","Abrir facsímil")</f>
        <v>Abrir facsímil</v>
      </c>
      <c r="K5609" s="15" t="s">
        <v>23</v>
      </c>
    </row>
    <row r="5610" spans="1:11" ht="42" customHeight="1">
      <c r="A5610" s="4" t="s">
        <v>13746</v>
      </c>
      <c r="B5610" s="5" t="s">
        <v>13746</v>
      </c>
      <c r="C5610" s="5" t="s">
        <v>42</v>
      </c>
      <c r="D5610" s="5" t="s">
        <v>43</v>
      </c>
      <c r="E5610" s="5" t="s">
        <v>44</v>
      </c>
      <c r="F5610" s="9">
        <v>99</v>
      </c>
      <c r="G5610" s="9" t="s">
        <v>262</v>
      </c>
      <c r="H5610" s="5" t="s">
        <v>21</v>
      </c>
      <c r="I5610" s="5" t="s">
        <v>13747</v>
      </c>
      <c r="J5610" s="12" t="str">
        <f>HYPERLINK("https://www.boe.es/gazeta/dias/1802/12/07/pdfs/GMD-D-1802-99.pdf#page=8","Abrir facsímil")</f>
        <v>Abrir facsímil</v>
      </c>
      <c r="K5610" s="15" t="s">
        <v>23</v>
      </c>
    </row>
    <row r="5611" spans="1:11" ht="42" customHeight="1">
      <c r="A5611" s="4" t="s">
        <v>13748</v>
      </c>
      <c r="B5611" s="5" t="s">
        <v>13748</v>
      </c>
      <c r="C5611" s="5" t="s">
        <v>160</v>
      </c>
      <c r="D5611" s="5" t="s">
        <v>91</v>
      </c>
      <c r="E5611" s="5" t="s">
        <v>276</v>
      </c>
      <c r="F5611" s="9">
        <v>75</v>
      </c>
      <c r="G5611" s="9">
        <v>927</v>
      </c>
      <c r="H5611" s="5" t="s">
        <v>21</v>
      </c>
      <c r="I5611" s="5" t="s">
        <v>13749</v>
      </c>
      <c r="J5611" s="12" t="str">
        <f>HYPERLINK("https://www.boe.es/gazeta/dias/1802/09/14/pdfs/GMD-1802-75.pdf#page=11","Abrir facsímil")</f>
        <v>Abrir facsímil</v>
      </c>
      <c r="K5611" s="15" t="s">
        <v>23</v>
      </c>
    </row>
    <row r="5612" spans="1:11" ht="42" customHeight="1">
      <c r="A5612" s="4" t="s">
        <v>13750</v>
      </c>
      <c r="B5612" s="5" t="s">
        <v>13750</v>
      </c>
      <c r="C5612" s="5" t="s">
        <v>29</v>
      </c>
      <c r="D5612" s="5" t="s">
        <v>30</v>
      </c>
      <c r="E5612" s="5" t="s">
        <v>99</v>
      </c>
      <c r="F5612" s="9">
        <v>86</v>
      </c>
      <c r="G5612" s="9">
        <v>1069</v>
      </c>
      <c r="H5612" s="5" t="s">
        <v>21</v>
      </c>
      <c r="I5612" s="5" t="s">
        <v>13751</v>
      </c>
      <c r="J5612" s="12" t="str">
        <f>HYPERLINK("https://www.boe.es/gazeta/dias/1802/10/22/pdfs/GMD-1802-86.pdf#page=9","Abrir facsímil")</f>
        <v>Abrir facsímil</v>
      </c>
      <c r="K5612" s="15" t="s">
        <v>23</v>
      </c>
    </row>
    <row r="5613" spans="1:11" ht="42" customHeight="1">
      <c r="A5613" s="4" t="s">
        <v>13752</v>
      </c>
      <c r="B5613" s="5" t="s">
        <v>13752</v>
      </c>
      <c r="C5613" s="5" t="s">
        <v>18</v>
      </c>
      <c r="D5613" s="5" t="s">
        <v>19</v>
      </c>
      <c r="E5613" s="5" t="s">
        <v>276</v>
      </c>
      <c r="F5613" s="9">
        <v>75</v>
      </c>
      <c r="G5613" s="9">
        <v>927</v>
      </c>
      <c r="H5613" s="5" t="s">
        <v>21</v>
      </c>
      <c r="I5613" s="5" t="s">
        <v>13753</v>
      </c>
      <c r="J5613" s="12" t="str">
        <f>HYPERLINK("https://www.boe.es/gazeta/dias/1802/09/14/pdfs/GMD-1802-75.pdf#page=11","Abrir facsímil")</f>
        <v>Abrir facsímil</v>
      </c>
      <c r="K5613" s="15" t="s">
        <v>23</v>
      </c>
    </row>
    <row r="5614" spans="1:11" ht="42" customHeight="1">
      <c r="A5614" s="4" t="s">
        <v>13754</v>
      </c>
      <c r="B5614" s="5" t="s">
        <v>13754</v>
      </c>
      <c r="C5614" s="5" t="s">
        <v>18</v>
      </c>
      <c r="D5614" s="5" t="s">
        <v>19</v>
      </c>
      <c r="E5614" s="5" t="s">
        <v>439</v>
      </c>
      <c r="F5614" s="9">
        <v>76</v>
      </c>
      <c r="G5614" s="9">
        <v>939</v>
      </c>
      <c r="H5614" s="5" t="s">
        <v>21</v>
      </c>
      <c r="I5614" s="5" t="s">
        <v>13755</v>
      </c>
      <c r="J5614" s="12" t="str">
        <f>HYPERLINK("https://www.boe.es/gazeta/dias/1802/09/17/pdfs/GMD-1802-76.pdf#page=11","Abrir facsímil")</f>
        <v>Abrir facsímil</v>
      </c>
      <c r="K5614" s="15" t="s">
        <v>23</v>
      </c>
    </row>
    <row r="5615" spans="1:11" ht="42" customHeight="1">
      <c r="A5615" s="4" t="s">
        <v>13756</v>
      </c>
      <c r="B5615" s="5" t="s">
        <v>13756</v>
      </c>
      <c r="C5615" s="5" t="s">
        <v>29</v>
      </c>
      <c r="D5615" s="5" t="s">
        <v>30</v>
      </c>
      <c r="E5615" s="5" t="s">
        <v>196</v>
      </c>
      <c r="F5615" s="9">
        <v>2</v>
      </c>
      <c r="G5615" s="9">
        <v>18</v>
      </c>
      <c r="H5615" s="5" t="s">
        <v>21</v>
      </c>
      <c r="I5615" s="5" t="s">
        <v>13757</v>
      </c>
      <c r="J5615" s="12" t="str">
        <f>HYPERLINK("https://www.boe.es/gazeta/dias/1802/01/05/pdfs/GMD-1802-2.pdf#page=10","Abrir facsímil")</f>
        <v>Abrir facsímil</v>
      </c>
      <c r="K5615" s="15" t="s">
        <v>23</v>
      </c>
    </row>
    <row r="5616" spans="1:11" ht="42" customHeight="1">
      <c r="A5616" s="4" t="s">
        <v>13758</v>
      </c>
      <c r="B5616" s="5" t="s">
        <v>13758</v>
      </c>
      <c r="C5616" s="5" t="s">
        <v>18</v>
      </c>
      <c r="D5616" s="5" t="s">
        <v>19</v>
      </c>
      <c r="E5616" s="5" t="s">
        <v>439</v>
      </c>
      <c r="F5616" s="9">
        <v>76</v>
      </c>
      <c r="G5616" s="9">
        <v>939</v>
      </c>
      <c r="H5616" s="5" t="s">
        <v>21</v>
      </c>
      <c r="I5616" s="5" t="s">
        <v>13759</v>
      </c>
      <c r="J5616" s="12" t="str">
        <f>HYPERLINK("https://www.boe.es/gazeta/dias/1802/09/17/pdfs/GMD-1802-76.pdf#page=11","Abrir facsímil")</f>
        <v>Abrir facsímil</v>
      </c>
      <c r="K5616" s="15" t="s">
        <v>23</v>
      </c>
    </row>
    <row r="5617" spans="1:11" ht="42" customHeight="1">
      <c r="A5617" s="4" t="s">
        <v>13760</v>
      </c>
      <c r="B5617" s="5" t="s">
        <v>13760</v>
      </c>
      <c r="C5617" s="5" t="s">
        <v>18</v>
      </c>
      <c r="D5617" s="5" t="s">
        <v>19</v>
      </c>
      <c r="E5617" s="5" t="s">
        <v>443</v>
      </c>
      <c r="F5617" s="9">
        <v>78</v>
      </c>
      <c r="G5617" s="9">
        <v>963</v>
      </c>
      <c r="H5617" s="5" t="s">
        <v>21</v>
      </c>
      <c r="I5617" s="5" t="s">
        <v>13761</v>
      </c>
      <c r="J5617" s="12" t="str">
        <f>HYPERLINK("https://www.boe.es/gazeta/dias/1802/09/24/pdfs/GMD-1802-78.pdf#page=11","Abrir facsímil")</f>
        <v>Abrir facsímil</v>
      </c>
      <c r="K5617" s="15" t="s">
        <v>23</v>
      </c>
    </row>
    <row r="5618" spans="1:11" ht="42" customHeight="1">
      <c r="A5618" s="4" t="s">
        <v>13762</v>
      </c>
      <c r="B5618" s="5" t="s">
        <v>13762</v>
      </c>
      <c r="C5618" s="5" t="s">
        <v>29</v>
      </c>
      <c r="D5618" s="5" t="s">
        <v>30</v>
      </c>
      <c r="E5618" s="5" t="s">
        <v>49</v>
      </c>
      <c r="F5618" s="9">
        <v>83</v>
      </c>
      <c r="G5618" s="9">
        <v>1021</v>
      </c>
      <c r="H5618" s="5" t="s">
        <v>21</v>
      </c>
      <c r="I5618" s="5" t="s">
        <v>13763</v>
      </c>
      <c r="J5618" s="12" t="str">
        <f>HYPERLINK("https://www.boe.es/gazeta/dias/1802/10/12/pdfs/GMD-1802-83.pdf#page=9","Abrir facsímil")</f>
        <v>Abrir facsímil</v>
      </c>
      <c r="K5618" s="15" t="s">
        <v>23</v>
      </c>
    </row>
    <row r="5619" spans="1:11" ht="42" customHeight="1">
      <c r="A5619" s="4" t="s">
        <v>13764</v>
      </c>
      <c r="B5619" s="5" t="s">
        <v>13764</v>
      </c>
      <c r="C5619" s="5" t="s">
        <v>18</v>
      </c>
      <c r="D5619" s="5" t="s">
        <v>19</v>
      </c>
      <c r="E5619" s="5" t="s">
        <v>175</v>
      </c>
      <c r="F5619" s="9">
        <v>37</v>
      </c>
      <c r="G5619" s="9">
        <v>442</v>
      </c>
      <c r="H5619" s="5" t="s">
        <v>21</v>
      </c>
      <c r="I5619" s="5" t="s">
        <v>13765</v>
      </c>
      <c r="J5619" s="12" t="str">
        <f>HYPERLINK("https://www.boe.es/gazeta/dias/1802/05/07/pdfs/GMD-1802-37.pdf#page=10","Abrir facsímil")</f>
        <v>Abrir facsímil</v>
      </c>
      <c r="K5619" s="15" t="s">
        <v>23</v>
      </c>
    </row>
    <row r="5620" spans="1:11" ht="42" customHeight="1">
      <c r="A5620" s="4" t="s">
        <v>13766</v>
      </c>
      <c r="B5620" s="5" t="s">
        <v>13767</v>
      </c>
      <c r="C5620" s="5" t="s">
        <v>18</v>
      </c>
      <c r="D5620" s="5" t="s">
        <v>19</v>
      </c>
      <c r="E5620" s="5" t="s">
        <v>20</v>
      </c>
      <c r="F5620" s="9">
        <v>84</v>
      </c>
      <c r="G5620" s="9">
        <v>1043</v>
      </c>
      <c r="H5620" s="5" t="s">
        <v>21</v>
      </c>
      <c r="I5620" s="5" t="s">
        <v>13768</v>
      </c>
      <c r="J5620" s="12" t="str">
        <f>HYPERLINK("https://www.boe.es/gazeta/dias/1802/10/15/pdfs/GMD-1802-84.pdf#page=11","Abrir facsímil")</f>
        <v>Abrir facsímil</v>
      </c>
      <c r="K5620" s="15" t="s">
        <v>23</v>
      </c>
    </row>
    <row r="5621" spans="1:11" ht="42" customHeight="1">
      <c r="A5621" s="4" t="s">
        <v>13769</v>
      </c>
      <c r="B5621" s="5" t="s">
        <v>13770</v>
      </c>
      <c r="C5621" s="5" t="s">
        <v>18</v>
      </c>
      <c r="D5621" s="5" t="s">
        <v>19</v>
      </c>
      <c r="E5621" s="5" t="s">
        <v>20</v>
      </c>
      <c r="F5621" s="9">
        <v>84</v>
      </c>
      <c r="G5621" s="9">
        <v>1044</v>
      </c>
      <c r="H5621" s="5" t="s">
        <v>21</v>
      </c>
      <c r="I5621" s="5" t="s">
        <v>13771</v>
      </c>
      <c r="J5621" s="12" t="str">
        <f>HYPERLINK("https://www.boe.es/gazeta/dias/1802/10/15/pdfs/GMD-1802-84.pdf#page=12","Abrir facsímil")</f>
        <v>Abrir facsímil</v>
      </c>
      <c r="K5621" s="15" t="s">
        <v>23</v>
      </c>
    </row>
    <row r="5622" spans="1:11" ht="42" customHeight="1">
      <c r="A5622" s="4" t="s">
        <v>13772</v>
      </c>
      <c r="B5622" s="5" t="s">
        <v>13773</v>
      </c>
      <c r="C5622" s="5" t="s">
        <v>29</v>
      </c>
      <c r="D5622" s="5" t="s">
        <v>30</v>
      </c>
      <c r="E5622" s="5" t="s">
        <v>530</v>
      </c>
      <c r="F5622" s="9">
        <v>48</v>
      </c>
      <c r="G5622" s="9">
        <v>586</v>
      </c>
      <c r="H5622" s="5" t="s">
        <v>21</v>
      </c>
      <c r="I5622" s="5" t="s">
        <v>13774</v>
      </c>
      <c r="J5622" s="12" t="str">
        <f>HYPERLINK("https://www.boe.es/gazeta/dias/1802/06/15/pdfs/GMD-1802-48.pdf#page=10","Abrir facsímil")</f>
        <v>Abrir facsímil</v>
      </c>
      <c r="K5622" s="15" t="s">
        <v>23</v>
      </c>
    </row>
    <row r="5623" spans="1:11" ht="42" customHeight="1">
      <c r="A5623" s="4" t="s">
        <v>13775</v>
      </c>
      <c r="B5623" s="5" t="s">
        <v>13776</v>
      </c>
      <c r="C5623" s="5" t="s">
        <v>18</v>
      </c>
      <c r="D5623" s="5" t="s">
        <v>19</v>
      </c>
      <c r="E5623" s="5" t="s">
        <v>751</v>
      </c>
      <c r="F5623" s="9">
        <v>98</v>
      </c>
      <c r="G5623" s="9">
        <v>1214</v>
      </c>
      <c r="H5623" s="5" t="s">
        <v>21</v>
      </c>
      <c r="I5623" s="5" t="s">
        <v>13777</v>
      </c>
      <c r="J5623" s="12" t="str">
        <f>HYPERLINK("https://www.boe.es/gazeta/dias/1802/12/03/pdfs/GMD-1802-98.pdf#page=10","Abrir facsímil")</f>
        <v>Abrir facsímil</v>
      </c>
      <c r="K5623" s="15" t="s">
        <v>23</v>
      </c>
    </row>
    <row r="5624" spans="1:11" ht="42" customHeight="1">
      <c r="A5624" s="4" t="s">
        <v>13778</v>
      </c>
      <c r="B5624" s="5" t="s">
        <v>13779</v>
      </c>
      <c r="C5624" s="5" t="s">
        <v>35</v>
      </c>
      <c r="D5624" s="5" t="s">
        <v>36</v>
      </c>
      <c r="E5624" s="5" t="s">
        <v>170</v>
      </c>
      <c r="F5624" s="9">
        <v>28</v>
      </c>
      <c r="G5624" s="9">
        <v>323</v>
      </c>
      <c r="H5624" s="5" t="s">
        <v>21</v>
      </c>
      <c r="I5624" s="5" t="s">
        <v>13780</v>
      </c>
      <c r="J5624" s="12" t="str">
        <f>HYPERLINK("https://www.boe.es/gazeta/dias/1802/04/06/pdfs/GMD-1802-28.pdf#page=3","Abrir facsímil")</f>
        <v>Abrir facsímil</v>
      </c>
      <c r="K5624" s="15" t="s">
        <v>23</v>
      </c>
    </row>
    <row r="5625" spans="1:11" ht="42" customHeight="1">
      <c r="A5625" s="4" t="s">
        <v>13781</v>
      </c>
      <c r="B5625" s="5" t="s">
        <v>13782</v>
      </c>
      <c r="C5625" s="5" t="s">
        <v>42</v>
      </c>
      <c r="D5625" s="5" t="s">
        <v>43</v>
      </c>
      <c r="E5625" s="5" t="s">
        <v>44</v>
      </c>
      <c r="F5625" s="9">
        <v>99</v>
      </c>
      <c r="G5625" s="9" t="s">
        <v>548</v>
      </c>
      <c r="H5625" s="5" t="s">
        <v>21</v>
      </c>
      <c r="I5625" s="5" t="s">
        <v>13783</v>
      </c>
      <c r="J5625" s="12" t="str">
        <f>HYPERLINK("https://www.boe.es/gazeta/dias/1802/12/07/pdfs/GMD-D-1802-99.pdf#page=12","Abrir facsímil")</f>
        <v>Abrir facsímil</v>
      </c>
      <c r="K5625" s="15" t="s">
        <v>23</v>
      </c>
    </row>
    <row r="5626" spans="1:11" ht="42" customHeight="1">
      <c r="A5626" s="4" t="s">
        <v>13784</v>
      </c>
      <c r="B5626" s="5" t="s">
        <v>13785</v>
      </c>
      <c r="C5626" s="5" t="s">
        <v>29</v>
      </c>
      <c r="D5626" s="5" t="s">
        <v>30</v>
      </c>
      <c r="E5626" s="5" t="s">
        <v>292</v>
      </c>
      <c r="F5626" s="9">
        <v>62</v>
      </c>
      <c r="G5626" s="9">
        <v>751</v>
      </c>
      <c r="H5626" s="5" t="s">
        <v>21</v>
      </c>
      <c r="I5626" s="5" t="s">
        <v>13786</v>
      </c>
      <c r="J5626" s="12" t="str">
        <f>HYPERLINK("https://www.boe.es/gazeta/dias/1802/07/30/pdfs/GMD-1802-62.pdf#page=7","Abrir facsímil")</f>
        <v>Abrir facsímil</v>
      </c>
      <c r="K5626" s="15" t="s">
        <v>23</v>
      </c>
    </row>
    <row r="5627" spans="1:11" ht="42" customHeight="1">
      <c r="A5627" s="4" t="s">
        <v>13787</v>
      </c>
      <c r="B5627" s="5" t="s">
        <v>13788</v>
      </c>
      <c r="C5627" s="5" t="s">
        <v>29</v>
      </c>
      <c r="D5627" s="5" t="s">
        <v>30</v>
      </c>
      <c r="E5627" s="5" t="s">
        <v>152</v>
      </c>
      <c r="F5627" s="9">
        <v>25</v>
      </c>
      <c r="G5627" s="9">
        <v>286</v>
      </c>
      <c r="H5627" s="5" t="s">
        <v>21</v>
      </c>
      <c r="I5627" s="5" t="s">
        <v>13789</v>
      </c>
      <c r="J5627" s="12" t="str">
        <f>HYPERLINK("https://www.boe.es/gazeta/dias/1802/03/26/pdfs/GMD-1802-25.pdf#page=10","Abrir facsímil")</f>
        <v>Abrir facsímil</v>
      </c>
      <c r="K5627" s="15" t="s">
        <v>23</v>
      </c>
    </row>
    <row r="5628" spans="1:11" ht="42" customHeight="1">
      <c r="A5628" s="4" t="s">
        <v>13787</v>
      </c>
      <c r="B5628" s="5" t="s">
        <v>13788</v>
      </c>
      <c r="C5628" s="5" t="s">
        <v>18</v>
      </c>
      <c r="D5628" s="5" t="s">
        <v>19</v>
      </c>
      <c r="E5628" s="5" t="s">
        <v>49</v>
      </c>
      <c r="F5628" s="9">
        <v>83</v>
      </c>
      <c r="G5628" s="9">
        <v>1023</v>
      </c>
      <c r="H5628" s="5" t="s">
        <v>21</v>
      </c>
      <c r="I5628" s="5" t="s">
        <v>13790</v>
      </c>
      <c r="J5628" s="12" t="str">
        <f>HYPERLINK("https://www.boe.es/gazeta/dias/1802/10/12/pdfs/GMD-1802-83.pdf#page=11","Abrir facsímil")</f>
        <v>Abrir facsímil</v>
      </c>
      <c r="K5628" s="15" t="s">
        <v>23</v>
      </c>
    </row>
    <row r="5629" spans="1:11" ht="42" customHeight="1">
      <c r="A5629" s="4" t="s">
        <v>13791</v>
      </c>
      <c r="B5629" s="5" t="s">
        <v>13792</v>
      </c>
      <c r="C5629" s="5" t="s">
        <v>55</v>
      </c>
      <c r="D5629" s="5" t="s">
        <v>56</v>
      </c>
      <c r="E5629" s="5" t="s">
        <v>1618</v>
      </c>
      <c r="F5629" s="9">
        <v>31</v>
      </c>
      <c r="G5629" s="9">
        <v>368</v>
      </c>
      <c r="H5629" s="5" t="s">
        <v>21</v>
      </c>
      <c r="I5629" s="5" t="s">
        <v>13793</v>
      </c>
      <c r="J5629" s="12" t="str">
        <f>HYPERLINK("https://www.boe.es/gazeta/dias/1802/04/16/pdfs/GMD-1802-31.pdf#page=12","Abrir facsímil")</f>
        <v>Abrir facsímil</v>
      </c>
      <c r="K5629" s="15" t="s">
        <v>23</v>
      </c>
    </row>
    <row r="5630" spans="1:11" ht="42" customHeight="1">
      <c r="A5630" s="4" t="s">
        <v>13794</v>
      </c>
      <c r="B5630" s="5" t="s">
        <v>13795</v>
      </c>
      <c r="C5630" s="5" t="s">
        <v>18</v>
      </c>
      <c r="D5630" s="5" t="s">
        <v>19</v>
      </c>
      <c r="E5630" s="5" t="s">
        <v>49</v>
      </c>
      <c r="F5630" s="9">
        <v>83</v>
      </c>
      <c r="G5630" s="9">
        <v>1025</v>
      </c>
      <c r="H5630" s="5" t="s">
        <v>21</v>
      </c>
      <c r="I5630" s="5" t="s">
        <v>13796</v>
      </c>
      <c r="J5630" s="12" t="str">
        <f>HYPERLINK("https://www.boe.es/gazeta/dias/1802/10/12/pdfs/GMD-1802-83.pdf#page=13","Abrir facsímil")</f>
        <v>Abrir facsímil</v>
      </c>
      <c r="K5630" s="15" t="s">
        <v>23</v>
      </c>
    </row>
    <row r="5631" spans="1:11" ht="42" customHeight="1">
      <c r="A5631" s="4" t="s">
        <v>13797</v>
      </c>
      <c r="B5631" s="5" t="s">
        <v>13798</v>
      </c>
      <c r="C5631" s="5" t="s">
        <v>29</v>
      </c>
      <c r="D5631" s="5" t="s">
        <v>30</v>
      </c>
      <c r="E5631" s="5" t="s">
        <v>574</v>
      </c>
      <c r="F5631" s="9" t="s">
        <v>575</v>
      </c>
      <c r="G5631" s="9">
        <v>709</v>
      </c>
      <c r="H5631" s="5" t="s">
        <v>21</v>
      </c>
      <c r="I5631" s="5" t="s">
        <v>13799</v>
      </c>
      <c r="J5631" s="12" t="str">
        <f>HYPERLINK("https://www.boe.es/gazeta/dias/1802/07/21/pdfs/GMD-1802-59E.pdf#page=5","Abrir facsímil")</f>
        <v>Abrir facsímil</v>
      </c>
      <c r="K5631" s="15" t="s">
        <v>23</v>
      </c>
    </row>
    <row r="5632" spans="1:11" ht="42" customHeight="1">
      <c r="A5632" s="4" t="s">
        <v>13797</v>
      </c>
      <c r="B5632" s="5" t="s">
        <v>13798</v>
      </c>
      <c r="C5632" s="5" t="s">
        <v>29</v>
      </c>
      <c r="D5632" s="5" t="s">
        <v>30</v>
      </c>
      <c r="E5632" s="5" t="s">
        <v>574</v>
      </c>
      <c r="F5632" s="9" t="s">
        <v>575</v>
      </c>
      <c r="G5632" s="9">
        <v>711</v>
      </c>
      <c r="H5632" s="5" t="s">
        <v>21</v>
      </c>
      <c r="I5632" s="5" t="s">
        <v>13800</v>
      </c>
      <c r="J5632" s="12" t="str">
        <f>HYPERLINK("https://www.boe.es/gazeta/dias/1802/07/21/pdfs/GMD-1802-59E.pdf#page=7","Abrir facsímil")</f>
        <v>Abrir facsímil</v>
      </c>
      <c r="K5632" s="15" t="s">
        <v>23</v>
      </c>
    </row>
    <row r="5633" spans="1:11" ht="42" customHeight="1">
      <c r="A5633" s="4" t="s">
        <v>13797</v>
      </c>
      <c r="B5633" s="5" t="s">
        <v>13798</v>
      </c>
      <c r="C5633" s="5" t="s">
        <v>29</v>
      </c>
      <c r="D5633" s="5" t="s">
        <v>30</v>
      </c>
      <c r="E5633" s="5" t="s">
        <v>429</v>
      </c>
      <c r="F5633" s="9">
        <v>91</v>
      </c>
      <c r="G5633" s="9">
        <v>1129</v>
      </c>
      <c r="H5633" s="5" t="s">
        <v>21</v>
      </c>
      <c r="I5633" s="5" t="s">
        <v>13801</v>
      </c>
      <c r="J5633" s="12" t="str">
        <f>HYPERLINK("https://www.boe.es/gazeta/dias/1802/11/09/pdfs/GMD-1802-91.pdf#page=9","Abrir facsímil")</f>
        <v>Abrir facsímil</v>
      </c>
      <c r="K5633" s="15" t="s">
        <v>23</v>
      </c>
    </row>
    <row r="5634" spans="1:11" ht="42" customHeight="1">
      <c r="A5634" s="4" t="s">
        <v>13802</v>
      </c>
      <c r="B5634" s="5" t="s">
        <v>13803</v>
      </c>
      <c r="C5634" s="5" t="s">
        <v>29</v>
      </c>
      <c r="D5634" s="5" t="s">
        <v>30</v>
      </c>
      <c r="E5634" s="5" t="s">
        <v>710</v>
      </c>
      <c r="F5634" s="9">
        <v>85</v>
      </c>
      <c r="G5634" s="9">
        <v>1057</v>
      </c>
      <c r="H5634" s="5" t="s">
        <v>21</v>
      </c>
      <c r="I5634" s="5" t="s">
        <v>13804</v>
      </c>
      <c r="J5634" s="12" t="str">
        <f>HYPERLINK("https://www.boe.es/gazeta/dias/1802/10/19/pdfs/GMD-1802-85.pdf#page=9","Abrir facsímil")</f>
        <v>Abrir facsímil</v>
      </c>
      <c r="K5634" s="15" t="s">
        <v>23</v>
      </c>
    </row>
    <row r="5635" spans="1:11" ht="42" customHeight="1">
      <c r="A5635" s="4" t="s">
        <v>13805</v>
      </c>
      <c r="B5635" s="5" t="s">
        <v>13805</v>
      </c>
      <c r="C5635" s="5" t="s">
        <v>29</v>
      </c>
      <c r="D5635" s="5" t="s">
        <v>30</v>
      </c>
      <c r="E5635" s="5" t="s">
        <v>491</v>
      </c>
      <c r="F5635" s="9">
        <v>57</v>
      </c>
      <c r="G5635" s="9">
        <v>689</v>
      </c>
      <c r="H5635" s="5" t="s">
        <v>21</v>
      </c>
      <c r="I5635" s="5" t="s">
        <v>13806</v>
      </c>
      <c r="J5635" s="12" t="str">
        <f>HYPERLINK("https://www.boe.es/gazeta/dias/1802/07/16/pdfs/GMD-1802-57.pdf#page=9","Abrir facsímil")</f>
        <v>Abrir facsímil</v>
      </c>
      <c r="K5635" s="15" t="s">
        <v>23</v>
      </c>
    </row>
    <row r="5636" spans="1:11" ht="42" customHeight="1">
      <c r="A5636" s="4" t="s">
        <v>13807</v>
      </c>
      <c r="B5636" s="5" t="s">
        <v>13807</v>
      </c>
      <c r="C5636" s="5" t="s">
        <v>42</v>
      </c>
      <c r="D5636" s="5" t="s">
        <v>43</v>
      </c>
      <c r="E5636" s="5" t="s">
        <v>44</v>
      </c>
      <c r="F5636" s="9">
        <v>99</v>
      </c>
      <c r="G5636" s="9" t="s">
        <v>78</v>
      </c>
      <c r="H5636" s="5" t="s">
        <v>21</v>
      </c>
      <c r="I5636" s="5" t="s">
        <v>13808</v>
      </c>
      <c r="J5636" s="12" t="str">
        <f>HYPERLINK("https://www.boe.es/gazeta/dias/1802/12/07/pdfs/GMD-D-1802-99.pdf#page=15","Abrir facsímil")</f>
        <v>Abrir facsímil</v>
      </c>
      <c r="K5636" s="15" t="s">
        <v>23</v>
      </c>
    </row>
    <row r="5637" spans="1:11" ht="42" customHeight="1">
      <c r="A5637" s="4" t="s">
        <v>13809</v>
      </c>
      <c r="B5637" s="5" t="s">
        <v>13809</v>
      </c>
      <c r="C5637" s="5" t="s">
        <v>29</v>
      </c>
      <c r="D5637" s="5" t="s">
        <v>30</v>
      </c>
      <c r="E5637" s="5" t="s">
        <v>439</v>
      </c>
      <c r="F5637" s="9">
        <v>76</v>
      </c>
      <c r="G5637" s="9">
        <v>939</v>
      </c>
      <c r="H5637" s="5" t="s">
        <v>21</v>
      </c>
      <c r="I5637" s="5" t="s">
        <v>13810</v>
      </c>
      <c r="J5637" s="12" t="str">
        <f>HYPERLINK("https://www.boe.es/gazeta/dias/1802/09/17/pdfs/GMD-1802-76.pdf#page=11","Abrir facsímil")</f>
        <v>Abrir facsímil</v>
      </c>
      <c r="K5637" s="15" t="s">
        <v>23</v>
      </c>
    </row>
    <row r="5638" spans="1:11" ht="42" customHeight="1">
      <c r="A5638" s="4" t="s">
        <v>13811</v>
      </c>
      <c r="B5638" s="5" t="s">
        <v>13811</v>
      </c>
      <c r="C5638" s="5" t="s">
        <v>18</v>
      </c>
      <c r="D5638" s="5" t="s">
        <v>19</v>
      </c>
      <c r="E5638" s="5" t="s">
        <v>49</v>
      </c>
      <c r="F5638" s="9">
        <v>83</v>
      </c>
      <c r="G5638" s="9">
        <v>1024</v>
      </c>
      <c r="H5638" s="5" t="s">
        <v>21</v>
      </c>
      <c r="I5638" s="5" t="s">
        <v>13812</v>
      </c>
      <c r="J5638" s="12" t="str">
        <f>HYPERLINK("https://www.boe.es/gazeta/dias/1802/10/12/pdfs/GMD-1802-83.pdf#page=12","Abrir facsímil")</f>
        <v>Abrir facsímil</v>
      </c>
      <c r="K5638" s="15" t="s">
        <v>23</v>
      </c>
    </row>
    <row r="5639" spans="1:11" ht="42" customHeight="1">
      <c r="A5639" s="4" t="s">
        <v>13813</v>
      </c>
      <c r="B5639" s="5" t="s">
        <v>13813</v>
      </c>
      <c r="C5639" s="5" t="s">
        <v>42</v>
      </c>
      <c r="D5639" s="5" t="s">
        <v>43</v>
      </c>
      <c r="E5639" s="5" t="s">
        <v>44</v>
      </c>
      <c r="F5639" s="9">
        <v>99</v>
      </c>
      <c r="G5639" s="9" t="s">
        <v>222</v>
      </c>
      <c r="H5639" s="5" t="s">
        <v>21</v>
      </c>
      <c r="I5639" s="5" t="s">
        <v>13814</v>
      </c>
      <c r="J5639" s="12" t="str">
        <f>HYPERLINK("https://www.boe.es/gazeta/dias/1802/12/07/pdfs/GMD-D-1802-99.pdf#page=5","Abrir facsímil")</f>
        <v>Abrir facsímil</v>
      </c>
      <c r="K5639" s="15" t="s">
        <v>23</v>
      </c>
    </row>
    <row r="5640" spans="1:11" ht="42" customHeight="1">
      <c r="A5640" s="4" t="s">
        <v>13815</v>
      </c>
      <c r="B5640" s="5" t="s">
        <v>13816</v>
      </c>
      <c r="C5640" s="5" t="s">
        <v>29</v>
      </c>
      <c r="D5640" s="5" t="s">
        <v>30</v>
      </c>
      <c r="E5640" s="5" t="s">
        <v>146</v>
      </c>
      <c r="F5640" s="9">
        <v>42</v>
      </c>
      <c r="G5640" s="9">
        <v>506</v>
      </c>
      <c r="H5640" s="5" t="s">
        <v>21</v>
      </c>
      <c r="I5640" s="5" t="s">
        <v>13817</v>
      </c>
      <c r="J5640" s="12" t="str">
        <f>HYPERLINK("https://www.boe.es/gazeta/dias/1802/05/25/pdfs/GMD-1802-42.pdf#page=10","Abrir facsímil")</f>
        <v>Abrir facsímil</v>
      </c>
      <c r="K5640" s="15" t="s">
        <v>23</v>
      </c>
    </row>
    <row r="5641" spans="1:11" ht="42" customHeight="1">
      <c r="A5641" s="4" t="s">
        <v>13818</v>
      </c>
      <c r="B5641" s="5" t="s">
        <v>13819</v>
      </c>
      <c r="C5641" s="5" t="s">
        <v>29</v>
      </c>
      <c r="D5641" s="5" t="s">
        <v>30</v>
      </c>
      <c r="E5641" s="5" t="s">
        <v>49</v>
      </c>
      <c r="F5641" s="9">
        <v>83</v>
      </c>
      <c r="G5641" s="9">
        <v>1020</v>
      </c>
      <c r="H5641" s="5" t="s">
        <v>21</v>
      </c>
      <c r="I5641" s="5" t="s">
        <v>13820</v>
      </c>
      <c r="J5641" s="12" t="str">
        <f>HYPERLINK("https://www.boe.es/gazeta/dias/1802/10/12/pdfs/GMD-1802-83.pdf#page=8","Abrir facsímil")</f>
        <v>Abrir facsímil</v>
      </c>
      <c r="K5641" s="15" t="s">
        <v>23</v>
      </c>
    </row>
    <row r="5642" spans="1:11" ht="42" customHeight="1">
      <c r="A5642" s="4" t="s">
        <v>13821</v>
      </c>
      <c r="B5642" s="5" t="s">
        <v>13821</v>
      </c>
      <c r="C5642" s="5" t="s">
        <v>42</v>
      </c>
      <c r="D5642" s="5" t="s">
        <v>43</v>
      </c>
      <c r="E5642" s="5" t="s">
        <v>44</v>
      </c>
      <c r="F5642" s="9">
        <v>99</v>
      </c>
      <c r="G5642" s="9" t="s">
        <v>78</v>
      </c>
      <c r="H5642" s="5" t="s">
        <v>21</v>
      </c>
      <c r="I5642" s="5" t="s">
        <v>13822</v>
      </c>
      <c r="J5642" s="12" t="str">
        <f>HYPERLINK("https://www.boe.es/gazeta/dias/1802/12/07/pdfs/GMD-D-1802-99.pdf#page=15","Abrir facsímil")</f>
        <v>Abrir facsímil</v>
      </c>
      <c r="K5642" s="15" t="s">
        <v>23</v>
      </c>
    </row>
    <row r="5643" spans="1:11" ht="42" customHeight="1">
      <c r="A5643" s="4" t="s">
        <v>13823</v>
      </c>
      <c r="B5643" s="5" t="s">
        <v>13824</v>
      </c>
      <c r="C5643" s="5" t="s">
        <v>18</v>
      </c>
      <c r="D5643" s="5" t="s">
        <v>19</v>
      </c>
      <c r="E5643" s="5" t="s">
        <v>49</v>
      </c>
      <c r="F5643" s="9">
        <v>83</v>
      </c>
      <c r="G5643" s="9">
        <v>1025</v>
      </c>
      <c r="H5643" s="5" t="s">
        <v>21</v>
      </c>
      <c r="I5643" s="5" t="s">
        <v>13825</v>
      </c>
      <c r="J5643" s="12" t="str">
        <f>HYPERLINK("https://www.boe.es/gazeta/dias/1802/10/12/pdfs/GMD-1802-83.pdf#page=13","Abrir facsímil")</f>
        <v>Abrir facsímil</v>
      </c>
      <c r="K5643" s="15" t="s">
        <v>23</v>
      </c>
    </row>
    <row r="5644" spans="1:11" ht="42" customHeight="1">
      <c r="A5644" s="4" t="s">
        <v>13826</v>
      </c>
      <c r="B5644" s="5" t="s">
        <v>13826</v>
      </c>
      <c r="C5644" s="5" t="s">
        <v>35</v>
      </c>
      <c r="D5644" s="5" t="s">
        <v>36</v>
      </c>
      <c r="E5644" s="5" t="s">
        <v>1051</v>
      </c>
      <c r="F5644" s="9">
        <v>43</v>
      </c>
      <c r="G5644" s="9">
        <v>509</v>
      </c>
      <c r="H5644" s="5" t="s">
        <v>21</v>
      </c>
      <c r="I5644" s="5" t="s">
        <v>13827</v>
      </c>
      <c r="J5644" s="12" t="str">
        <f>HYPERLINK("https://www.boe.es/gazeta/dias/1802/05/28/pdfs/GMD-1802-43.pdf#page=1","Abrir facsímil")</f>
        <v>Abrir facsímil</v>
      </c>
      <c r="K5644" s="15" t="s">
        <v>23</v>
      </c>
    </row>
    <row r="5645" spans="1:11" ht="42" customHeight="1">
      <c r="A5645" s="4" t="s">
        <v>13828</v>
      </c>
      <c r="B5645" s="5" t="s">
        <v>13829</v>
      </c>
      <c r="C5645" s="5" t="s">
        <v>29</v>
      </c>
      <c r="D5645" s="5" t="s">
        <v>30</v>
      </c>
      <c r="E5645" s="5" t="s">
        <v>37</v>
      </c>
      <c r="F5645" s="9">
        <v>106</v>
      </c>
      <c r="G5645" s="9">
        <v>1295</v>
      </c>
      <c r="H5645" s="5" t="s">
        <v>21</v>
      </c>
      <c r="I5645" s="5" t="s">
        <v>13830</v>
      </c>
      <c r="J5645" s="12" t="str">
        <f>HYPERLINK("https://www.boe.es/gazeta/dias/1802/12/31/pdfs/GMD-1802-106.pdf#page=7","Abrir facsímil")</f>
        <v>Abrir facsímil</v>
      </c>
      <c r="K5645" s="15" t="s">
        <v>23</v>
      </c>
    </row>
    <row r="5646" spans="1:11" ht="42" customHeight="1">
      <c r="A5646" s="4" t="s">
        <v>13831</v>
      </c>
      <c r="B5646" s="5" t="s">
        <v>13831</v>
      </c>
      <c r="C5646" s="5" t="s">
        <v>29</v>
      </c>
      <c r="D5646" s="5" t="s">
        <v>30</v>
      </c>
      <c r="E5646" s="5" t="s">
        <v>152</v>
      </c>
      <c r="F5646" s="9">
        <v>25</v>
      </c>
      <c r="G5646" s="9">
        <v>279</v>
      </c>
      <c r="H5646" s="5" t="s">
        <v>21</v>
      </c>
      <c r="I5646" s="5" t="s">
        <v>13832</v>
      </c>
      <c r="J5646" s="12" t="str">
        <f>HYPERLINK("https://www.boe.es/gazeta/dias/1802/03/26/pdfs/GMD-1802-25.pdf#page=3","Abrir facsímil")</f>
        <v>Abrir facsímil</v>
      </c>
      <c r="K5646" s="15" t="s">
        <v>23</v>
      </c>
    </row>
    <row r="5647" spans="1:11" ht="42" customHeight="1">
      <c r="A5647" s="4" t="s">
        <v>13833</v>
      </c>
      <c r="B5647" s="5" t="s">
        <v>13834</v>
      </c>
      <c r="C5647" s="5" t="s">
        <v>42</v>
      </c>
      <c r="D5647" s="5" t="s">
        <v>43</v>
      </c>
      <c r="E5647" s="5" t="s">
        <v>44</v>
      </c>
      <c r="F5647" s="9">
        <v>99</v>
      </c>
      <c r="G5647" s="9" t="s">
        <v>222</v>
      </c>
      <c r="H5647" s="5" t="s">
        <v>21</v>
      </c>
      <c r="I5647" s="5" t="s">
        <v>13835</v>
      </c>
      <c r="J5647" s="12" t="str">
        <f>HYPERLINK("https://www.boe.es/gazeta/dias/1802/12/07/pdfs/GMD-D-1802-99.pdf#page=5","Abrir facsímil")</f>
        <v>Abrir facsímil</v>
      </c>
      <c r="K5647" s="15" t="s">
        <v>23</v>
      </c>
    </row>
    <row r="5648" spans="1:11" ht="42" customHeight="1">
      <c r="A5648" s="4" t="s">
        <v>13836</v>
      </c>
      <c r="B5648" s="5" t="s">
        <v>13837</v>
      </c>
      <c r="C5648" s="5" t="s">
        <v>29</v>
      </c>
      <c r="D5648" s="5" t="s">
        <v>30</v>
      </c>
      <c r="E5648" s="5" t="s">
        <v>86</v>
      </c>
      <c r="F5648" s="9">
        <v>26</v>
      </c>
      <c r="G5648" s="9">
        <v>298</v>
      </c>
      <c r="H5648" s="5" t="s">
        <v>21</v>
      </c>
      <c r="I5648" s="5" t="s">
        <v>13838</v>
      </c>
      <c r="J5648" s="12" t="str">
        <f>HYPERLINK("https://www.boe.es/gazeta/dias/1802/03/30/pdfs/GMD-1802-26.pdf#page=10","Abrir facsímil")</f>
        <v>Abrir facsímil</v>
      </c>
      <c r="K5648" s="15" t="s">
        <v>23</v>
      </c>
    </row>
    <row r="5649" spans="1:11" ht="42" customHeight="1">
      <c r="A5649" s="4" t="s">
        <v>13839</v>
      </c>
      <c r="B5649" s="5" t="s">
        <v>13840</v>
      </c>
      <c r="C5649" s="5" t="s">
        <v>35</v>
      </c>
      <c r="D5649" s="5" t="s">
        <v>36</v>
      </c>
      <c r="E5649" s="5" t="s">
        <v>1407</v>
      </c>
      <c r="F5649" s="9">
        <v>8</v>
      </c>
      <c r="G5649" s="9">
        <v>73</v>
      </c>
      <c r="H5649" s="5" t="s">
        <v>21</v>
      </c>
      <c r="I5649" s="5" t="s">
        <v>13841</v>
      </c>
      <c r="J5649" s="12" t="str">
        <f>HYPERLINK("https://www.boe.es/gazeta/dias/1802/01/26/pdfs/GMD-1802-8.pdf#page=1","Abrir facsímil")</f>
        <v>Abrir facsímil</v>
      </c>
      <c r="K5649" s="15" t="s">
        <v>23</v>
      </c>
    </row>
    <row r="5650" spans="1:11" ht="42" customHeight="1">
      <c r="A5650" s="4" t="s">
        <v>13842</v>
      </c>
      <c r="B5650" s="5" t="s">
        <v>13843</v>
      </c>
      <c r="C5650" s="5" t="s">
        <v>35</v>
      </c>
      <c r="D5650" s="5" t="s">
        <v>36</v>
      </c>
      <c r="E5650" s="5" t="s">
        <v>1829</v>
      </c>
      <c r="F5650" s="9">
        <v>32</v>
      </c>
      <c r="G5650" s="9">
        <v>376</v>
      </c>
      <c r="H5650" s="5" t="s">
        <v>21</v>
      </c>
      <c r="I5650" s="5" t="s">
        <v>13844</v>
      </c>
      <c r="J5650" s="12" t="str">
        <f>HYPERLINK("https://www.boe.es/gazeta/dias/1802/04/20/pdfs/GMD-1802-32.pdf#page=8","Abrir facsímil")</f>
        <v>Abrir facsímil</v>
      </c>
      <c r="K5650" s="15" t="s">
        <v>23</v>
      </c>
    </row>
    <row r="5651" spans="1:11" ht="42" customHeight="1">
      <c r="A5651" s="4" t="s">
        <v>13845</v>
      </c>
      <c r="B5651" s="5" t="s">
        <v>13846</v>
      </c>
      <c r="C5651" s="5" t="s">
        <v>90</v>
      </c>
      <c r="D5651" s="5" t="s">
        <v>91</v>
      </c>
      <c r="E5651" s="5" t="s">
        <v>1051</v>
      </c>
      <c r="F5651" s="9">
        <v>43</v>
      </c>
      <c r="G5651" s="9">
        <v>517</v>
      </c>
      <c r="H5651" s="5" t="s">
        <v>21</v>
      </c>
      <c r="I5651" s="5" t="s">
        <v>13847</v>
      </c>
      <c r="J5651" s="12" t="str">
        <f>HYPERLINK("https://www.boe.es/gazeta/dias/1802/05/28/pdfs/GMD-1802-43.pdf#page=9","Abrir facsímil")</f>
        <v>Abrir facsímil</v>
      </c>
      <c r="K5651" s="15" t="s">
        <v>23</v>
      </c>
    </row>
    <row r="5652" spans="1:11" ht="42" customHeight="1">
      <c r="A5652" s="4" t="s">
        <v>13848</v>
      </c>
      <c r="B5652" s="5" t="s">
        <v>13849</v>
      </c>
      <c r="C5652" s="5" t="s">
        <v>29</v>
      </c>
      <c r="D5652" s="5" t="s">
        <v>30</v>
      </c>
      <c r="E5652" s="5" t="s">
        <v>31</v>
      </c>
      <c r="F5652" s="9">
        <v>27</v>
      </c>
      <c r="G5652" s="9">
        <v>318</v>
      </c>
      <c r="H5652" s="5" t="s">
        <v>21</v>
      </c>
      <c r="I5652" s="5" t="s">
        <v>13850</v>
      </c>
      <c r="J5652" s="12" t="str">
        <f>HYPERLINK("https://www.boe.es/gazeta/dias/1802/04/02/pdfs/GMD-1802-27.pdf#page=14","Abrir facsímil")</f>
        <v>Abrir facsímil</v>
      </c>
      <c r="K5652" s="15" t="s">
        <v>23</v>
      </c>
    </row>
    <row r="5653" spans="1:11" ht="42" customHeight="1">
      <c r="A5653" s="4" t="s">
        <v>13851</v>
      </c>
      <c r="B5653" s="5" t="s">
        <v>13851</v>
      </c>
      <c r="C5653" s="5" t="s">
        <v>29</v>
      </c>
      <c r="D5653" s="5" t="s">
        <v>30</v>
      </c>
      <c r="E5653" s="5" t="s">
        <v>57</v>
      </c>
      <c r="F5653" s="9">
        <v>54</v>
      </c>
      <c r="G5653" s="9">
        <v>652</v>
      </c>
      <c r="H5653" s="5" t="s">
        <v>21</v>
      </c>
      <c r="I5653" s="5" t="s">
        <v>13852</v>
      </c>
      <c r="J5653" s="12" t="str">
        <f>HYPERLINK("https://www.boe.es/gazeta/dias/1802/07/06/pdfs/GMD-1802-54.pdf#page=8","Abrir facsímil")</f>
        <v>Abrir facsímil</v>
      </c>
      <c r="K5653" s="15" t="s">
        <v>23</v>
      </c>
    </row>
    <row r="5654" spans="1:11" ht="42" customHeight="1">
      <c r="A5654" s="4" t="s">
        <v>13853</v>
      </c>
      <c r="B5654" s="5" t="s">
        <v>13853</v>
      </c>
      <c r="C5654" s="5" t="s">
        <v>18</v>
      </c>
      <c r="D5654" s="5" t="s">
        <v>19</v>
      </c>
      <c r="E5654" s="5" t="s">
        <v>20</v>
      </c>
      <c r="F5654" s="9">
        <v>84</v>
      </c>
      <c r="G5654" s="9">
        <v>1043</v>
      </c>
      <c r="H5654" s="5" t="s">
        <v>21</v>
      </c>
      <c r="I5654" s="5" t="s">
        <v>13854</v>
      </c>
      <c r="J5654" s="12" t="str">
        <f>HYPERLINK("https://www.boe.es/gazeta/dias/1802/10/15/pdfs/GMD-1802-84.pdf#page=11","Abrir facsímil")</f>
        <v>Abrir facsímil</v>
      </c>
      <c r="K5654" s="15" t="s">
        <v>23</v>
      </c>
    </row>
    <row r="5655" spans="1:11" ht="42" customHeight="1">
      <c r="A5655" s="4" t="s">
        <v>13855</v>
      </c>
      <c r="B5655" s="5" t="s">
        <v>13855</v>
      </c>
      <c r="C5655" s="5" t="s">
        <v>35</v>
      </c>
      <c r="D5655" s="5" t="s">
        <v>36</v>
      </c>
      <c r="E5655" s="5" t="s">
        <v>133</v>
      </c>
      <c r="F5655" s="9">
        <v>33</v>
      </c>
      <c r="G5655" s="9">
        <v>384</v>
      </c>
      <c r="H5655" s="5" t="s">
        <v>21</v>
      </c>
      <c r="I5655" s="5" t="s">
        <v>13856</v>
      </c>
      <c r="J5655" s="12" t="str">
        <f>HYPERLINK("https://www.boe.es/gazeta/dias/1802/04/23/pdfs/GMD-1802-33.pdf#page=4","Abrir facsímil")</f>
        <v>Abrir facsímil</v>
      </c>
      <c r="K5655" s="15" t="s">
        <v>23</v>
      </c>
    </row>
    <row r="5656" spans="1:11" ht="42" customHeight="1">
      <c r="A5656" s="4" t="s">
        <v>13857</v>
      </c>
      <c r="B5656" s="5" t="s">
        <v>13857</v>
      </c>
      <c r="C5656" s="5" t="s">
        <v>29</v>
      </c>
      <c r="D5656" s="5" t="s">
        <v>30</v>
      </c>
      <c r="E5656" s="5" t="s">
        <v>706</v>
      </c>
      <c r="F5656" s="9">
        <v>80</v>
      </c>
      <c r="G5656" s="9">
        <v>987</v>
      </c>
      <c r="H5656" s="5" t="s">
        <v>21</v>
      </c>
      <c r="I5656" s="5" t="s">
        <v>13858</v>
      </c>
      <c r="J5656" s="12" t="str">
        <f>HYPERLINK("https://www.boe.es/gazeta/dias/1802/10/01/pdfs/GMD-1802-80.pdf#page=11","Abrir facsímil")</f>
        <v>Abrir facsímil</v>
      </c>
      <c r="K5656" s="15" t="s">
        <v>23</v>
      </c>
    </row>
    <row r="5657" spans="1:11" ht="42" customHeight="1">
      <c r="A5657" s="4" t="s">
        <v>13859</v>
      </c>
      <c r="B5657" s="5" t="s">
        <v>13860</v>
      </c>
      <c r="C5657" s="5" t="s">
        <v>35</v>
      </c>
      <c r="D5657" s="5" t="s">
        <v>36</v>
      </c>
      <c r="E5657" s="5" t="s">
        <v>232</v>
      </c>
      <c r="F5657" s="9">
        <v>30</v>
      </c>
      <c r="G5657" s="9">
        <v>348</v>
      </c>
      <c r="H5657" s="5" t="s">
        <v>21</v>
      </c>
      <c r="I5657" s="5" t="s">
        <v>13861</v>
      </c>
      <c r="J5657" s="12" t="str">
        <f>HYPERLINK("https://www.boe.es/gazeta/dias/1802/04/13/pdfs/GMD-1802-30.pdf#page=4","Abrir facsímil")</f>
        <v>Abrir facsímil</v>
      </c>
      <c r="K5657" s="15" t="s">
        <v>23</v>
      </c>
    </row>
    <row r="5658" spans="1:11" ht="42" customHeight="1">
      <c r="A5658" s="4" t="s">
        <v>13862</v>
      </c>
      <c r="B5658" s="5" t="s">
        <v>13862</v>
      </c>
      <c r="C5658" s="5" t="s">
        <v>18</v>
      </c>
      <c r="D5658" s="5" t="s">
        <v>19</v>
      </c>
      <c r="E5658" s="5" t="s">
        <v>49</v>
      </c>
      <c r="F5658" s="9">
        <v>83</v>
      </c>
      <c r="G5658" s="9">
        <v>1025</v>
      </c>
      <c r="H5658" s="5" t="s">
        <v>21</v>
      </c>
      <c r="I5658" s="5" t="s">
        <v>13863</v>
      </c>
      <c r="J5658" s="12" t="str">
        <f>HYPERLINK("https://www.boe.es/gazeta/dias/1802/10/12/pdfs/GMD-1802-83.pdf#page=13","Abrir facsímil")</f>
        <v>Abrir facsímil</v>
      </c>
      <c r="K5658" s="15" t="s">
        <v>23</v>
      </c>
    </row>
    <row r="5659" spans="1:11" ht="42" customHeight="1">
      <c r="A5659" s="4" t="s">
        <v>13864</v>
      </c>
      <c r="B5659" s="5" t="s">
        <v>13864</v>
      </c>
      <c r="C5659" s="5" t="s">
        <v>35</v>
      </c>
      <c r="D5659" s="5" t="s">
        <v>36</v>
      </c>
      <c r="E5659" s="5" t="s">
        <v>185</v>
      </c>
      <c r="F5659" s="9">
        <v>95</v>
      </c>
      <c r="G5659" s="9">
        <v>1173</v>
      </c>
      <c r="H5659" s="5" t="s">
        <v>21</v>
      </c>
      <c r="I5659" s="5" t="s">
        <v>13865</v>
      </c>
      <c r="J5659" s="12" t="str">
        <f>HYPERLINK("https://www.boe.es/gazeta/dias/1802/11/23/pdfs/GMD-1802-95.pdf#page=9","Abrir facsímil")</f>
        <v>Abrir facsímil</v>
      </c>
      <c r="K5659" s="15" t="s">
        <v>23</v>
      </c>
    </row>
    <row r="5660" spans="1:11" ht="42" customHeight="1">
      <c r="A5660" s="4" t="s">
        <v>13866</v>
      </c>
      <c r="B5660" s="5" t="s">
        <v>13867</v>
      </c>
      <c r="C5660" s="5" t="s">
        <v>29</v>
      </c>
      <c r="D5660" s="5" t="s">
        <v>30</v>
      </c>
      <c r="E5660" s="5" t="s">
        <v>823</v>
      </c>
      <c r="F5660" s="9">
        <v>94</v>
      </c>
      <c r="G5660" s="9">
        <v>1161</v>
      </c>
      <c r="H5660" s="5" t="s">
        <v>21</v>
      </c>
      <c r="I5660" s="5" t="s">
        <v>13868</v>
      </c>
      <c r="J5660" s="12" t="str">
        <f>HYPERLINK("https://www.boe.es/gazeta/dias/1802/11/19/pdfs/GMD-1802-94.pdf#page=9","Abrir facsímil")</f>
        <v>Abrir facsímil</v>
      </c>
      <c r="K5660" s="15" t="s">
        <v>23</v>
      </c>
    </row>
    <row r="5661" spans="1:11" ht="42" customHeight="1">
      <c r="A5661" s="4" t="s">
        <v>13869</v>
      </c>
      <c r="B5661" s="5" t="s">
        <v>13870</v>
      </c>
      <c r="C5661" s="5" t="s">
        <v>42</v>
      </c>
      <c r="D5661" s="5" t="s">
        <v>43</v>
      </c>
      <c r="E5661" s="5" t="s">
        <v>44</v>
      </c>
      <c r="F5661" s="9">
        <v>99</v>
      </c>
      <c r="G5661" s="9" t="s">
        <v>548</v>
      </c>
      <c r="H5661" s="5" t="s">
        <v>21</v>
      </c>
      <c r="I5661" s="5" t="s">
        <v>13871</v>
      </c>
      <c r="J5661" s="12" t="str">
        <f>HYPERLINK("https://www.boe.es/gazeta/dias/1802/12/07/pdfs/GMD-D-1802-99.pdf#page=12","Abrir facsímil")</f>
        <v>Abrir facsímil</v>
      </c>
      <c r="K5661" s="15" t="s">
        <v>23</v>
      </c>
    </row>
    <row r="5662" spans="1:11" ht="42" customHeight="1">
      <c r="A5662" s="4" t="s">
        <v>13872</v>
      </c>
      <c r="B5662" s="5" t="s">
        <v>13872</v>
      </c>
      <c r="C5662" s="5" t="s">
        <v>42</v>
      </c>
      <c r="D5662" s="5" t="s">
        <v>43</v>
      </c>
      <c r="E5662" s="5" t="s">
        <v>44</v>
      </c>
      <c r="F5662" s="9">
        <v>99</v>
      </c>
      <c r="G5662" s="9" t="s">
        <v>550</v>
      </c>
      <c r="H5662" s="5" t="s">
        <v>21</v>
      </c>
      <c r="I5662" s="5" t="s">
        <v>13873</v>
      </c>
      <c r="J5662" s="12" t="str">
        <f>HYPERLINK("https://www.boe.es/gazeta/dias/1802/12/07/pdfs/GMD-D-1802-99.pdf#page=16","Abrir facsímil")</f>
        <v>Abrir facsímil</v>
      </c>
      <c r="K5662" s="15" t="s">
        <v>23</v>
      </c>
    </row>
    <row r="5663" spans="1:11" ht="42" customHeight="1">
      <c r="A5663" s="4" t="s">
        <v>13874</v>
      </c>
      <c r="B5663" s="5" t="s">
        <v>13874</v>
      </c>
      <c r="C5663" s="5" t="s">
        <v>42</v>
      </c>
      <c r="D5663" s="5" t="s">
        <v>43</v>
      </c>
      <c r="E5663" s="5" t="s">
        <v>44</v>
      </c>
      <c r="F5663" s="9">
        <v>99</v>
      </c>
      <c r="G5663" s="9" t="s">
        <v>544</v>
      </c>
      <c r="H5663" s="5" t="s">
        <v>21</v>
      </c>
      <c r="I5663" s="5" t="s">
        <v>13875</v>
      </c>
      <c r="J5663" s="12" t="str">
        <f>HYPERLINK("https://www.boe.es/gazeta/dias/1802/12/07/pdfs/GMD-D-1802-99.pdf#page=11","Abrir facsímil")</f>
        <v>Abrir facsímil</v>
      </c>
      <c r="K5663" s="15" t="s">
        <v>23</v>
      </c>
    </row>
    <row r="5664" spans="1:11" ht="42" customHeight="1">
      <c r="A5664" s="4" t="s">
        <v>13876</v>
      </c>
      <c r="B5664" s="5" t="s">
        <v>13876</v>
      </c>
      <c r="C5664" s="5" t="s">
        <v>160</v>
      </c>
      <c r="D5664" s="5" t="s">
        <v>91</v>
      </c>
      <c r="E5664" s="5" t="s">
        <v>328</v>
      </c>
      <c r="F5664" s="9">
        <v>45</v>
      </c>
      <c r="G5664" s="9">
        <v>545</v>
      </c>
      <c r="H5664" s="5" t="s">
        <v>21</v>
      </c>
      <c r="I5664" s="5" t="s">
        <v>13877</v>
      </c>
      <c r="J5664" s="12" t="str">
        <f>HYPERLINK("https://www.boe.es/gazeta/dias/1802/06/04/pdfs/GMD-1802-45.pdf#page=9","Abrir facsímil")</f>
        <v>Abrir facsímil</v>
      </c>
      <c r="K5664" s="15" t="s">
        <v>23</v>
      </c>
    </row>
    <row r="5665" spans="1:11" ht="42" customHeight="1">
      <c r="A5665" s="4" t="s">
        <v>13876</v>
      </c>
      <c r="B5665" s="5" t="s">
        <v>13876</v>
      </c>
      <c r="C5665" s="5" t="s">
        <v>29</v>
      </c>
      <c r="D5665" s="5" t="s">
        <v>30</v>
      </c>
      <c r="E5665" s="5" t="s">
        <v>114</v>
      </c>
      <c r="F5665" s="9">
        <v>82</v>
      </c>
      <c r="G5665" s="9">
        <v>1011</v>
      </c>
      <c r="H5665" s="5" t="s">
        <v>21</v>
      </c>
      <c r="I5665" s="5" t="s">
        <v>13878</v>
      </c>
      <c r="J5665" s="12" t="str">
        <f>HYPERLINK("https://www.boe.es/gazeta/dias/1802/10/08/pdfs/GMD-1802-82.pdf#page=11","Abrir facsímil")</f>
        <v>Abrir facsímil</v>
      </c>
      <c r="K5665" s="15" t="s">
        <v>23</v>
      </c>
    </row>
    <row r="5666" spans="1:11" ht="42" customHeight="1">
      <c r="A5666" s="4" t="s">
        <v>13879</v>
      </c>
      <c r="B5666" s="5" t="s">
        <v>13879</v>
      </c>
      <c r="C5666" s="5" t="s">
        <v>90</v>
      </c>
      <c r="D5666" s="5" t="s">
        <v>91</v>
      </c>
      <c r="E5666" s="5" t="s">
        <v>1264</v>
      </c>
      <c r="F5666" s="9">
        <v>105</v>
      </c>
      <c r="G5666" s="9">
        <v>1287</v>
      </c>
      <c r="H5666" s="5" t="s">
        <v>21</v>
      </c>
      <c r="I5666" s="5" t="s">
        <v>13880</v>
      </c>
      <c r="J5666" s="12" t="str">
        <f>HYPERLINK("https://www.boe.es/gazeta/dias/1802/12/28/pdfs/GMD-1802-105.pdf#page=11","Abrir facsímil")</f>
        <v>Abrir facsímil</v>
      </c>
      <c r="K5666" s="15" t="s">
        <v>23</v>
      </c>
    </row>
    <row r="5667" spans="1:11" ht="42" customHeight="1">
      <c r="A5667" s="4" t="s">
        <v>13881</v>
      </c>
      <c r="B5667" s="5" t="s">
        <v>13881</v>
      </c>
      <c r="C5667" s="5" t="s">
        <v>29</v>
      </c>
      <c r="D5667" s="5" t="s">
        <v>30</v>
      </c>
      <c r="E5667" s="5" t="s">
        <v>196</v>
      </c>
      <c r="F5667" s="9">
        <v>2</v>
      </c>
      <c r="G5667" s="9">
        <v>18</v>
      </c>
      <c r="H5667" s="5" t="s">
        <v>21</v>
      </c>
      <c r="I5667" s="5" t="s">
        <v>13882</v>
      </c>
      <c r="J5667" s="12" t="str">
        <f>HYPERLINK("https://www.boe.es/gazeta/dias/1802/01/05/pdfs/GMD-1802-2.pdf#page=10","Abrir facsímil")</f>
        <v>Abrir facsímil</v>
      </c>
      <c r="K5667" s="15" t="s">
        <v>23</v>
      </c>
    </row>
    <row r="5668" spans="1:11" ht="42" customHeight="1">
      <c r="A5668" s="4" t="s">
        <v>13883</v>
      </c>
      <c r="B5668" s="5" t="s">
        <v>13883</v>
      </c>
      <c r="C5668" s="5" t="s">
        <v>18</v>
      </c>
      <c r="D5668" s="5" t="s">
        <v>19</v>
      </c>
      <c r="E5668" s="5" t="s">
        <v>20</v>
      </c>
      <c r="F5668" s="9">
        <v>84</v>
      </c>
      <c r="G5668" s="9">
        <v>1043</v>
      </c>
      <c r="H5668" s="5" t="s">
        <v>21</v>
      </c>
      <c r="I5668" s="5" t="s">
        <v>13884</v>
      </c>
      <c r="J5668" s="12" t="str">
        <f>HYPERLINK("https://www.boe.es/gazeta/dias/1802/10/15/pdfs/GMD-1802-84.pdf#page=11","Abrir facsímil")</f>
        <v>Abrir facsímil</v>
      </c>
      <c r="K5668" s="15" t="s">
        <v>23</v>
      </c>
    </row>
    <row r="5669" spans="1:11" ht="42" customHeight="1">
      <c r="A5669" s="4" t="s">
        <v>13885</v>
      </c>
      <c r="B5669" s="5" t="s">
        <v>13885</v>
      </c>
      <c r="C5669" s="5" t="s">
        <v>160</v>
      </c>
      <c r="D5669" s="5" t="s">
        <v>91</v>
      </c>
      <c r="E5669" s="5" t="s">
        <v>109</v>
      </c>
      <c r="F5669" s="9">
        <v>10</v>
      </c>
      <c r="G5669" s="9">
        <v>99</v>
      </c>
      <c r="H5669" s="5" t="s">
        <v>21</v>
      </c>
      <c r="I5669" s="5" t="s">
        <v>13886</v>
      </c>
      <c r="J5669" s="12" t="str">
        <f>HYPERLINK("https://www.boe.es/gazeta/dias/1802/02/02/pdfs/GMD-1802-10.pdf#page=7","Abrir facsímil")</f>
        <v>Abrir facsímil</v>
      </c>
      <c r="K5669" s="15" t="s">
        <v>23</v>
      </c>
    </row>
    <row r="5670" spans="1:11" ht="42" customHeight="1">
      <c r="A5670" s="4" t="s">
        <v>13887</v>
      </c>
      <c r="B5670" s="5" t="s">
        <v>13887</v>
      </c>
      <c r="C5670" s="5" t="s">
        <v>55</v>
      </c>
      <c r="D5670" s="5" t="s">
        <v>56</v>
      </c>
      <c r="E5670" s="5" t="s">
        <v>339</v>
      </c>
      <c r="F5670" s="9">
        <v>39</v>
      </c>
      <c r="G5670" s="9">
        <v>471</v>
      </c>
      <c r="H5670" s="5" t="s">
        <v>21</v>
      </c>
      <c r="I5670" s="5" t="s">
        <v>13888</v>
      </c>
      <c r="J5670" s="12" t="str">
        <f>HYPERLINK("https://www.boe.es/gazeta/dias/1802/05/14/pdfs/GMD-1802-39.pdf#page=15","Abrir facsímil")</f>
        <v>Abrir facsímil</v>
      </c>
      <c r="K5670" s="15" t="s">
        <v>23</v>
      </c>
    </row>
    <row r="5671" spans="1:11" ht="42" customHeight="1">
      <c r="A5671" s="4" t="s">
        <v>13889</v>
      </c>
      <c r="B5671" s="5" t="s">
        <v>13889</v>
      </c>
      <c r="C5671" s="5" t="s">
        <v>29</v>
      </c>
      <c r="D5671" s="5" t="s">
        <v>30</v>
      </c>
      <c r="E5671" s="5" t="s">
        <v>49</v>
      </c>
      <c r="F5671" s="9">
        <v>83</v>
      </c>
      <c r="G5671" s="9">
        <v>1026</v>
      </c>
      <c r="H5671" s="5" t="s">
        <v>21</v>
      </c>
      <c r="I5671" s="5" t="s">
        <v>13890</v>
      </c>
      <c r="J5671" s="12" t="str">
        <f>HYPERLINK("https://www.boe.es/gazeta/dias/1802/10/12/pdfs/GMD-1802-83.pdf#page=14","Abrir facsímil")</f>
        <v>Abrir facsímil</v>
      </c>
      <c r="K5671" s="15" t="s">
        <v>23</v>
      </c>
    </row>
    <row r="5672" spans="1:11" ht="42" customHeight="1">
      <c r="A5672" s="4" t="s">
        <v>13891</v>
      </c>
      <c r="B5672" s="5" t="s">
        <v>13892</v>
      </c>
      <c r="C5672" s="5" t="s">
        <v>42</v>
      </c>
      <c r="D5672" s="5" t="s">
        <v>43</v>
      </c>
      <c r="E5672" s="5" t="s">
        <v>44</v>
      </c>
      <c r="F5672" s="9">
        <v>99</v>
      </c>
      <c r="G5672" s="9" t="s">
        <v>272</v>
      </c>
      <c r="H5672" s="5" t="s">
        <v>21</v>
      </c>
      <c r="I5672" s="5" t="s">
        <v>13893</v>
      </c>
      <c r="J5672" s="12" t="str">
        <f>HYPERLINK("https://www.boe.es/gazeta/dias/1802/12/07/pdfs/GMD-D-1802-99.pdf#page=3","Abrir facsímil")</f>
        <v>Abrir facsímil</v>
      </c>
      <c r="K5672" s="15" t="s">
        <v>23</v>
      </c>
    </row>
    <row r="5673" spans="1:11" ht="42" customHeight="1">
      <c r="A5673" s="4" t="s">
        <v>13894</v>
      </c>
      <c r="B5673" s="5" t="s">
        <v>13894</v>
      </c>
      <c r="C5673" s="5" t="s">
        <v>18</v>
      </c>
      <c r="D5673" s="5" t="s">
        <v>19</v>
      </c>
      <c r="E5673" s="5" t="s">
        <v>826</v>
      </c>
      <c r="F5673" s="9">
        <v>67</v>
      </c>
      <c r="G5673" s="9">
        <v>818</v>
      </c>
      <c r="H5673" s="5" t="s">
        <v>21</v>
      </c>
      <c r="I5673" s="5" t="s">
        <v>13895</v>
      </c>
      <c r="J5673" s="12" t="str">
        <f>HYPERLINK("https://www.boe.es/gazeta/dias/1802/08/17/pdfs/GMD-1802-67.pdf#page=6","Abrir facsímil")</f>
        <v>Abrir facsímil</v>
      </c>
      <c r="K5673" s="15" t="s">
        <v>23</v>
      </c>
    </row>
    <row r="5674" spans="1:11" ht="42" customHeight="1">
      <c r="A5674" s="4" t="s">
        <v>13896</v>
      </c>
      <c r="B5674" s="5" t="s">
        <v>13896</v>
      </c>
      <c r="C5674" s="5" t="s">
        <v>18</v>
      </c>
      <c r="D5674" s="5" t="s">
        <v>19</v>
      </c>
      <c r="E5674" s="5" t="s">
        <v>20</v>
      </c>
      <c r="F5674" s="9">
        <v>84</v>
      </c>
      <c r="G5674" s="9">
        <v>1045</v>
      </c>
      <c r="H5674" s="5" t="s">
        <v>21</v>
      </c>
      <c r="I5674" s="5" t="s">
        <v>13897</v>
      </c>
      <c r="J5674" s="12" t="str">
        <f>HYPERLINK("https://www.boe.es/gazeta/dias/1802/10/15/pdfs/GMD-1802-84.pdf#page=13","Abrir facsímil")</f>
        <v>Abrir facsímil</v>
      </c>
      <c r="K5674" s="15" t="s">
        <v>23</v>
      </c>
    </row>
    <row r="5675" spans="1:11" ht="42" customHeight="1">
      <c r="A5675" s="4" t="s">
        <v>13898</v>
      </c>
      <c r="B5675" s="5" t="s">
        <v>13898</v>
      </c>
      <c r="C5675" s="5" t="s">
        <v>35</v>
      </c>
      <c r="D5675" s="5" t="s">
        <v>36</v>
      </c>
      <c r="E5675" s="5" t="s">
        <v>175</v>
      </c>
      <c r="F5675" s="9">
        <v>37</v>
      </c>
      <c r="G5675" s="9">
        <v>435</v>
      </c>
      <c r="H5675" s="5" t="s">
        <v>21</v>
      </c>
      <c r="I5675" s="5" t="s">
        <v>13899</v>
      </c>
      <c r="J5675" s="12" t="str">
        <f>HYPERLINK("https://www.boe.es/gazeta/dias/1802/05/07/pdfs/GMD-1802-37.pdf#page=3","Abrir facsímil")</f>
        <v>Abrir facsímil</v>
      </c>
      <c r="K5675" s="15" t="s">
        <v>23</v>
      </c>
    </row>
    <row r="5676" spans="1:11" ht="42" customHeight="1">
      <c r="A5676" s="4" t="s">
        <v>13900</v>
      </c>
      <c r="B5676" s="5" t="s">
        <v>13901</v>
      </c>
      <c r="C5676" s="5" t="s">
        <v>35</v>
      </c>
      <c r="D5676" s="5" t="s">
        <v>36</v>
      </c>
      <c r="E5676" s="5" t="s">
        <v>1381</v>
      </c>
      <c r="F5676" s="9">
        <v>17</v>
      </c>
      <c r="G5676" s="9">
        <v>179</v>
      </c>
      <c r="H5676" s="5" t="s">
        <v>21</v>
      </c>
      <c r="I5676" s="5" t="s">
        <v>13902</v>
      </c>
      <c r="J5676" s="12" t="str">
        <f>HYPERLINK("https://www.boe.es/gazeta/dias/1802/02/26/pdfs/GMD-1802-17.pdf#page=3","Abrir facsímil")</f>
        <v>Abrir facsímil</v>
      </c>
      <c r="K5676" s="15" t="s">
        <v>23</v>
      </c>
    </row>
    <row r="5677" spans="1:11" ht="42" customHeight="1">
      <c r="A5677" s="4" t="s">
        <v>13900</v>
      </c>
      <c r="B5677" s="5" t="s">
        <v>13901</v>
      </c>
      <c r="C5677" s="5" t="s">
        <v>18</v>
      </c>
      <c r="D5677" s="5" t="s">
        <v>19</v>
      </c>
      <c r="E5677" s="5" t="s">
        <v>635</v>
      </c>
      <c r="F5677" s="9">
        <v>47</v>
      </c>
      <c r="G5677" s="9">
        <v>567</v>
      </c>
      <c r="H5677" s="5" t="s">
        <v>21</v>
      </c>
      <c r="I5677" s="5" t="s">
        <v>13903</v>
      </c>
      <c r="J5677" s="12" t="str">
        <f>HYPERLINK("https://www.boe.es/gazeta/dias/1802/06/11/pdfs/GMD-1802-47.pdf#page=3","Abrir facsímil")</f>
        <v>Abrir facsímil</v>
      </c>
      <c r="K5677" s="15" t="s">
        <v>23</v>
      </c>
    </row>
    <row r="5678" spans="1:11" ht="42" customHeight="1">
      <c r="A5678" s="4" t="s">
        <v>13904</v>
      </c>
      <c r="B5678" s="5" t="s">
        <v>13905</v>
      </c>
      <c r="C5678" s="5" t="s">
        <v>18</v>
      </c>
      <c r="D5678" s="5" t="s">
        <v>19</v>
      </c>
      <c r="E5678" s="5" t="s">
        <v>49</v>
      </c>
      <c r="F5678" s="9">
        <v>83</v>
      </c>
      <c r="G5678" s="9">
        <v>1022</v>
      </c>
      <c r="H5678" s="5" t="s">
        <v>21</v>
      </c>
      <c r="I5678" s="5" t="s">
        <v>13906</v>
      </c>
      <c r="J5678" s="12" t="str">
        <f>HYPERLINK("https://www.boe.es/gazeta/dias/1802/10/12/pdfs/GMD-1802-83.pdf#page=10","Abrir facsímil")</f>
        <v>Abrir facsímil</v>
      </c>
      <c r="K5678" s="15" t="s">
        <v>23</v>
      </c>
    </row>
    <row r="5679" spans="1:11" ht="42" customHeight="1">
      <c r="A5679" s="4" t="s">
        <v>13907</v>
      </c>
      <c r="B5679" s="5" t="s">
        <v>13908</v>
      </c>
      <c r="C5679" s="5" t="s">
        <v>18</v>
      </c>
      <c r="D5679" s="5" t="s">
        <v>19</v>
      </c>
      <c r="E5679" s="5" t="s">
        <v>49</v>
      </c>
      <c r="F5679" s="9">
        <v>83</v>
      </c>
      <c r="G5679" s="9">
        <v>1025</v>
      </c>
      <c r="H5679" s="5" t="s">
        <v>21</v>
      </c>
      <c r="I5679" s="5" t="s">
        <v>13909</v>
      </c>
      <c r="J5679" s="12" t="str">
        <f>HYPERLINK("https://www.boe.es/gazeta/dias/1802/10/12/pdfs/GMD-1802-83.pdf#page=13","Abrir facsímil")</f>
        <v>Abrir facsímil</v>
      </c>
      <c r="K5679" s="15" t="s">
        <v>23</v>
      </c>
    </row>
    <row r="5680" spans="1:11" ht="42" customHeight="1">
      <c r="A5680" s="4" t="s">
        <v>13910</v>
      </c>
      <c r="B5680" s="5" t="s">
        <v>13911</v>
      </c>
      <c r="C5680" s="5" t="s">
        <v>35</v>
      </c>
      <c r="D5680" s="5" t="s">
        <v>36</v>
      </c>
      <c r="E5680" s="5" t="s">
        <v>247</v>
      </c>
      <c r="F5680" s="9">
        <v>14</v>
      </c>
      <c r="G5680" s="9">
        <v>141</v>
      </c>
      <c r="H5680" s="5" t="s">
        <v>21</v>
      </c>
      <c r="I5680" s="5" t="s">
        <v>13912</v>
      </c>
      <c r="J5680" s="12" t="str">
        <f>HYPERLINK("https://www.boe.es/gazeta/dias/1802/02/16/pdfs/GMD-1802-14.pdf#page=5","Abrir facsímil")</f>
        <v>Abrir facsímil</v>
      </c>
      <c r="K5680" s="15" t="s">
        <v>23</v>
      </c>
    </row>
    <row r="5681" spans="1:11" ht="42" customHeight="1">
      <c r="A5681" s="4" t="s">
        <v>13913</v>
      </c>
      <c r="B5681" s="5" t="s">
        <v>13914</v>
      </c>
      <c r="C5681" s="5" t="s">
        <v>35</v>
      </c>
      <c r="D5681" s="5" t="s">
        <v>36</v>
      </c>
      <c r="E5681" s="5" t="s">
        <v>175</v>
      </c>
      <c r="F5681" s="9">
        <v>37</v>
      </c>
      <c r="G5681" s="9">
        <v>435</v>
      </c>
      <c r="H5681" s="5" t="s">
        <v>21</v>
      </c>
      <c r="I5681" s="5" t="s">
        <v>13915</v>
      </c>
      <c r="J5681" s="12" t="str">
        <f>HYPERLINK("https://www.boe.es/gazeta/dias/1802/05/07/pdfs/GMD-1802-37.pdf#page=3","Abrir facsímil")</f>
        <v>Abrir facsímil</v>
      </c>
      <c r="K5681" s="15" t="s">
        <v>23</v>
      </c>
    </row>
    <row r="5682" spans="1:11" ht="42" customHeight="1">
      <c r="A5682" s="4" t="s">
        <v>13913</v>
      </c>
      <c r="B5682" s="5" t="s">
        <v>13914</v>
      </c>
      <c r="C5682" s="5" t="s">
        <v>18</v>
      </c>
      <c r="D5682" s="5" t="s">
        <v>19</v>
      </c>
      <c r="E5682" s="5" t="s">
        <v>655</v>
      </c>
      <c r="F5682" s="9">
        <v>46</v>
      </c>
      <c r="G5682" s="9">
        <v>553</v>
      </c>
      <c r="H5682" s="5" t="s">
        <v>21</v>
      </c>
      <c r="I5682" s="5" t="s">
        <v>13916</v>
      </c>
      <c r="J5682" s="12" t="str">
        <f>HYPERLINK("https://www.boe.es/gazeta/dias/1802/06/08/pdfs/GMD-1802-46.pdf#page=5","Abrir facsímil")</f>
        <v>Abrir facsímil</v>
      </c>
      <c r="K5682" s="15" t="s">
        <v>23</v>
      </c>
    </row>
    <row r="5683" spans="1:11" ht="42" customHeight="1">
      <c r="A5683" s="4" t="s">
        <v>13913</v>
      </c>
      <c r="B5683" s="5" t="s">
        <v>13914</v>
      </c>
      <c r="C5683" s="5" t="s">
        <v>35</v>
      </c>
      <c r="D5683" s="5" t="s">
        <v>36</v>
      </c>
      <c r="E5683" s="5" t="s">
        <v>754</v>
      </c>
      <c r="F5683" s="9">
        <v>101</v>
      </c>
      <c r="G5683" s="9">
        <v>1239</v>
      </c>
      <c r="H5683" s="5" t="s">
        <v>21</v>
      </c>
      <c r="I5683" s="5" t="s">
        <v>13917</v>
      </c>
      <c r="J5683" s="12" t="str">
        <f>HYPERLINK("https://www.boe.es/gazeta/dias/1802/12/14/pdfs/GMD-1802-101.pdf#page=3","Abrir facsímil")</f>
        <v>Abrir facsímil</v>
      </c>
      <c r="K5683" s="15" t="s">
        <v>23</v>
      </c>
    </row>
    <row r="5684" spans="1:11" ht="42" customHeight="1">
      <c r="A5684" s="4" t="s">
        <v>13918</v>
      </c>
      <c r="B5684" s="5" t="s">
        <v>13919</v>
      </c>
      <c r="C5684" s="5" t="s">
        <v>18</v>
      </c>
      <c r="D5684" s="5" t="s">
        <v>19</v>
      </c>
      <c r="E5684" s="5" t="s">
        <v>328</v>
      </c>
      <c r="F5684" s="9">
        <v>45</v>
      </c>
      <c r="G5684" s="9">
        <v>539</v>
      </c>
      <c r="H5684" s="5" t="s">
        <v>21</v>
      </c>
      <c r="I5684" s="5" t="s">
        <v>13920</v>
      </c>
      <c r="J5684" s="12" t="str">
        <f>HYPERLINK("https://www.boe.es/gazeta/dias/1802/06/04/pdfs/GMD-1802-45.pdf#page=3","Abrir facsímil")</f>
        <v>Abrir facsímil</v>
      </c>
      <c r="K5684" s="15" t="s">
        <v>23</v>
      </c>
    </row>
    <row r="5685" spans="1:11" ht="42" customHeight="1">
      <c r="A5685" s="4" t="s">
        <v>13921</v>
      </c>
      <c r="B5685" s="5" t="s">
        <v>13921</v>
      </c>
      <c r="C5685" s="5" t="s">
        <v>29</v>
      </c>
      <c r="D5685" s="5" t="s">
        <v>30</v>
      </c>
      <c r="E5685" s="5" t="s">
        <v>109</v>
      </c>
      <c r="F5685" s="9">
        <v>10</v>
      </c>
      <c r="G5685" s="9">
        <v>94</v>
      </c>
      <c r="H5685" s="5" t="s">
        <v>21</v>
      </c>
      <c r="I5685" s="5" t="s">
        <v>13922</v>
      </c>
      <c r="J5685" s="12" t="str">
        <f>HYPERLINK("https://www.boe.es/gazeta/dias/1802/02/02/pdfs/GMD-1802-10.pdf#page=2","Abrir facsímil")</f>
        <v>Abrir facsímil</v>
      </c>
      <c r="K5685" s="15" t="s">
        <v>23</v>
      </c>
    </row>
    <row r="5686" spans="1:11" ht="42" customHeight="1">
      <c r="A5686" s="4" t="s">
        <v>13923</v>
      </c>
      <c r="B5686" s="5" t="s">
        <v>13924</v>
      </c>
      <c r="C5686" s="5" t="s">
        <v>29</v>
      </c>
      <c r="D5686" s="5" t="s">
        <v>30</v>
      </c>
      <c r="E5686" s="5" t="s">
        <v>192</v>
      </c>
      <c r="F5686" s="9">
        <v>53</v>
      </c>
      <c r="G5686" s="9">
        <v>642</v>
      </c>
      <c r="H5686" s="5" t="s">
        <v>21</v>
      </c>
      <c r="I5686" s="5" t="s">
        <v>13925</v>
      </c>
      <c r="J5686" s="12" t="str">
        <f>HYPERLINK("https://www.boe.es/gazeta/dias/1802/07/02/pdfs/GMD-1802-53.pdf#page=10","Abrir facsímil")</f>
        <v>Abrir facsímil</v>
      </c>
      <c r="K5686" s="15" t="s">
        <v>23</v>
      </c>
    </row>
    <row r="5687" spans="1:11" ht="42" customHeight="1">
      <c r="A5687" s="4" t="s">
        <v>13926</v>
      </c>
      <c r="B5687" s="5" t="s">
        <v>13927</v>
      </c>
      <c r="C5687" s="5" t="s">
        <v>90</v>
      </c>
      <c r="D5687" s="5" t="s">
        <v>91</v>
      </c>
      <c r="E5687" s="5" t="s">
        <v>429</v>
      </c>
      <c r="F5687" s="9">
        <v>91</v>
      </c>
      <c r="G5687" s="9">
        <v>1130</v>
      </c>
      <c r="H5687" s="5" t="s">
        <v>21</v>
      </c>
      <c r="I5687" s="5" t="s">
        <v>13928</v>
      </c>
      <c r="J5687" s="12" t="str">
        <f>HYPERLINK("https://www.boe.es/gazeta/dias/1802/11/09/pdfs/GMD-1802-91.pdf#page=10","Abrir facsímil")</f>
        <v>Abrir facsímil</v>
      </c>
      <c r="K5687" s="15" t="s">
        <v>23</v>
      </c>
    </row>
    <row r="5688" spans="1:11" ht="42" customHeight="1">
      <c r="A5688" s="4" t="s">
        <v>13929</v>
      </c>
      <c r="B5688" s="5" t="s">
        <v>13930</v>
      </c>
      <c r="C5688" s="5" t="s">
        <v>90</v>
      </c>
      <c r="D5688" s="5" t="s">
        <v>91</v>
      </c>
      <c r="E5688" s="5" t="s">
        <v>196</v>
      </c>
      <c r="F5688" s="9">
        <v>2</v>
      </c>
      <c r="G5688" s="9">
        <v>19</v>
      </c>
      <c r="H5688" s="5" t="s">
        <v>21</v>
      </c>
      <c r="I5688" s="5" t="s">
        <v>13931</v>
      </c>
      <c r="J5688" s="12" t="str">
        <f>HYPERLINK("https://www.boe.es/gazeta/dias/1802/01/05/pdfs/GMD-1802-2.pdf#page=11","Abrir facsímil")</f>
        <v>Abrir facsímil</v>
      </c>
      <c r="K5688" s="15" t="s">
        <v>23</v>
      </c>
    </row>
    <row r="5689" spans="1:11" ht="42" customHeight="1">
      <c r="A5689" s="4" t="s">
        <v>13932</v>
      </c>
      <c r="B5689" s="5" t="s">
        <v>13932</v>
      </c>
      <c r="C5689" s="5" t="s">
        <v>18</v>
      </c>
      <c r="D5689" s="5" t="s">
        <v>19</v>
      </c>
      <c r="E5689" s="5" t="s">
        <v>196</v>
      </c>
      <c r="F5689" s="9">
        <v>2</v>
      </c>
      <c r="G5689" s="9">
        <v>17</v>
      </c>
      <c r="H5689" s="5" t="s">
        <v>21</v>
      </c>
      <c r="I5689" s="5" t="s">
        <v>13933</v>
      </c>
      <c r="J5689" s="12" t="str">
        <f>HYPERLINK("https://www.boe.es/gazeta/dias/1802/01/05/pdfs/GMD-1802-2.pdf#page=9","Abrir facsímil")</f>
        <v>Abrir facsímil</v>
      </c>
      <c r="K5689" s="15" t="s">
        <v>23</v>
      </c>
    </row>
    <row r="5690" spans="1:11" ht="42" customHeight="1">
      <c r="A5690" s="4" t="s">
        <v>13932</v>
      </c>
      <c r="B5690" s="5" t="s">
        <v>13932</v>
      </c>
      <c r="C5690" s="5" t="s">
        <v>18</v>
      </c>
      <c r="D5690" s="5" t="s">
        <v>19</v>
      </c>
      <c r="E5690" s="5" t="s">
        <v>20</v>
      </c>
      <c r="F5690" s="9">
        <v>84</v>
      </c>
      <c r="G5690" s="9">
        <v>1044</v>
      </c>
      <c r="H5690" s="5" t="s">
        <v>21</v>
      </c>
      <c r="I5690" s="5" t="s">
        <v>13934</v>
      </c>
      <c r="J5690" s="12" t="str">
        <f>HYPERLINK("https://www.boe.es/gazeta/dias/1802/10/15/pdfs/GMD-1802-84.pdf#page=12","Abrir facsímil")</f>
        <v>Abrir facsímil</v>
      </c>
      <c r="K5690" s="15" t="s">
        <v>23</v>
      </c>
    </row>
    <row r="5691" spans="1:11" ht="42" customHeight="1">
      <c r="A5691" s="4" t="s">
        <v>13935</v>
      </c>
      <c r="B5691" s="5" t="s">
        <v>13936</v>
      </c>
      <c r="C5691" s="5" t="s">
        <v>29</v>
      </c>
      <c r="D5691" s="5" t="s">
        <v>30</v>
      </c>
      <c r="E5691" s="5" t="s">
        <v>339</v>
      </c>
      <c r="F5691" s="9">
        <v>39</v>
      </c>
      <c r="G5691" s="9">
        <v>468</v>
      </c>
      <c r="H5691" s="5" t="s">
        <v>21</v>
      </c>
      <c r="I5691" s="5" t="s">
        <v>13937</v>
      </c>
      <c r="J5691" s="12" t="str">
        <f>HYPERLINK("https://www.boe.es/gazeta/dias/1802/05/14/pdfs/GMD-1802-39.pdf#page=12","Abrir facsímil")</f>
        <v>Abrir facsímil</v>
      </c>
      <c r="K5691" s="15" t="s">
        <v>23</v>
      </c>
    </row>
    <row r="5692" spans="1:11" ht="42" customHeight="1">
      <c r="A5692" s="4" t="s">
        <v>13938</v>
      </c>
      <c r="B5692" s="5" t="s">
        <v>13939</v>
      </c>
      <c r="C5692" s="5" t="s">
        <v>29</v>
      </c>
      <c r="D5692" s="5" t="s">
        <v>30</v>
      </c>
      <c r="E5692" s="5" t="s">
        <v>381</v>
      </c>
      <c r="F5692" s="9">
        <v>13</v>
      </c>
      <c r="G5692" s="9">
        <v>130</v>
      </c>
      <c r="H5692" s="5" t="s">
        <v>21</v>
      </c>
      <c r="I5692" s="5" t="s">
        <v>13940</v>
      </c>
      <c r="J5692" s="12" t="str">
        <f>HYPERLINK("https://www.boe.es/gazeta/dias/1802/02/12/pdfs/GMD-1802-13.pdf#page=6","Abrir facsímil")</f>
        <v>Abrir facsímil</v>
      </c>
      <c r="K5692" s="15" t="s">
        <v>23</v>
      </c>
    </row>
    <row r="5693" spans="1:11" ht="42" customHeight="1">
      <c r="A5693" s="4" t="s">
        <v>13941</v>
      </c>
      <c r="B5693" s="5" t="s">
        <v>13942</v>
      </c>
      <c r="C5693" s="5" t="s">
        <v>29</v>
      </c>
      <c r="D5693" s="5" t="s">
        <v>30</v>
      </c>
      <c r="E5693" s="5" t="s">
        <v>670</v>
      </c>
      <c r="F5693" s="9">
        <v>40</v>
      </c>
      <c r="G5693" s="9">
        <v>481</v>
      </c>
      <c r="H5693" s="5" t="s">
        <v>21</v>
      </c>
      <c r="I5693" s="5" t="s">
        <v>13943</v>
      </c>
      <c r="J5693" s="12" t="str">
        <f>HYPERLINK("https://www.boe.es/gazeta/dias/1802/05/18/pdfs/GMD-1802-40.pdf#page=9","Abrir facsímil")</f>
        <v>Abrir facsímil</v>
      </c>
      <c r="K5693" s="15" t="s">
        <v>23</v>
      </c>
    </row>
    <row r="5694" spans="1:11" ht="42" customHeight="1">
      <c r="A5694" s="4" t="s">
        <v>13944</v>
      </c>
      <c r="B5694" s="5" t="s">
        <v>13944</v>
      </c>
      <c r="C5694" s="5" t="s">
        <v>29</v>
      </c>
      <c r="D5694" s="5" t="s">
        <v>30</v>
      </c>
      <c r="E5694" s="5" t="s">
        <v>206</v>
      </c>
      <c r="F5694" s="9">
        <v>22</v>
      </c>
      <c r="G5694" s="9">
        <v>234</v>
      </c>
      <c r="H5694" s="5" t="s">
        <v>21</v>
      </c>
      <c r="I5694" s="5" t="s">
        <v>13945</v>
      </c>
      <c r="J5694" s="12" t="str">
        <f>HYPERLINK("https://www.boe.es/gazeta/dias/1802/03/16/pdfs/GMD-1802-22.pdf#page=2","Abrir facsímil")</f>
        <v>Abrir facsímil</v>
      </c>
      <c r="K5694" s="15" t="s">
        <v>23</v>
      </c>
    </row>
    <row r="5695" spans="1:11" ht="42" customHeight="1">
      <c r="A5695" s="4" t="s">
        <v>13944</v>
      </c>
      <c r="B5695" s="5" t="s">
        <v>13944</v>
      </c>
      <c r="C5695" s="5" t="s">
        <v>29</v>
      </c>
      <c r="D5695" s="5" t="s">
        <v>30</v>
      </c>
      <c r="E5695" s="5" t="s">
        <v>814</v>
      </c>
      <c r="F5695" s="9">
        <v>41</v>
      </c>
      <c r="G5695" s="9">
        <v>492</v>
      </c>
      <c r="H5695" s="5" t="s">
        <v>21</v>
      </c>
      <c r="I5695" s="5" t="s">
        <v>13946</v>
      </c>
      <c r="J5695" s="12" t="str">
        <f>HYPERLINK("https://www.boe.es/gazeta/dias/1802/05/21/pdfs/GMD-1802-41.pdf#page=8","Abrir facsímil")</f>
        <v>Abrir facsímil</v>
      </c>
      <c r="K5695" s="15" t="s">
        <v>23</v>
      </c>
    </row>
    <row r="5696" spans="1:11" ht="42" customHeight="1">
      <c r="A5696" s="4" t="s">
        <v>13947</v>
      </c>
      <c r="B5696" s="5" t="s">
        <v>13948</v>
      </c>
      <c r="C5696" s="5" t="s">
        <v>29</v>
      </c>
      <c r="D5696" s="5" t="s">
        <v>30</v>
      </c>
      <c r="E5696" s="5" t="s">
        <v>152</v>
      </c>
      <c r="F5696" s="9">
        <v>25</v>
      </c>
      <c r="G5696" s="9">
        <v>286</v>
      </c>
      <c r="H5696" s="5" t="s">
        <v>21</v>
      </c>
      <c r="I5696" s="5" t="s">
        <v>13949</v>
      </c>
      <c r="J5696" s="12" t="str">
        <f>HYPERLINK("https://www.boe.es/gazeta/dias/1802/03/26/pdfs/GMD-1802-25.pdf#page=10","Abrir facsímil")</f>
        <v>Abrir facsímil</v>
      </c>
      <c r="K5696" s="15" t="s">
        <v>23</v>
      </c>
    </row>
    <row r="5697" spans="1:11" ht="42" customHeight="1">
      <c r="A5697" s="4" t="s">
        <v>13950</v>
      </c>
      <c r="B5697" s="5" t="s">
        <v>13951</v>
      </c>
      <c r="C5697" s="5" t="s">
        <v>90</v>
      </c>
      <c r="D5697" s="5" t="s">
        <v>91</v>
      </c>
      <c r="E5697" s="5" t="s">
        <v>635</v>
      </c>
      <c r="F5697" s="9">
        <v>47</v>
      </c>
      <c r="G5697" s="9">
        <v>573</v>
      </c>
      <c r="H5697" s="5" t="s">
        <v>21</v>
      </c>
      <c r="I5697" s="5" t="s">
        <v>13952</v>
      </c>
      <c r="J5697" s="12" t="str">
        <f>HYPERLINK("https://www.boe.es/gazeta/dias/1802/06/11/pdfs/GMD-1802-47.pdf#page=9","Abrir facsímil")</f>
        <v>Abrir facsímil</v>
      </c>
      <c r="K5697" s="15" t="s">
        <v>23</v>
      </c>
    </row>
    <row r="5698" spans="1:11" ht="42" customHeight="1">
      <c r="A5698" s="4" t="s">
        <v>13953</v>
      </c>
      <c r="B5698" s="5" t="s">
        <v>13953</v>
      </c>
      <c r="C5698" s="5" t="s">
        <v>29</v>
      </c>
      <c r="D5698" s="5" t="s">
        <v>30</v>
      </c>
      <c r="E5698" s="5" t="s">
        <v>749</v>
      </c>
      <c r="F5698" s="9">
        <v>97</v>
      </c>
      <c r="G5698" s="9">
        <v>1203</v>
      </c>
      <c r="H5698" s="5" t="s">
        <v>21</v>
      </c>
      <c r="I5698" s="5" t="s">
        <v>13954</v>
      </c>
      <c r="J5698" s="12" t="str">
        <f>HYPERLINK("https://www.boe.es/gazeta/dias/1802/11/30/pdfs/GMD-1802-97.pdf#page=11","Abrir facsímil")</f>
        <v>Abrir facsímil</v>
      </c>
      <c r="K5698" s="15" t="s">
        <v>23</v>
      </c>
    </row>
    <row r="5699" spans="1:11" ht="42" customHeight="1">
      <c r="A5699" s="4" t="s">
        <v>13955</v>
      </c>
      <c r="B5699" s="5" t="s">
        <v>13956</v>
      </c>
      <c r="C5699" s="5" t="s">
        <v>55</v>
      </c>
      <c r="D5699" s="5" t="s">
        <v>56</v>
      </c>
      <c r="E5699" s="5" t="s">
        <v>745</v>
      </c>
      <c r="F5699" s="9">
        <v>92</v>
      </c>
      <c r="G5699" s="9">
        <v>1140</v>
      </c>
      <c r="H5699" s="5" t="s">
        <v>21</v>
      </c>
      <c r="I5699" s="5" t="s">
        <v>13957</v>
      </c>
      <c r="J5699" s="12" t="str">
        <f>HYPERLINK("https://www.boe.es/gazeta/dias/1802/11/12/pdfs/GMD-1802-92.pdf#page=8","Abrir facsímil")</f>
        <v>Abrir facsímil</v>
      </c>
      <c r="K5699" s="15" t="s">
        <v>23</v>
      </c>
    </row>
    <row r="5700" spans="1:11" ht="42" customHeight="1">
      <c r="A5700" s="4" t="s">
        <v>13958</v>
      </c>
      <c r="B5700" s="5" t="s">
        <v>13959</v>
      </c>
      <c r="C5700" s="5" t="s">
        <v>29</v>
      </c>
      <c r="D5700" s="5" t="s">
        <v>30</v>
      </c>
      <c r="E5700" s="5" t="s">
        <v>436</v>
      </c>
      <c r="F5700" s="9">
        <v>58</v>
      </c>
      <c r="G5700" s="9">
        <v>701</v>
      </c>
      <c r="H5700" s="5" t="s">
        <v>21</v>
      </c>
      <c r="I5700" s="5" t="s">
        <v>13960</v>
      </c>
      <c r="J5700" s="12" t="str">
        <f>HYPERLINK("https://www.boe.es/gazeta/dias/1802/07/20/pdfs/GMD-1802-58.pdf#page=9","Abrir facsímil")</f>
        <v>Abrir facsímil</v>
      </c>
      <c r="K5700" s="15" t="s">
        <v>23</v>
      </c>
    </row>
    <row r="5701" spans="1:11" ht="42" customHeight="1">
      <c r="A5701" s="4" t="s">
        <v>13961</v>
      </c>
      <c r="B5701" s="5" t="s">
        <v>13962</v>
      </c>
      <c r="C5701" s="5" t="s">
        <v>55</v>
      </c>
      <c r="D5701" s="5" t="s">
        <v>56</v>
      </c>
      <c r="E5701" s="5" t="s">
        <v>706</v>
      </c>
      <c r="F5701" s="9">
        <v>80</v>
      </c>
      <c r="G5701" s="9">
        <v>988</v>
      </c>
      <c r="H5701" s="5" t="s">
        <v>21</v>
      </c>
      <c r="I5701" s="5" t="s">
        <v>13963</v>
      </c>
      <c r="J5701" s="12" t="str">
        <f>HYPERLINK("https://www.boe.es/gazeta/dias/1802/10/01/pdfs/GMD-1802-80.pdf#page=12","Abrir facsímil")</f>
        <v>Abrir facsímil</v>
      </c>
      <c r="K5701" s="15" t="s">
        <v>23</v>
      </c>
    </row>
    <row r="5702" spans="1:11" ht="42" customHeight="1">
      <c r="A5702" s="4" t="s">
        <v>13964</v>
      </c>
      <c r="B5702" s="5" t="s">
        <v>13965</v>
      </c>
      <c r="C5702" s="5" t="s">
        <v>42</v>
      </c>
      <c r="D5702" s="5" t="s">
        <v>43</v>
      </c>
      <c r="E5702" s="5" t="s">
        <v>44</v>
      </c>
      <c r="F5702" s="9">
        <v>99</v>
      </c>
      <c r="G5702" s="9" t="s">
        <v>314</v>
      </c>
      <c r="H5702" s="5" t="s">
        <v>21</v>
      </c>
      <c r="I5702" s="5" t="s">
        <v>13966</v>
      </c>
      <c r="J5702" s="12" t="str">
        <f>HYPERLINK("https://www.boe.es/gazeta/dias/1802/12/07/pdfs/GMD-D-1802-99.pdf#page=2","Abrir facsímil")</f>
        <v>Abrir facsímil</v>
      </c>
      <c r="K5702" s="15" t="s">
        <v>23</v>
      </c>
    </row>
    <row r="5703" spans="1:11" ht="42" customHeight="1">
      <c r="A5703" s="4" t="s">
        <v>13967</v>
      </c>
      <c r="B5703" s="5" t="s">
        <v>13968</v>
      </c>
      <c r="C5703" s="5" t="s">
        <v>90</v>
      </c>
      <c r="D5703" s="5" t="s">
        <v>91</v>
      </c>
      <c r="E5703" s="5" t="s">
        <v>381</v>
      </c>
      <c r="F5703" s="9">
        <v>13</v>
      </c>
      <c r="G5703" s="9">
        <v>131</v>
      </c>
      <c r="H5703" s="5" t="s">
        <v>21</v>
      </c>
      <c r="I5703" s="5" t="s">
        <v>13969</v>
      </c>
      <c r="J5703" s="12" t="str">
        <f>HYPERLINK("https://www.boe.es/gazeta/dias/1802/02/12/pdfs/GMD-1802-13.pdf#page=7","Abrir facsímil")</f>
        <v>Abrir facsímil</v>
      </c>
      <c r="K5703" s="15" t="s">
        <v>23</v>
      </c>
    </row>
    <row r="5704" spans="1:11" ht="42" customHeight="1">
      <c r="A5704" s="4" t="s">
        <v>13970</v>
      </c>
      <c r="B5704" s="5" t="s">
        <v>13971</v>
      </c>
      <c r="C5704" s="5" t="s">
        <v>42</v>
      </c>
      <c r="D5704" s="5" t="s">
        <v>43</v>
      </c>
      <c r="E5704" s="5" t="s">
        <v>44</v>
      </c>
      <c r="F5704" s="9">
        <v>99</v>
      </c>
      <c r="G5704" s="9" t="s">
        <v>222</v>
      </c>
      <c r="H5704" s="5" t="s">
        <v>21</v>
      </c>
      <c r="I5704" s="5" t="s">
        <v>13972</v>
      </c>
      <c r="J5704" s="12" t="str">
        <f>HYPERLINK("https://www.boe.es/gazeta/dias/1802/12/07/pdfs/GMD-D-1802-99.pdf#page=5","Abrir facsímil")</f>
        <v>Abrir facsímil</v>
      </c>
      <c r="K5704" s="15" t="s">
        <v>23</v>
      </c>
    </row>
    <row r="5705" spans="1:11" ht="42" customHeight="1">
      <c r="A5705" s="4" t="s">
        <v>13973</v>
      </c>
      <c r="B5705" s="5" t="s">
        <v>13974</v>
      </c>
      <c r="C5705" s="5" t="s">
        <v>29</v>
      </c>
      <c r="D5705" s="5" t="s">
        <v>30</v>
      </c>
      <c r="E5705" s="5" t="s">
        <v>185</v>
      </c>
      <c r="F5705" s="9">
        <v>95</v>
      </c>
      <c r="G5705" s="9">
        <v>1176</v>
      </c>
      <c r="H5705" s="5" t="s">
        <v>21</v>
      </c>
      <c r="I5705" s="5" t="s">
        <v>13975</v>
      </c>
      <c r="J5705" s="12" t="str">
        <f>HYPERLINK("https://www.boe.es/gazeta/dias/1802/11/23/pdfs/GMD-1802-95.pdf#page=12","Abrir facsímil")</f>
        <v>Abrir facsímil</v>
      </c>
      <c r="K5705" s="15" t="s">
        <v>23</v>
      </c>
    </row>
    <row r="5706" spans="1:11" ht="42" customHeight="1">
      <c r="A5706" s="4" t="s">
        <v>13976</v>
      </c>
      <c r="B5706" s="5" t="s">
        <v>13977</v>
      </c>
      <c r="C5706" s="5" t="s">
        <v>18</v>
      </c>
      <c r="D5706" s="5" t="s">
        <v>19</v>
      </c>
      <c r="E5706" s="5" t="s">
        <v>49</v>
      </c>
      <c r="F5706" s="9">
        <v>83</v>
      </c>
      <c r="G5706" s="9">
        <v>1026</v>
      </c>
      <c r="H5706" s="5" t="s">
        <v>21</v>
      </c>
      <c r="I5706" s="5" t="s">
        <v>13978</v>
      </c>
      <c r="J5706" s="12" t="str">
        <f>HYPERLINK("https://www.boe.es/gazeta/dias/1802/10/12/pdfs/GMD-1802-83.pdf#page=14","Abrir facsímil")</f>
        <v>Abrir facsímil</v>
      </c>
      <c r="K5706" s="15" t="s">
        <v>23</v>
      </c>
    </row>
    <row r="5707" spans="1:11" ht="42" customHeight="1">
      <c r="A5707" s="4" t="s">
        <v>13979</v>
      </c>
      <c r="B5707" s="5" t="s">
        <v>13980</v>
      </c>
      <c r="C5707" s="5" t="s">
        <v>29</v>
      </c>
      <c r="D5707" s="5" t="s">
        <v>30</v>
      </c>
      <c r="E5707" s="5" t="s">
        <v>121</v>
      </c>
      <c r="F5707" s="9">
        <v>87</v>
      </c>
      <c r="G5707" s="9">
        <v>1081</v>
      </c>
      <c r="H5707" s="5" t="s">
        <v>21</v>
      </c>
      <c r="I5707" s="5" t="s">
        <v>13981</v>
      </c>
      <c r="J5707" s="12" t="str">
        <f>HYPERLINK("https://www.boe.es/gazeta/dias/1802/10/26/pdfs/GMD-1802-87.pdf#page=9","Abrir facsímil")</f>
        <v>Abrir facsímil</v>
      </c>
      <c r="K5707" s="15" t="s">
        <v>23</v>
      </c>
    </row>
    <row r="5708" spans="1:11" ht="42" customHeight="1">
      <c r="A5708" s="4" t="s">
        <v>13982</v>
      </c>
      <c r="B5708" s="5" t="s">
        <v>13983</v>
      </c>
      <c r="C5708" s="5" t="s">
        <v>42</v>
      </c>
      <c r="D5708" s="5" t="s">
        <v>43</v>
      </c>
      <c r="E5708" s="5" t="s">
        <v>44</v>
      </c>
      <c r="F5708" s="9">
        <v>99</v>
      </c>
      <c r="G5708" s="9" t="s">
        <v>322</v>
      </c>
      <c r="H5708" s="5" t="s">
        <v>21</v>
      </c>
      <c r="I5708" s="5" t="s">
        <v>13984</v>
      </c>
      <c r="J5708" s="12" t="str">
        <f>HYPERLINK("https://www.boe.es/gazeta/dias/1802/12/07/pdfs/GMD-D-1802-99.pdf#page=10","Abrir facsímil")</f>
        <v>Abrir facsímil</v>
      </c>
      <c r="K5708" s="15" t="s">
        <v>23</v>
      </c>
    </row>
    <row r="5709" spans="1:11" ht="42" customHeight="1">
      <c r="A5709" s="4" t="s">
        <v>13985</v>
      </c>
      <c r="B5709" s="5" t="s">
        <v>13986</v>
      </c>
      <c r="C5709" s="5" t="s">
        <v>29</v>
      </c>
      <c r="D5709" s="5" t="s">
        <v>30</v>
      </c>
      <c r="E5709" s="5" t="s">
        <v>175</v>
      </c>
      <c r="F5709" s="9">
        <v>37</v>
      </c>
      <c r="G5709" s="9">
        <v>442</v>
      </c>
      <c r="H5709" s="5" t="s">
        <v>21</v>
      </c>
      <c r="I5709" s="5" t="s">
        <v>13987</v>
      </c>
      <c r="J5709" s="12" t="str">
        <f>HYPERLINK("https://www.boe.es/gazeta/dias/1802/05/07/pdfs/GMD-1802-37.pdf#page=10","Abrir facsímil")</f>
        <v>Abrir facsímil</v>
      </c>
      <c r="K5709" s="15" t="s">
        <v>23</v>
      </c>
    </row>
    <row r="5710" spans="1:11" ht="42" customHeight="1">
      <c r="A5710" s="4" t="s">
        <v>13988</v>
      </c>
      <c r="B5710" s="5" t="s">
        <v>13989</v>
      </c>
      <c r="C5710" s="5" t="s">
        <v>160</v>
      </c>
      <c r="D5710" s="5" t="s">
        <v>91</v>
      </c>
      <c r="E5710" s="5" t="s">
        <v>381</v>
      </c>
      <c r="F5710" s="9">
        <v>13</v>
      </c>
      <c r="G5710" s="9">
        <v>131</v>
      </c>
      <c r="H5710" s="5" t="s">
        <v>21</v>
      </c>
      <c r="I5710" s="5" t="s">
        <v>13990</v>
      </c>
      <c r="J5710" s="12" t="str">
        <f>HYPERLINK("https://www.boe.es/gazeta/dias/1802/02/12/pdfs/GMD-1802-13.pdf#page=7","Abrir facsímil")</f>
        <v>Abrir facsímil</v>
      </c>
      <c r="K5710" s="15" t="s">
        <v>23</v>
      </c>
    </row>
    <row r="5711" spans="1:11" ht="42" customHeight="1">
      <c r="A5711" s="4" t="s">
        <v>13988</v>
      </c>
      <c r="B5711" s="5" t="s">
        <v>13989</v>
      </c>
      <c r="C5711" s="5" t="s">
        <v>160</v>
      </c>
      <c r="D5711" s="5" t="s">
        <v>91</v>
      </c>
      <c r="E5711" s="5" t="s">
        <v>247</v>
      </c>
      <c r="F5711" s="9">
        <v>14</v>
      </c>
      <c r="G5711" s="9">
        <v>146</v>
      </c>
      <c r="H5711" s="5" t="s">
        <v>21</v>
      </c>
      <c r="I5711" s="5" t="s">
        <v>13991</v>
      </c>
      <c r="J5711" s="12" t="str">
        <f>HYPERLINK("https://www.boe.es/gazeta/dias/1802/02/16/pdfs/GMD-1802-14.pdf#page=10","Abrir facsímil")</f>
        <v>Abrir facsímil</v>
      </c>
      <c r="K5711" s="15" t="s">
        <v>23</v>
      </c>
    </row>
    <row r="5712" spans="1:11" ht="42" customHeight="1">
      <c r="A5712" s="4" t="s">
        <v>13988</v>
      </c>
      <c r="B5712" s="5" t="s">
        <v>13989</v>
      </c>
      <c r="C5712" s="5" t="s">
        <v>160</v>
      </c>
      <c r="D5712" s="5" t="s">
        <v>91</v>
      </c>
      <c r="E5712" s="5" t="s">
        <v>1381</v>
      </c>
      <c r="F5712" s="9">
        <v>17</v>
      </c>
      <c r="G5712" s="9">
        <v>186</v>
      </c>
      <c r="H5712" s="5" t="s">
        <v>21</v>
      </c>
      <c r="I5712" s="5" t="s">
        <v>13992</v>
      </c>
      <c r="J5712" s="12" t="str">
        <f>HYPERLINK("https://www.boe.es/gazeta/dias/1802/02/26/pdfs/GMD-1802-17.pdf#page=10","Abrir facsímil")</f>
        <v>Abrir facsímil</v>
      </c>
      <c r="K5712" s="15" t="s">
        <v>23</v>
      </c>
    </row>
    <row r="5713" spans="1:11" ht="42" customHeight="1">
      <c r="A5713" s="4" t="s">
        <v>13988</v>
      </c>
      <c r="B5713" s="5" t="s">
        <v>13989</v>
      </c>
      <c r="C5713" s="5" t="s">
        <v>160</v>
      </c>
      <c r="D5713" s="5" t="s">
        <v>91</v>
      </c>
      <c r="E5713" s="5" t="s">
        <v>1381</v>
      </c>
      <c r="F5713" s="9">
        <v>17</v>
      </c>
      <c r="G5713" s="9">
        <v>187</v>
      </c>
      <c r="H5713" s="5" t="s">
        <v>21</v>
      </c>
      <c r="I5713" s="5" t="s">
        <v>13993</v>
      </c>
      <c r="J5713" s="12" t="str">
        <f>HYPERLINK("https://www.boe.es/gazeta/dias/1802/02/26/pdfs/GMD-1802-17.pdf#page=11","Abrir facsímil")</f>
        <v>Abrir facsímil</v>
      </c>
      <c r="K5713" s="15" t="s">
        <v>23</v>
      </c>
    </row>
    <row r="5714" spans="1:11" ht="42" customHeight="1">
      <c r="A5714" s="4" t="s">
        <v>13988</v>
      </c>
      <c r="B5714" s="5" t="s">
        <v>13989</v>
      </c>
      <c r="C5714" s="5" t="s">
        <v>160</v>
      </c>
      <c r="D5714" s="5" t="s">
        <v>91</v>
      </c>
      <c r="E5714" s="5" t="s">
        <v>206</v>
      </c>
      <c r="F5714" s="9">
        <v>22</v>
      </c>
      <c r="G5714" s="9">
        <v>251</v>
      </c>
      <c r="H5714" s="5" t="s">
        <v>21</v>
      </c>
      <c r="I5714" s="5" t="s">
        <v>13994</v>
      </c>
      <c r="J5714" s="12" t="str">
        <f>HYPERLINK("https://www.boe.es/gazeta/dias/1802/03/16/pdfs/GMD-C-1802-22.pdf#page=7","Abrir facsímil")</f>
        <v>Abrir facsímil</v>
      </c>
      <c r="K5714" s="15" t="s">
        <v>23</v>
      </c>
    </row>
    <row r="5715" spans="1:11" ht="42" customHeight="1">
      <c r="A5715" s="4" t="s">
        <v>13988</v>
      </c>
      <c r="B5715" s="5" t="s">
        <v>13989</v>
      </c>
      <c r="C5715" s="5" t="s">
        <v>18</v>
      </c>
      <c r="D5715" s="5" t="s">
        <v>19</v>
      </c>
      <c r="E5715" s="5" t="s">
        <v>152</v>
      </c>
      <c r="F5715" s="9">
        <v>25</v>
      </c>
      <c r="G5715" s="9">
        <v>287</v>
      </c>
      <c r="H5715" s="5" t="s">
        <v>21</v>
      </c>
      <c r="I5715" s="5" t="s">
        <v>13995</v>
      </c>
      <c r="J5715" s="12" t="str">
        <f>HYPERLINK("https://www.boe.es/gazeta/dias/1802/03/26/pdfs/GMD-1802-25.pdf#page=11","Abrir facsímil")</f>
        <v>Abrir facsímil</v>
      </c>
      <c r="K5715" s="15" t="s">
        <v>23</v>
      </c>
    </row>
    <row r="5716" spans="1:11" ht="42" customHeight="1">
      <c r="A5716" s="4" t="s">
        <v>13988</v>
      </c>
      <c r="B5716" s="5" t="s">
        <v>13989</v>
      </c>
      <c r="C5716" s="5" t="s">
        <v>18</v>
      </c>
      <c r="D5716" s="5" t="s">
        <v>19</v>
      </c>
      <c r="E5716" s="5" t="s">
        <v>170</v>
      </c>
      <c r="F5716" s="9">
        <v>28</v>
      </c>
      <c r="G5716" s="9">
        <v>331</v>
      </c>
      <c r="H5716" s="5" t="s">
        <v>21</v>
      </c>
      <c r="I5716" s="5" t="s">
        <v>13996</v>
      </c>
      <c r="J5716" s="12" t="str">
        <f>HYPERLINK("https://www.boe.es/gazeta/dias/1802/04/06/pdfs/GMD-1802-28.pdf#page=11","Abrir facsímil")</f>
        <v>Abrir facsímil</v>
      </c>
      <c r="K5716" s="15" t="s">
        <v>23</v>
      </c>
    </row>
    <row r="5717" spans="1:11" ht="42" customHeight="1">
      <c r="A5717" s="4" t="s">
        <v>13988</v>
      </c>
      <c r="B5717" s="5" t="s">
        <v>13989</v>
      </c>
      <c r="C5717" s="5" t="s">
        <v>160</v>
      </c>
      <c r="D5717" s="5" t="s">
        <v>91</v>
      </c>
      <c r="E5717" s="5" t="s">
        <v>232</v>
      </c>
      <c r="F5717" s="9">
        <v>30</v>
      </c>
      <c r="G5717" s="9">
        <v>351</v>
      </c>
      <c r="H5717" s="5" t="s">
        <v>21</v>
      </c>
      <c r="I5717" s="5" t="s">
        <v>13997</v>
      </c>
      <c r="J5717" s="12" t="str">
        <f>HYPERLINK("https://www.boe.es/gazeta/dias/1802/04/13/pdfs/GMD-1802-30.pdf#page=7","Abrir facsímil")</f>
        <v>Abrir facsímil</v>
      </c>
      <c r="K5717" s="15" t="s">
        <v>23</v>
      </c>
    </row>
    <row r="5718" spans="1:11" ht="42" customHeight="1">
      <c r="A5718" s="4" t="s">
        <v>13988</v>
      </c>
      <c r="B5718" s="5" t="s">
        <v>13989</v>
      </c>
      <c r="C5718" s="5" t="s">
        <v>160</v>
      </c>
      <c r="D5718" s="5" t="s">
        <v>91</v>
      </c>
      <c r="E5718" s="5" t="s">
        <v>631</v>
      </c>
      <c r="F5718" s="9">
        <v>36</v>
      </c>
      <c r="G5718" s="9">
        <v>431</v>
      </c>
      <c r="H5718" s="5" t="s">
        <v>21</v>
      </c>
      <c r="I5718" s="5" t="s">
        <v>13998</v>
      </c>
      <c r="J5718" s="12" t="str">
        <f>HYPERLINK("https://www.boe.es/gazeta/dias/1802/05/04/pdfs/GMD-1802-36.pdf#page=11","Abrir facsímil")</f>
        <v>Abrir facsímil</v>
      </c>
      <c r="K5718" s="15" t="s">
        <v>23</v>
      </c>
    </row>
    <row r="5719" spans="1:11" ht="42" customHeight="1">
      <c r="A5719" s="4" t="s">
        <v>13988</v>
      </c>
      <c r="B5719" s="5" t="s">
        <v>13989</v>
      </c>
      <c r="C5719" s="5" t="s">
        <v>160</v>
      </c>
      <c r="D5719" s="5" t="s">
        <v>91</v>
      </c>
      <c r="E5719" s="5" t="s">
        <v>146</v>
      </c>
      <c r="F5719" s="9">
        <v>42</v>
      </c>
      <c r="G5719" s="9">
        <v>506</v>
      </c>
      <c r="H5719" s="5" t="s">
        <v>21</v>
      </c>
      <c r="I5719" s="5" t="s">
        <v>13999</v>
      </c>
      <c r="J5719" s="12" t="str">
        <f>HYPERLINK("https://www.boe.es/gazeta/dias/1802/05/25/pdfs/GMD-1802-42.pdf#page=10","Abrir facsímil")</f>
        <v>Abrir facsímil</v>
      </c>
      <c r="K5719" s="15" t="s">
        <v>23</v>
      </c>
    </row>
    <row r="5720" spans="1:11" ht="42" customHeight="1">
      <c r="A5720" s="4" t="s">
        <v>13988</v>
      </c>
      <c r="B5720" s="5" t="s">
        <v>13989</v>
      </c>
      <c r="C5720" s="5" t="s">
        <v>29</v>
      </c>
      <c r="D5720" s="5" t="s">
        <v>30</v>
      </c>
      <c r="E5720" s="5" t="s">
        <v>188</v>
      </c>
      <c r="F5720" s="9">
        <v>49</v>
      </c>
      <c r="G5720" s="9">
        <v>599</v>
      </c>
      <c r="H5720" s="5" t="s">
        <v>21</v>
      </c>
      <c r="I5720" s="5" t="s">
        <v>14000</v>
      </c>
      <c r="J5720" s="12" t="str">
        <f>HYPERLINK("https://www.boe.es/gazeta/dias/1802/06/18/pdfs/GMD-1802-49.pdf#page=11","Abrir facsímil")</f>
        <v>Abrir facsímil</v>
      </c>
      <c r="K5720" s="15" t="s">
        <v>23</v>
      </c>
    </row>
    <row r="5721" spans="1:11" ht="42" customHeight="1">
      <c r="A5721" s="4" t="s">
        <v>13988</v>
      </c>
      <c r="B5721" s="5" t="s">
        <v>13989</v>
      </c>
      <c r="C5721" s="5" t="s">
        <v>29</v>
      </c>
      <c r="D5721" s="5" t="s">
        <v>30</v>
      </c>
      <c r="E5721" s="5" t="s">
        <v>1374</v>
      </c>
      <c r="F5721" s="9">
        <v>71</v>
      </c>
      <c r="G5721" s="9">
        <v>874</v>
      </c>
      <c r="H5721" s="5" t="s">
        <v>21</v>
      </c>
      <c r="I5721" s="5" t="s">
        <v>14001</v>
      </c>
      <c r="J5721" s="12" t="str">
        <f>HYPERLINK("https://www.boe.es/gazeta/dias/1802/08/31/pdfs/GMD-1802-71.pdf#page=10","Abrir facsímil")</f>
        <v>Abrir facsímil</v>
      </c>
      <c r="K5721" s="15" t="s">
        <v>23</v>
      </c>
    </row>
    <row r="5722" spans="1:11" ht="42" customHeight="1">
      <c r="A5722" s="4" t="s">
        <v>14002</v>
      </c>
      <c r="B5722" s="5" t="s">
        <v>14003</v>
      </c>
      <c r="C5722" s="5" t="s">
        <v>2417</v>
      </c>
      <c r="D5722" s="5" t="s">
        <v>2418</v>
      </c>
      <c r="E5722" s="5" t="s">
        <v>206</v>
      </c>
      <c r="F5722" s="9">
        <v>22</v>
      </c>
      <c r="G5722" s="9">
        <v>247</v>
      </c>
      <c r="H5722" s="5" t="s">
        <v>21</v>
      </c>
      <c r="I5722" s="5" t="s">
        <v>14004</v>
      </c>
      <c r="J5722" s="12" t="str">
        <f>HYPERLINK("https://www.boe.es/gazeta/dias/1802/03/16/pdfs/GMD-C-1802-22.pdf#page=3","Abrir facsímil")</f>
        <v>Abrir facsímil</v>
      </c>
      <c r="K5722" s="15" t="s">
        <v>23</v>
      </c>
    </row>
    <row r="5723" spans="1:11" ht="42" customHeight="1">
      <c r="A5723" s="4" t="s">
        <v>14002</v>
      </c>
      <c r="B5723" s="5" t="s">
        <v>14003</v>
      </c>
      <c r="C5723" s="5" t="s">
        <v>18</v>
      </c>
      <c r="D5723" s="5" t="s">
        <v>19</v>
      </c>
      <c r="E5723" s="5" t="s">
        <v>167</v>
      </c>
      <c r="F5723" s="9">
        <v>23</v>
      </c>
      <c r="G5723" s="9">
        <v>261</v>
      </c>
      <c r="H5723" s="5" t="s">
        <v>21</v>
      </c>
      <c r="I5723" s="5" t="s">
        <v>14005</v>
      </c>
      <c r="J5723" s="12" t="str">
        <f>HYPERLINK("https://www.boe.es/gazeta/dias/1802/03/19/pdfs/GMD-1802-23.pdf#page=9","Abrir facsímil")</f>
        <v>Abrir facsímil</v>
      </c>
      <c r="K5723" s="15" t="s">
        <v>23</v>
      </c>
    </row>
    <row r="5724" spans="1:11" ht="42" customHeight="1">
      <c r="A5724" s="4" t="s">
        <v>14002</v>
      </c>
      <c r="B5724" s="5" t="s">
        <v>14003</v>
      </c>
      <c r="C5724" s="5" t="s">
        <v>18</v>
      </c>
      <c r="D5724" s="5" t="s">
        <v>19</v>
      </c>
      <c r="E5724" s="5" t="s">
        <v>332</v>
      </c>
      <c r="F5724" s="9">
        <v>24</v>
      </c>
      <c r="G5724" s="9">
        <v>273</v>
      </c>
      <c r="H5724" s="5" t="s">
        <v>21</v>
      </c>
      <c r="I5724" s="5" t="s">
        <v>14006</v>
      </c>
      <c r="J5724" s="12" t="str">
        <f>HYPERLINK("https://www.boe.es/gazeta/dias/1802/03/23/pdfs/GMD-1802-24.pdf#page=9","Abrir facsímil")</f>
        <v>Abrir facsímil</v>
      </c>
      <c r="K5724" s="15" t="s">
        <v>23</v>
      </c>
    </row>
    <row r="5725" spans="1:11" ht="42" customHeight="1">
      <c r="A5725" s="4" t="s">
        <v>14002</v>
      </c>
      <c r="B5725" s="5" t="s">
        <v>14003</v>
      </c>
      <c r="C5725" s="5" t="s">
        <v>18</v>
      </c>
      <c r="D5725" s="5" t="s">
        <v>19</v>
      </c>
      <c r="E5725" s="5" t="s">
        <v>1749</v>
      </c>
      <c r="F5725" s="9">
        <v>60</v>
      </c>
      <c r="G5725" s="9">
        <v>730</v>
      </c>
      <c r="H5725" s="5" t="s">
        <v>21</v>
      </c>
      <c r="I5725" s="5" t="s">
        <v>14007</v>
      </c>
      <c r="J5725" s="12" t="str">
        <f>HYPERLINK("https://www.boe.es/gazeta/dias/1802/07/23/pdfs/GMD-1802-60.pdf#page=14","Abrir facsímil")</f>
        <v>Abrir facsímil</v>
      </c>
      <c r="K5725" s="15" t="s">
        <v>23</v>
      </c>
    </row>
    <row r="5726" spans="1:11" ht="42" customHeight="1">
      <c r="A5726" s="4" t="s">
        <v>14002</v>
      </c>
      <c r="B5726" s="5" t="s">
        <v>14003</v>
      </c>
      <c r="C5726" s="5" t="s">
        <v>160</v>
      </c>
      <c r="D5726" s="5" t="s">
        <v>91</v>
      </c>
      <c r="E5726" s="5" t="s">
        <v>517</v>
      </c>
      <c r="F5726" s="9">
        <v>61</v>
      </c>
      <c r="G5726" s="9">
        <v>743</v>
      </c>
      <c r="H5726" s="5" t="s">
        <v>21</v>
      </c>
      <c r="I5726" s="5" t="s">
        <v>14008</v>
      </c>
      <c r="J5726" s="12" t="str">
        <f>HYPERLINK("https://www.boe.es/gazeta/dias/1802/07/27/pdfs/GMD-1802-61.pdf#page=11","Abrir facsímil")</f>
        <v>Abrir facsímil</v>
      </c>
      <c r="K5726" s="15" t="s">
        <v>23</v>
      </c>
    </row>
    <row r="5727" spans="1:11" ht="42" customHeight="1">
      <c r="A5727" s="4" t="s">
        <v>14002</v>
      </c>
      <c r="B5727" s="5" t="s">
        <v>14003</v>
      </c>
      <c r="C5727" s="5" t="s">
        <v>18</v>
      </c>
      <c r="D5727" s="5" t="s">
        <v>19</v>
      </c>
      <c r="E5727" s="5" t="s">
        <v>1185</v>
      </c>
      <c r="F5727" s="9">
        <v>93</v>
      </c>
      <c r="G5727" s="9">
        <v>1151</v>
      </c>
      <c r="H5727" s="5" t="s">
        <v>21</v>
      </c>
      <c r="I5727" s="5" t="s">
        <v>14009</v>
      </c>
      <c r="J5727" s="12" t="str">
        <f>HYPERLINK("https://www.boe.es/gazeta/dias/1802/11/16/pdfs/GMD-1802-93.pdf#page=11","Abrir facsímil")</f>
        <v>Abrir facsímil</v>
      </c>
      <c r="K5727" s="15" t="s">
        <v>23</v>
      </c>
    </row>
    <row r="5728" spans="1:11" ht="42" customHeight="1">
      <c r="A5728" s="4" t="s">
        <v>14002</v>
      </c>
      <c r="B5728" s="5" t="s">
        <v>14003</v>
      </c>
      <c r="C5728" s="5" t="s">
        <v>35</v>
      </c>
      <c r="D5728" s="5" t="s">
        <v>36</v>
      </c>
      <c r="E5728" s="5" t="s">
        <v>823</v>
      </c>
      <c r="F5728" s="9">
        <v>94</v>
      </c>
      <c r="G5728" s="9">
        <v>1163</v>
      </c>
      <c r="H5728" s="5" t="s">
        <v>21</v>
      </c>
      <c r="I5728" s="5" t="s">
        <v>14010</v>
      </c>
      <c r="J5728" s="12" t="str">
        <f>HYPERLINK("https://www.boe.es/gazeta/dias/1802/11/19/pdfs/GMD-1802-94.pdf#page=11","Abrir facsímil")</f>
        <v>Abrir facsímil</v>
      </c>
      <c r="K5728" s="15" t="s">
        <v>23</v>
      </c>
    </row>
    <row r="5729" spans="1:11" ht="42" customHeight="1">
      <c r="A5729" s="4" t="s">
        <v>14011</v>
      </c>
      <c r="B5729" s="5" t="s">
        <v>14012</v>
      </c>
      <c r="C5729" s="5" t="s">
        <v>18</v>
      </c>
      <c r="D5729" s="5" t="s">
        <v>19</v>
      </c>
      <c r="E5729" s="5" t="s">
        <v>206</v>
      </c>
      <c r="F5729" s="9">
        <v>22</v>
      </c>
      <c r="G5729" s="9">
        <v>240</v>
      </c>
      <c r="H5729" s="5" t="s">
        <v>21</v>
      </c>
      <c r="I5729" s="5" t="s">
        <v>14013</v>
      </c>
      <c r="J5729" s="12" t="str">
        <f>HYPERLINK("https://www.boe.es/gazeta/dias/1802/03/16/pdfs/GMD-1802-22.pdf#page=8","Abrir facsímil")</f>
        <v>Abrir facsímil</v>
      </c>
      <c r="K5729" s="15" t="s">
        <v>23</v>
      </c>
    </row>
    <row r="5730" spans="1:11" ht="42" customHeight="1">
      <c r="A5730" s="4" t="s">
        <v>14014</v>
      </c>
      <c r="B5730" s="5" t="s">
        <v>14015</v>
      </c>
      <c r="C5730" s="5" t="s">
        <v>55</v>
      </c>
      <c r="D5730" s="5" t="s">
        <v>56</v>
      </c>
      <c r="E5730" s="5" t="s">
        <v>604</v>
      </c>
      <c r="F5730" s="9">
        <v>100</v>
      </c>
      <c r="G5730" s="9">
        <v>1236</v>
      </c>
      <c r="H5730" s="5" t="s">
        <v>21</v>
      </c>
      <c r="I5730" s="5" t="s">
        <v>14016</v>
      </c>
      <c r="J5730" s="12" t="str">
        <f>HYPERLINK("https://www.boe.es/gazeta/dias/1802/12/10/pdfs/GMD-1802-100.pdf#page=8","Abrir facsímil")</f>
        <v>Abrir facsímil</v>
      </c>
      <c r="K5730" s="15" t="s">
        <v>23</v>
      </c>
    </row>
    <row r="5731" spans="1:11" ht="42" customHeight="1">
      <c r="A5731" s="4" t="s">
        <v>14017</v>
      </c>
      <c r="B5731" s="5" t="s">
        <v>14018</v>
      </c>
      <c r="C5731" s="5" t="s">
        <v>90</v>
      </c>
      <c r="D5731" s="5" t="s">
        <v>91</v>
      </c>
      <c r="E5731" s="5" t="s">
        <v>389</v>
      </c>
      <c r="F5731" s="9">
        <v>96</v>
      </c>
      <c r="G5731" s="9">
        <v>1189</v>
      </c>
      <c r="H5731" s="5" t="s">
        <v>21</v>
      </c>
      <c r="I5731" s="5" t="s">
        <v>14019</v>
      </c>
      <c r="J5731" s="12" t="str">
        <f>HYPERLINK("https://www.boe.es/gazeta/dias/1802/11/26/pdfs/GMD-1802-96.pdf#page=9","Abrir facsímil")</f>
        <v>Abrir facsímil</v>
      </c>
      <c r="K5731" s="15" t="s">
        <v>23</v>
      </c>
    </row>
    <row r="5732" spans="1:11" ht="42" customHeight="1">
      <c r="A5732" s="4" t="s">
        <v>14020</v>
      </c>
      <c r="B5732" s="5" t="s">
        <v>14021</v>
      </c>
      <c r="C5732" s="5" t="s">
        <v>55</v>
      </c>
      <c r="D5732" s="5" t="s">
        <v>56</v>
      </c>
      <c r="E5732" s="5" t="s">
        <v>247</v>
      </c>
      <c r="F5732" s="9">
        <v>14</v>
      </c>
      <c r="G5732" s="9">
        <v>147</v>
      </c>
      <c r="H5732" s="5" t="s">
        <v>21</v>
      </c>
      <c r="I5732" s="5" t="s">
        <v>14022</v>
      </c>
      <c r="J5732" s="12" t="str">
        <f>HYPERLINK("https://www.boe.es/gazeta/dias/1802/02/16/pdfs/GMD-1802-14.pdf#page=11","Abrir facsímil")</f>
        <v>Abrir facsímil</v>
      </c>
      <c r="K5732" s="15" t="s">
        <v>23</v>
      </c>
    </row>
    <row r="5733" spans="1:11" ht="42" customHeight="1">
      <c r="A5733" s="4" t="s">
        <v>14023</v>
      </c>
      <c r="B5733" s="5" t="s">
        <v>14024</v>
      </c>
      <c r="C5733" s="5" t="s">
        <v>160</v>
      </c>
      <c r="D5733" s="5" t="s">
        <v>91</v>
      </c>
      <c r="E5733" s="5" t="s">
        <v>900</v>
      </c>
      <c r="F5733" s="9">
        <v>16</v>
      </c>
      <c r="G5733" s="9">
        <v>169</v>
      </c>
      <c r="H5733" s="5" t="s">
        <v>21</v>
      </c>
      <c r="I5733" s="5" t="s">
        <v>14025</v>
      </c>
      <c r="J5733" s="12" t="str">
        <f>HYPERLINK("https://www.boe.es/gazeta/dias/1802/02/23/pdfs/GMD-1802-16.pdf#page=9","Abrir facsímil")</f>
        <v>Abrir facsímil</v>
      </c>
      <c r="K5733" s="15" t="s">
        <v>23</v>
      </c>
    </row>
    <row r="5734" spans="1:11" ht="42" customHeight="1">
      <c r="A5734" s="4" t="s">
        <v>14026</v>
      </c>
      <c r="B5734" s="5" t="s">
        <v>14027</v>
      </c>
      <c r="C5734" s="5" t="s">
        <v>90</v>
      </c>
      <c r="D5734" s="5" t="s">
        <v>91</v>
      </c>
      <c r="E5734" s="5" t="s">
        <v>1264</v>
      </c>
      <c r="F5734" s="9">
        <v>105</v>
      </c>
      <c r="G5734" s="9">
        <v>1286</v>
      </c>
      <c r="H5734" s="5" t="s">
        <v>21</v>
      </c>
      <c r="I5734" s="5" t="s">
        <v>14028</v>
      </c>
      <c r="J5734" s="12" t="str">
        <f>HYPERLINK("https://www.boe.es/gazeta/dias/1802/12/28/pdfs/GMD-1802-105.pdf#page=10","Abrir facsímil")</f>
        <v>Abrir facsímil</v>
      </c>
      <c r="K5734" s="15" t="s">
        <v>23</v>
      </c>
    </row>
    <row r="5735" spans="1:11" ht="42" customHeight="1">
      <c r="A5735" s="4" t="s">
        <v>14029</v>
      </c>
      <c r="B5735" s="5" t="s">
        <v>14030</v>
      </c>
      <c r="C5735" s="5" t="s">
        <v>18</v>
      </c>
      <c r="D5735" s="5" t="s">
        <v>19</v>
      </c>
      <c r="E5735" s="5" t="s">
        <v>49</v>
      </c>
      <c r="F5735" s="9">
        <v>83</v>
      </c>
      <c r="G5735" s="9">
        <v>1025</v>
      </c>
      <c r="H5735" s="5" t="s">
        <v>21</v>
      </c>
      <c r="I5735" s="5" t="s">
        <v>14031</v>
      </c>
      <c r="J5735" s="12" t="str">
        <f>HYPERLINK("https://www.boe.es/gazeta/dias/1802/10/12/pdfs/GMD-1802-83.pdf#page=13","Abrir facsímil")</f>
        <v>Abrir facsímil</v>
      </c>
      <c r="K5735" s="15" t="s">
        <v>23</v>
      </c>
    </row>
    <row r="5736" spans="1:11" ht="42" customHeight="1">
      <c r="A5736" s="4" t="s">
        <v>14032</v>
      </c>
      <c r="B5736" s="5" t="s">
        <v>14033</v>
      </c>
      <c r="C5736" s="5" t="s">
        <v>35</v>
      </c>
      <c r="D5736" s="5" t="s">
        <v>36</v>
      </c>
      <c r="E5736" s="5" t="s">
        <v>146</v>
      </c>
      <c r="F5736" s="9">
        <v>42</v>
      </c>
      <c r="G5736" s="9">
        <v>504</v>
      </c>
      <c r="H5736" s="5" t="s">
        <v>21</v>
      </c>
      <c r="I5736" s="5" t="s">
        <v>14034</v>
      </c>
      <c r="J5736" s="12" t="str">
        <f>HYPERLINK("https://www.boe.es/gazeta/dias/1802/05/25/pdfs/GMD-1802-42.pdf#page=8","Abrir facsímil")</f>
        <v>Abrir facsímil</v>
      </c>
      <c r="K5736" s="15" t="s">
        <v>23</v>
      </c>
    </row>
    <row r="5737" spans="1:11" ht="42" customHeight="1">
      <c r="A5737" s="4" t="s">
        <v>14035</v>
      </c>
      <c r="B5737" s="5" t="s">
        <v>14036</v>
      </c>
      <c r="C5737" s="5" t="s">
        <v>42</v>
      </c>
      <c r="D5737" s="5" t="s">
        <v>43</v>
      </c>
      <c r="E5737" s="5" t="s">
        <v>44</v>
      </c>
      <c r="F5737" s="9">
        <v>99</v>
      </c>
      <c r="G5737" s="9" t="s">
        <v>78</v>
      </c>
      <c r="H5737" s="5" t="s">
        <v>21</v>
      </c>
      <c r="I5737" s="5" t="s">
        <v>14037</v>
      </c>
      <c r="J5737" s="12" t="str">
        <f>HYPERLINK("https://www.boe.es/gazeta/dias/1802/12/07/pdfs/GMD-D-1802-99.pdf#page=15","Abrir facsímil")</f>
        <v>Abrir facsímil</v>
      </c>
      <c r="K5737" s="15" t="s">
        <v>23</v>
      </c>
    </row>
    <row r="5738" spans="1:11" ht="42" customHeight="1">
      <c r="A5738" s="4" t="s">
        <v>14038</v>
      </c>
      <c r="B5738" s="5" t="s">
        <v>14039</v>
      </c>
      <c r="C5738" s="5" t="s">
        <v>42</v>
      </c>
      <c r="D5738" s="5" t="s">
        <v>43</v>
      </c>
      <c r="E5738" s="5" t="s">
        <v>44</v>
      </c>
      <c r="F5738" s="9">
        <v>99</v>
      </c>
      <c r="G5738" s="9" t="s">
        <v>45</v>
      </c>
      <c r="H5738" s="5" t="s">
        <v>21</v>
      </c>
      <c r="I5738" s="5" t="s">
        <v>14040</v>
      </c>
      <c r="J5738" s="12" t="str">
        <f>HYPERLINK("https://www.boe.es/gazeta/dias/1802/12/07/pdfs/GMD-D-1802-99.pdf#page=14","Abrir facsímil")</f>
        <v>Abrir facsímil</v>
      </c>
      <c r="K5738" s="15" t="s">
        <v>23</v>
      </c>
    </row>
    <row r="5739" spans="1:11" ht="42" customHeight="1">
      <c r="A5739" s="4" t="s">
        <v>14041</v>
      </c>
      <c r="B5739" s="5" t="s">
        <v>14042</v>
      </c>
      <c r="C5739" s="5" t="s">
        <v>55</v>
      </c>
      <c r="D5739" s="5" t="s">
        <v>56</v>
      </c>
      <c r="E5739" s="5" t="s">
        <v>635</v>
      </c>
      <c r="F5739" s="9">
        <v>47</v>
      </c>
      <c r="G5739" s="9">
        <v>576</v>
      </c>
      <c r="H5739" s="5" t="s">
        <v>21</v>
      </c>
      <c r="I5739" s="5" t="s">
        <v>14043</v>
      </c>
      <c r="J5739" s="12" t="str">
        <f>HYPERLINK("https://www.boe.es/gazeta/dias/1802/06/11/pdfs/GMD-1802-47.pdf#page=12","Abrir facsímil")</f>
        <v>Abrir facsímil</v>
      </c>
      <c r="K5739" s="15" t="s">
        <v>23</v>
      </c>
    </row>
    <row r="5740" spans="1:11" ht="42" customHeight="1">
      <c r="A5740" s="4" t="s">
        <v>14044</v>
      </c>
      <c r="B5740" s="5" t="s">
        <v>14045</v>
      </c>
      <c r="C5740" s="5" t="s">
        <v>29</v>
      </c>
      <c r="D5740" s="5" t="s">
        <v>30</v>
      </c>
      <c r="E5740" s="5" t="s">
        <v>167</v>
      </c>
      <c r="F5740" s="9">
        <v>23</v>
      </c>
      <c r="G5740" s="9">
        <v>258</v>
      </c>
      <c r="H5740" s="5" t="s">
        <v>21</v>
      </c>
      <c r="I5740" s="5" t="s">
        <v>14046</v>
      </c>
      <c r="J5740" s="12" t="str">
        <f>HYPERLINK("https://www.boe.es/gazeta/dias/1802/03/19/pdfs/GMD-1802-23.pdf#page=6","Abrir facsímil")</f>
        <v>Abrir facsímil</v>
      </c>
      <c r="K5740" s="15" t="s">
        <v>23</v>
      </c>
    </row>
    <row r="5741" spans="1:11" ht="42" customHeight="1">
      <c r="A5741" s="4" t="s">
        <v>14044</v>
      </c>
      <c r="B5741" s="5" t="s">
        <v>14045</v>
      </c>
      <c r="C5741" s="5" t="s">
        <v>18</v>
      </c>
      <c r="D5741" s="5" t="s">
        <v>19</v>
      </c>
      <c r="E5741" s="5" t="s">
        <v>49</v>
      </c>
      <c r="F5741" s="9">
        <v>83</v>
      </c>
      <c r="G5741" s="9">
        <v>1022</v>
      </c>
      <c r="H5741" s="5" t="s">
        <v>21</v>
      </c>
      <c r="I5741" s="5" t="s">
        <v>14047</v>
      </c>
      <c r="J5741" s="12" t="str">
        <f>HYPERLINK("https://www.boe.es/gazeta/dias/1802/10/12/pdfs/GMD-1802-83.pdf#page=10","Abrir facsímil")</f>
        <v>Abrir facsímil</v>
      </c>
      <c r="K5741" s="15" t="s">
        <v>23</v>
      </c>
    </row>
    <row r="5742" spans="1:11" ht="42" customHeight="1">
      <c r="A5742" s="4" t="s">
        <v>14048</v>
      </c>
      <c r="B5742" s="5" t="s">
        <v>14049</v>
      </c>
      <c r="C5742" s="5" t="s">
        <v>42</v>
      </c>
      <c r="D5742" s="5" t="s">
        <v>43</v>
      </c>
      <c r="E5742" s="5" t="s">
        <v>44</v>
      </c>
      <c r="F5742" s="9">
        <v>99</v>
      </c>
      <c r="G5742" s="9" t="s">
        <v>251</v>
      </c>
      <c r="H5742" s="5" t="s">
        <v>21</v>
      </c>
      <c r="I5742" s="5" t="s">
        <v>14050</v>
      </c>
      <c r="J5742" s="12" t="str">
        <f>HYPERLINK("https://www.boe.es/gazeta/dias/1802/12/07/pdfs/GMD-D-1802-99.pdf#page=6","Abrir facsímil")</f>
        <v>Abrir facsímil</v>
      </c>
      <c r="K5742" s="15" t="s">
        <v>23</v>
      </c>
    </row>
    <row r="5743" spans="1:11" ht="42" customHeight="1">
      <c r="A5743" s="4" t="s">
        <v>14051</v>
      </c>
      <c r="B5743" s="5" t="s">
        <v>14052</v>
      </c>
      <c r="C5743" s="5" t="s">
        <v>29</v>
      </c>
      <c r="D5743" s="5" t="s">
        <v>30</v>
      </c>
      <c r="E5743" s="5" t="s">
        <v>670</v>
      </c>
      <c r="F5743" s="9">
        <v>40</v>
      </c>
      <c r="G5743" s="9">
        <v>481</v>
      </c>
      <c r="H5743" s="5" t="s">
        <v>21</v>
      </c>
      <c r="I5743" s="5" t="s">
        <v>14053</v>
      </c>
      <c r="J5743" s="12" t="str">
        <f>HYPERLINK("https://www.boe.es/gazeta/dias/1802/05/18/pdfs/GMD-1802-40.pdf#page=9","Abrir facsímil")</f>
        <v>Abrir facsímil</v>
      </c>
      <c r="K5743" s="15" t="s">
        <v>23</v>
      </c>
    </row>
    <row r="5744" spans="1:11" ht="42" customHeight="1">
      <c r="A5744" s="4" t="s">
        <v>14054</v>
      </c>
      <c r="B5744" s="5" t="s">
        <v>14055</v>
      </c>
      <c r="C5744" s="5" t="s">
        <v>42</v>
      </c>
      <c r="D5744" s="5" t="s">
        <v>43</v>
      </c>
      <c r="E5744" s="5" t="s">
        <v>44</v>
      </c>
      <c r="F5744" s="9">
        <v>99</v>
      </c>
      <c r="G5744" s="9" t="s">
        <v>262</v>
      </c>
      <c r="H5744" s="5" t="s">
        <v>21</v>
      </c>
      <c r="I5744" s="5" t="s">
        <v>14056</v>
      </c>
      <c r="J5744" s="12" t="str">
        <f>HYPERLINK("https://www.boe.es/gazeta/dias/1802/12/07/pdfs/GMD-D-1802-99.pdf#page=8","Abrir facsímil")</f>
        <v>Abrir facsímil</v>
      </c>
      <c r="K5744" s="15" t="s">
        <v>23</v>
      </c>
    </row>
    <row r="5745" spans="1:11" ht="42" customHeight="1">
      <c r="A5745" s="4" t="s">
        <v>14057</v>
      </c>
      <c r="B5745" s="5" t="s">
        <v>14058</v>
      </c>
      <c r="C5745" s="5" t="s">
        <v>42</v>
      </c>
      <c r="D5745" s="5" t="s">
        <v>43</v>
      </c>
      <c r="E5745" s="5" t="s">
        <v>44</v>
      </c>
      <c r="F5745" s="9">
        <v>99</v>
      </c>
      <c r="G5745" s="9" t="s">
        <v>262</v>
      </c>
      <c r="H5745" s="5" t="s">
        <v>21</v>
      </c>
      <c r="I5745" s="5" t="s">
        <v>14059</v>
      </c>
      <c r="J5745" s="12" t="str">
        <f>HYPERLINK("https://www.boe.es/gazeta/dias/1802/12/07/pdfs/GMD-D-1802-99.pdf#page=8","Abrir facsímil")</f>
        <v>Abrir facsímil</v>
      </c>
      <c r="K5745" s="15" t="s">
        <v>23</v>
      </c>
    </row>
    <row r="5746" spans="1:11" ht="42" customHeight="1">
      <c r="A5746" s="4" t="s">
        <v>14060</v>
      </c>
      <c r="B5746" s="5" t="s">
        <v>14061</v>
      </c>
      <c r="C5746" s="5" t="s">
        <v>29</v>
      </c>
      <c r="D5746" s="5" t="s">
        <v>30</v>
      </c>
      <c r="E5746" s="5" t="s">
        <v>299</v>
      </c>
      <c r="F5746" s="9">
        <v>19</v>
      </c>
      <c r="G5746" s="9">
        <v>211</v>
      </c>
      <c r="H5746" s="5" t="s">
        <v>21</v>
      </c>
      <c r="I5746" s="5" t="s">
        <v>14062</v>
      </c>
      <c r="J5746" s="12" t="str">
        <f>HYPERLINK("https://www.boe.es/gazeta/dias/1802/03/05/pdfs/GMD-1802-19.pdf#page=11","Abrir facsímil")</f>
        <v>Abrir facsímil</v>
      </c>
      <c r="K5746" s="15" t="s">
        <v>23</v>
      </c>
    </row>
    <row r="5747" spans="1:11" ht="42" customHeight="1">
      <c r="A5747" s="4" t="s">
        <v>14063</v>
      </c>
      <c r="B5747" s="5" t="s">
        <v>14064</v>
      </c>
      <c r="C5747" s="5" t="s">
        <v>160</v>
      </c>
      <c r="D5747" s="5" t="s">
        <v>91</v>
      </c>
      <c r="E5747" s="5" t="s">
        <v>206</v>
      </c>
      <c r="F5747" s="9">
        <v>22</v>
      </c>
      <c r="G5747" s="9">
        <v>251</v>
      </c>
      <c r="H5747" s="5" t="s">
        <v>21</v>
      </c>
      <c r="I5747" s="5" t="s">
        <v>14065</v>
      </c>
      <c r="J5747" s="12" t="str">
        <f>HYPERLINK("https://www.boe.es/gazeta/dias/1802/03/16/pdfs/GMD-C-1802-22.pdf#page=7","Abrir facsímil")</f>
        <v>Abrir facsímil</v>
      </c>
      <c r="K5747" s="15" t="s">
        <v>23</v>
      </c>
    </row>
    <row r="5748" spans="1:11" ht="42" customHeight="1">
      <c r="A5748" s="4" t="s">
        <v>14066</v>
      </c>
      <c r="B5748" s="5" t="s">
        <v>14067</v>
      </c>
      <c r="C5748" s="5" t="s">
        <v>29</v>
      </c>
      <c r="D5748" s="5" t="s">
        <v>30</v>
      </c>
      <c r="E5748" s="5" t="s">
        <v>299</v>
      </c>
      <c r="F5748" s="9">
        <v>19</v>
      </c>
      <c r="G5748" s="9">
        <v>210</v>
      </c>
      <c r="H5748" s="5" t="s">
        <v>21</v>
      </c>
      <c r="I5748" s="5" t="s">
        <v>14068</v>
      </c>
      <c r="J5748" s="12" t="str">
        <f>HYPERLINK("https://www.boe.es/gazeta/dias/1802/03/05/pdfs/GMD-1802-19.pdf#page=10","Abrir facsímil")</f>
        <v>Abrir facsímil</v>
      </c>
      <c r="K5748" s="15" t="s">
        <v>23</v>
      </c>
    </row>
    <row r="5749" spans="1:11" ht="42" customHeight="1">
      <c r="A5749" s="4" t="s">
        <v>14069</v>
      </c>
      <c r="B5749" s="5" t="s">
        <v>14070</v>
      </c>
      <c r="C5749" s="5" t="s">
        <v>42</v>
      </c>
      <c r="D5749" s="5" t="s">
        <v>43</v>
      </c>
      <c r="E5749" s="5" t="s">
        <v>44</v>
      </c>
      <c r="F5749" s="9">
        <v>99</v>
      </c>
      <c r="G5749" s="9" t="s">
        <v>544</v>
      </c>
      <c r="H5749" s="5" t="s">
        <v>21</v>
      </c>
      <c r="I5749" s="5" t="s">
        <v>14071</v>
      </c>
      <c r="J5749" s="12" t="str">
        <f>HYPERLINK("https://www.boe.es/gazeta/dias/1802/12/07/pdfs/GMD-D-1802-99.pdf#page=11","Abrir facsímil")</f>
        <v>Abrir facsímil</v>
      </c>
      <c r="K5749" s="15" t="s">
        <v>23</v>
      </c>
    </row>
    <row r="5750" spans="1:11" ht="42" customHeight="1">
      <c r="A5750" s="4" t="s">
        <v>14072</v>
      </c>
      <c r="B5750" s="5" t="s">
        <v>14073</v>
      </c>
      <c r="C5750" s="5" t="s">
        <v>18</v>
      </c>
      <c r="D5750" s="5" t="s">
        <v>19</v>
      </c>
      <c r="E5750" s="5" t="s">
        <v>49</v>
      </c>
      <c r="F5750" s="9">
        <v>83</v>
      </c>
      <c r="G5750" s="9">
        <v>1022</v>
      </c>
      <c r="H5750" s="5" t="s">
        <v>21</v>
      </c>
      <c r="I5750" s="5" t="s">
        <v>14074</v>
      </c>
      <c r="J5750" s="12" t="str">
        <f>HYPERLINK("https://www.boe.es/gazeta/dias/1802/10/12/pdfs/GMD-1802-83.pdf#page=10","Abrir facsímil")</f>
        <v>Abrir facsímil</v>
      </c>
      <c r="K5750" s="15" t="s">
        <v>23</v>
      </c>
    </row>
    <row r="5751" spans="1:11" ht="42" customHeight="1">
      <c r="A5751" s="4" t="s">
        <v>14075</v>
      </c>
      <c r="B5751" s="5" t="s">
        <v>14076</v>
      </c>
      <c r="C5751" s="5" t="s">
        <v>42</v>
      </c>
      <c r="D5751" s="5" t="s">
        <v>43</v>
      </c>
      <c r="E5751" s="5" t="s">
        <v>44</v>
      </c>
      <c r="F5751" s="9">
        <v>99</v>
      </c>
      <c r="G5751" s="9" t="s">
        <v>262</v>
      </c>
      <c r="H5751" s="5" t="s">
        <v>21</v>
      </c>
      <c r="I5751" s="5" t="s">
        <v>14077</v>
      </c>
      <c r="J5751" s="12" t="str">
        <f>HYPERLINK("https://www.boe.es/gazeta/dias/1802/12/07/pdfs/GMD-D-1802-99.pdf#page=8","Abrir facsímil")</f>
        <v>Abrir facsímil</v>
      </c>
      <c r="K5751" s="15" t="s">
        <v>23</v>
      </c>
    </row>
    <row r="5752" spans="1:11" ht="42" customHeight="1">
      <c r="A5752" s="4" t="s">
        <v>14078</v>
      </c>
      <c r="B5752" s="5" t="s">
        <v>14079</v>
      </c>
      <c r="C5752" s="5" t="s">
        <v>90</v>
      </c>
      <c r="D5752" s="5" t="s">
        <v>91</v>
      </c>
      <c r="E5752" s="5" t="s">
        <v>152</v>
      </c>
      <c r="F5752" s="9">
        <v>25</v>
      </c>
      <c r="G5752" s="9">
        <v>287</v>
      </c>
      <c r="H5752" s="5" t="s">
        <v>21</v>
      </c>
      <c r="I5752" s="5" t="s">
        <v>14080</v>
      </c>
      <c r="J5752" s="12" t="str">
        <f>HYPERLINK("https://www.boe.es/gazeta/dias/1802/03/26/pdfs/GMD-1802-25.pdf#page=11","Abrir facsímil")</f>
        <v>Abrir facsímil</v>
      </c>
      <c r="K5752" s="15" t="s">
        <v>23</v>
      </c>
    </row>
    <row r="5753" spans="1:11" ht="42" customHeight="1">
      <c r="A5753" s="4" t="s">
        <v>14078</v>
      </c>
      <c r="B5753" s="5" t="s">
        <v>14079</v>
      </c>
      <c r="C5753" s="5" t="s">
        <v>90</v>
      </c>
      <c r="D5753" s="5" t="s">
        <v>91</v>
      </c>
      <c r="E5753" s="5" t="s">
        <v>1959</v>
      </c>
      <c r="F5753" s="9">
        <v>34</v>
      </c>
      <c r="G5753" s="9">
        <v>399</v>
      </c>
      <c r="H5753" s="5" t="s">
        <v>21</v>
      </c>
      <c r="I5753" s="5" t="s">
        <v>14081</v>
      </c>
      <c r="J5753" s="12" t="str">
        <f>HYPERLINK("https://www.boe.es/gazeta/dias/1802/04/27/pdfs/GMD-1802-34.pdf#page=11","Abrir facsímil")</f>
        <v>Abrir facsímil</v>
      </c>
      <c r="K5753" s="15" t="s">
        <v>23</v>
      </c>
    </row>
    <row r="5754" spans="1:11" ht="42" customHeight="1">
      <c r="A5754" s="4" t="s">
        <v>14078</v>
      </c>
      <c r="B5754" s="5" t="s">
        <v>14079</v>
      </c>
      <c r="C5754" s="5" t="s">
        <v>90</v>
      </c>
      <c r="D5754" s="5" t="s">
        <v>91</v>
      </c>
      <c r="E5754" s="5" t="s">
        <v>590</v>
      </c>
      <c r="F5754" s="9">
        <v>38</v>
      </c>
      <c r="G5754" s="9">
        <v>456</v>
      </c>
      <c r="H5754" s="5" t="s">
        <v>21</v>
      </c>
      <c r="I5754" s="5" t="s">
        <v>14082</v>
      </c>
      <c r="J5754" s="12" t="str">
        <f>HYPERLINK("https://www.boe.es/gazeta/dias/1802/05/11/pdfs/GMD-1802-38.pdf#page=12","Abrir facsímil")</f>
        <v>Abrir facsímil</v>
      </c>
      <c r="K5754" s="15" t="s">
        <v>23</v>
      </c>
    </row>
    <row r="5755" spans="1:11" ht="42" customHeight="1">
      <c r="A5755" s="4" t="s">
        <v>14078</v>
      </c>
      <c r="B5755" s="5" t="s">
        <v>14079</v>
      </c>
      <c r="C5755" s="5" t="s">
        <v>90</v>
      </c>
      <c r="D5755" s="5" t="s">
        <v>91</v>
      </c>
      <c r="E5755" s="5" t="s">
        <v>146</v>
      </c>
      <c r="F5755" s="9">
        <v>42</v>
      </c>
      <c r="G5755" s="9">
        <v>507</v>
      </c>
      <c r="H5755" s="5" t="s">
        <v>21</v>
      </c>
      <c r="I5755" s="5" t="s">
        <v>14083</v>
      </c>
      <c r="J5755" s="12" t="str">
        <f>HYPERLINK("https://www.boe.es/gazeta/dias/1802/05/25/pdfs/GMD-1802-42.pdf#page=11","Abrir facsímil")</f>
        <v>Abrir facsímil</v>
      </c>
      <c r="K5755" s="15" t="s">
        <v>23</v>
      </c>
    </row>
    <row r="5756" spans="1:11" ht="42" customHeight="1">
      <c r="A5756" s="4" t="s">
        <v>14078</v>
      </c>
      <c r="B5756" s="5" t="s">
        <v>14079</v>
      </c>
      <c r="C5756" s="5" t="s">
        <v>90</v>
      </c>
      <c r="D5756" s="5" t="s">
        <v>91</v>
      </c>
      <c r="E5756" s="5" t="s">
        <v>1749</v>
      </c>
      <c r="F5756" s="9">
        <v>60</v>
      </c>
      <c r="G5756" s="9">
        <v>732</v>
      </c>
      <c r="H5756" s="5" t="s">
        <v>21</v>
      </c>
      <c r="I5756" s="5" t="s">
        <v>14084</v>
      </c>
      <c r="J5756" s="12" t="str">
        <f>HYPERLINK("https://www.boe.es/gazeta/dias/1802/07/23/pdfs/GMD-1802-60.pdf#page=16","Abrir facsímil")</f>
        <v>Abrir facsímil</v>
      </c>
      <c r="K5756" s="15" t="s">
        <v>23</v>
      </c>
    </row>
    <row r="5757" spans="1:11" ht="42" customHeight="1">
      <c r="A5757" s="4" t="s">
        <v>14078</v>
      </c>
      <c r="B5757" s="5" t="s">
        <v>14079</v>
      </c>
      <c r="C5757" s="5" t="s">
        <v>90</v>
      </c>
      <c r="D5757" s="5" t="s">
        <v>91</v>
      </c>
      <c r="E5757" s="5" t="s">
        <v>826</v>
      </c>
      <c r="F5757" s="9">
        <v>67</v>
      </c>
      <c r="G5757" s="9">
        <v>824</v>
      </c>
      <c r="H5757" s="5" t="s">
        <v>21</v>
      </c>
      <c r="I5757" s="5" t="s">
        <v>14085</v>
      </c>
      <c r="J5757" s="12" t="str">
        <f>HYPERLINK("https://www.boe.es/gazeta/dias/1802/08/17/pdfs/GMD-1802-67.pdf#page=12","Abrir facsímil")</f>
        <v>Abrir facsímil</v>
      </c>
      <c r="K5757" s="15" t="s">
        <v>23</v>
      </c>
    </row>
    <row r="5758" spans="1:11" ht="42" customHeight="1">
      <c r="A5758" s="4" t="s">
        <v>14086</v>
      </c>
      <c r="B5758" s="5" t="s">
        <v>14087</v>
      </c>
      <c r="C5758" s="5" t="s">
        <v>42</v>
      </c>
      <c r="D5758" s="5" t="s">
        <v>43</v>
      </c>
      <c r="E5758" s="5" t="s">
        <v>44</v>
      </c>
      <c r="F5758" s="9">
        <v>99</v>
      </c>
      <c r="G5758" s="9" t="s">
        <v>554</v>
      </c>
      <c r="H5758" s="5" t="s">
        <v>21</v>
      </c>
      <c r="I5758" s="5" t="s">
        <v>14088</v>
      </c>
      <c r="J5758" s="12" t="str">
        <f>HYPERLINK("https://www.boe.es/gazeta/dias/1802/12/07/pdfs/GMD-D-1802-99.pdf#page=4","Abrir facsímil")</f>
        <v>Abrir facsímil</v>
      </c>
      <c r="K5758" s="15" t="s">
        <v>23</v>
      </c>
    </row>
    <row r="5759" spans="1:11" ht="42" customHeight="1">
      <c r="A5759" s="4" t="s">
        <v>14089</v>
      </c>
      <c r="B5759" s="5" t="s">
        <v>14090</v>
      </c>
      <c r="C5759" s="5" t="s">
        <v>42</v>
      </c>
      <c r="D5759" s="5" t="s">
        <v>43</v>
      </c>
      <c r="E5759" s="5" t="s">
        <v>44</v>
      </c>
      <c r="F5759" s="9">
        <v>99</v>
      </c>
      <c r="G5759" s="9" t="s">
        <v>554</v>
      </c>
      <c r="H5759" s="5" t="s">
        <v>21</v>
      </c>
      <c r="I5759" s="5" t="s">
        <v>14091</v>
      </c>
      <c r="J5759" s="12" t="str">
        <f>HYPERLINK("https://www.boe.es/gazeta/dias/1802/12/07/pdfs/GMD-D-1802-99.pdf#page=4","Abrir facsímil")</f>
        <v>Abrir facsímil</v>
      </c>
      <c r="K5759" s="15" t="s">
        <v>23</v>
      </c>
    </row>
    <row r="5760" spans="1:11" ht="42" customHeight="1">
      <c r="A5760" s="4" t="s">
        <v>14092</v>
      </c>
      <c r="B5760" s="5" t="s">
        <v>14093</v>
      </c>
      <c r="C5760" s="5" t="s">
        <v>55</v>
      </c>
      <c r="D5760" s="5" t="s">
        <v>56</v>
      </c>
      <c r="E5760" s="5" t="s">
        <v>49</v>
      </c>
      <c r="F5760" s="9">
        <v>83</v>
      </c>
      <c r="G5760" s="9">
        <v>1021</v>
      </c>
      <c r="H5760" s="5" t="s">
        <v>21</v>
      </c>
      <c r="I5760" s="5" t="s">
        <v>14094</v>
      </c>
      <c r="J5760" s="12" t="str">
        <f>HYPERLINK("https://www.boe.es/gazeta/dias/1802/10/12/pdfs/GMD-1802-83.pdf#page=9","Abrir facsímil")</f>
        <v>Abrir facsímil</v>
      </c>
      <c r="K5760" s="15" t="s">
        <v>23</v>
      </c>
    </row>
    <row r="5761" spans="1:11" ht="42" customHeight="1">
      <c r="A5761" s="4" t="s">
        <v>14095</v>
      </c>
      <c r="B5761" s="5" t="s">
        <v>14096</v>
      </c>
      <c r="C5761" s="5" t="s">
        <v>29</v>
      </c>
      <c r="D5761" s="5" t="s">
        <v>30</v>
      </c>
      <c r="E5761" s="5" t="s">
        <v>1097</v>
      </c>
      <c r="F5761" s="9">
        <v>20</v>
      </c>
      <c r="G5761" s="9">
        <v>222</v>
      </c>
      <c r="H5761" s="5" t="s">
        <v>21</v>
      </c>
      <c r="I5761" s="5" t="s">
        <v>14097</v>
      </c>
      <c r="J5761" s="12" t="str">
        <f>HYPERLINK("https://www.boe.es/gazeta/dias/1802/03/09/pdfs/GMD-1802-20.pdf#page=10","Abrir facsímil")</f>
        <v>Abrir facsímil</v>
      </c>
      <c r="K5761" s="15" t="s">
        <v>23</v>
      </c>
    </row>
    <row r="5762" spans="1:11" ht="42" customHeight="1">
      <c r="A5762" s="4" t="s">
        <v>14098</v>
      </c>
      <c r="B5762" s="5" t="s">
        <v>14099</v>
      </c>
      <c r="C5762" s="5" t="s">
        <v>29</v>
      </c>
      <c r="D5762" s="5" t="s">
        <v>30</v>
      </c>
      <c r="E5762" s="5" t="s">
        <v>146</v>
      </c>
      <c r="F5762" s="9">
        <v>42</v>
      </c>
      <c r="G5762" s="9">
        <v>504</v>
      </c>
      <c r="H5762" s="5" t="s">
        <v>21</v>
      </c>
      <c r="I5762" s="5" t="s">
        <v>14100</v>
      </c>
      <c r="J5762" s="12" t="str">
        <f>HYPERLINK("https://www.boe.es/gazeta/dias/1802/05/25/pdfs/GMD-1802-42.pdf#page=8","Abrir facsímil")</f>
        <v>Abrir facsímil</v>
      </c>
      <c r="K5762" s="15" t="s">
        <v>23</v>
      </c>
    </row>
    <row r="5763" spans="1:11" ht="42" customHeight="1">
      <c r="A5763" s="4" t="s">
        <v>14101</v>
      </c>
      <c r="B5763" s="5" t="s">
        <v>14101</v>
      </c>
      <c r="C5763" s="5" t="s">
        <v>29</v>
      </c>
      <c r="D5763" s="5" t="s">
        <v>30</v>
      </c>
      <c r="E5763" s="5" t="s">
        <v>20</v>
      </c>
      <c r="F5763" s="9">
        <v>84</v>
      </c>
      <c r="G5763" s="9">
        <v>1038</v>
      </c>
      <c r="H5763" s="5" t="s">
        <v>21</v>
      </c>
      <c r="I5763" s="5" t="s">
        <v>14102</v>
      </c>
      <c r="J5763" s="12" t="str">
        <f>HYPERLINK("https://www.boe.es/gazeta/dias/1802/10/15/pdfs/GMD-1802-84.pdf#page=6","Abrir facsímil")</f>
        <v>Abrir facsímil</v>
      </c>
      <c r="K5763" s="15" t="s">
        <v>23</v>
      </c>
    </row>
    <row r="5764" spans="1:11" ht="42" customHeight="1">
      <c r="A5764" s="4" t="s">
        <v>14103</v>
      </c>
      <c r="B5764" s="5" t="s">
        <v>14103</v>
      </c>
      <c r="C5764" s="5" t="s">
        <v>35</v>
      </c>
      <c r="D5764" s="5" t="s">
        <v>36</v>
      </c>
      <c r="E5764" s="5" t="s">
        <v>325</v>
      </c>
      <c r="F5764" s="9">
        <v>90</v>
      </c>
      <c r="G5764" s="9">
        <v>1114</v>
      </c>
      <c r="H5764" s="5" t="s">
        <v>21</v>
      </c>
      <c r="I5764" s="5" t="s">
        <v>14104</v>
      </c>
      <c r="J5764" s="12" t="str">
        <f>HYPERLINK("https://www.boe.es/gazeta/dias/1802/11/05/pdfs/GMD-1802-90.pdf#page=6","Abrir facsímil")</f>
        <v>Abrir facsímil</v>
      </c>
      <c r="K5764" s="15" t="s">
        <v>23</v>
      </c>
    </row>
    <row r="5765" spans="1:11" ht="42" customHeight="1">
      <c r="A5765" s="4" t="s">
        <v>14105</v>
      </c>
      <c r="B5765" s="5" t="s">
        <v>14106</v>
      </c>
      <c r="C5765" s="5" t="s">
        <v>18</v>
      </c>
      <c r="D5765" s="5" t="s">
        <v>19</v>
      </c>
      <c r="E5765" s="5" t="s">
        <v>714</v>
      </c>
      <c r="F5765" s="9">
        <v>89</v>
      </c>
      <c r="G5765" s="9">
        <v>1108</v>
      </c>
      <c r="H5765" s="5" t="s">
        <v>21</v>
      </c>
      <c r="I5765" s="5" t="s">
        <v>14107</v>
      </c>
      <c r="J5765" s="12" t="str">
        <f>HYPERLINK("https://www.boe.es/gazeta/dias/1802/11/02/pdfs/GMD-1802-89.pdf#page=12","Abrir facsímil")</f>
        <v>Abrir facsímil</v>
      </c>
      <c r="K5765" s="15" t="s">
        <v>23</v>
      </c>
    </row>
    <row r="5766" spans="1:11" ht="42" customHeight="1">
      <c r="A5766" s="4" t="s">
        <v>14108</v>
      </c>
      <c r="B5766" s="5" t="s">
        <v>14108</v>
      </c>
      <c r="C5766" s="5" t="s">
        <v>29</v>
      </c>
      <c r="D5766" s="5" t="s">
        <v>30</v>
      </c>
      <c r="E5766" s="5" t="s">
        <v>1097</v>
      </c>
      <c r="F5766" s="9">
        <v>20</v>
      </c>
      <c r="G5766" s="9">
        <v>217</v>
      </c>
      <c r="H5766" s="5" t="s">
        <v>21</v>
      </c>
      <c r="I5766" s="5" t="s">
        <v>14109</v>
      </c>
      <c r="J5766" s="12" t="str">
        <f>HYPERLINK("https://www.boe.es/gazeta/dias/1802/03/09/pdfs/GMD-1802-20.pdf#page=5","Abrir facsímil")</f>
        <v>Abrir facsímil</v>
      </c>
      <c r="K5766" s="15" t="s">
        <v>23</v>
      </c>
    </row>
    <row r="5767" spans="1:11" ht="42" customHeight="1">
      <c r="A5767" s="4" t="s">
        <v>14110</v>
      </c>
      <c r="B5767" s="5" t="s">
        <v>14110</v>
      </c>
      <c r="C5767" s="5" t="s">
        <v>18</v>
      </c>
      <c r="D5767" s="5" t="s">
        <v>19</v>
      </c>
      <c r="E5767" s="5" t="s">
        <v>167</v>
      </c>
      <c r="F5767" s="9">
        <v>23</v>
      </c>
      <c r="G5767" s="9">
        <v>264</v>
      </c>
      <c r="H5767" s="5" t="s">
        <v>21</v>
      </c>
      <c r="I5767" s="5" t="s">
        <v>14111</v>
      </c>
      <c r="J5767" s="12" t="str">
        <f>HYPERLINK("https://www.boe.es/gazeta/dias/1802/03/19/pdfs/GMD-1802-23.pdf#page=12","Abrir facsímil")</f>
        <v>Abrir facsímil</v>
      </c>
      <c r="K5767" s="15" t="s">
        <v>23</v>
      </c>
    </row>
    <row r="5768" spans="1:11" ht="42" customHeight="1">
      <c r="A5768" s="4" t="s">
        <v>14112</v>
      </c>
      <c r="B5768" s="5" t="s">
        <v>14112</v>
      </c>
      <c r="C5768" s="5" t="s">
        <v>29</v>
      </c>
      <c r="D5768" s="5" t="s">
        <v>30</v>
      </c>
      <c r="E5768" s="5" t="s">
        <v>823</v>
      </c>
      <c r="F5768" s="9">
        <v>94</v>
      </c>
      <c r="G5768" s="9">
        <v>1161</v>
      </c>
      <c r="H5768" s="5" t="s">
        <v>21</v>
      </c>
      <c r="I5768" s="5" t="s">
        <v>14113</v>
      </c>
      <c r="J5768" s="12" t="str">
        <f>HYPERLINK("https://www.boe.es/gazeta/dias/1802/11/19/pdfs/GMD-1802-94.pdf#page=9","Abrir facsímil")</f>
        <v>Abrir facsímil</v>
      </c>
      <c r="K5768" s="15" t="s">
        <v>23</v>
      </c>
    </row>
    <row r="5769" spans="1:11" ht="42" customHeight="1">
      <c r="A5769" s="4" t="s">
        <v>14114</v>
      </c>
      <c r="B5769" s="5" t="s">
        <v>14115</v>
      </c>
      <c r="C5769" s="5" t="s">
        <v>29</v>
      </c>
      <c r="D5769" s="5" t="s">
        <v>30</v>
      </c>
      <c r="E5769" s="5" t="s">
        <v>71</v>
      </c>
      <c r="F5769" s="9">
        <v>21</v>
      </c>
      <c r="G5769" s="9">
        <v>232</v>
      </c>
      <c r="H5769" s="5" t="s">
        <v>21</v>
      </c>
      <c r="I5769" s="5" t="s">
        <v>14116</v>
      </c>
      <c r="J5769" s="12" t="str">
        <f>HYPERLINK("https://www.boe.es/gazeta/dias/1802/03/12/pdfs/GMD-1802-21.pdf#page=8","Abrir facsímil")</f>
        <v>Abrir facsímil</v>
      </c>
      <c r="K5769" s="15" t="s">
        <v>23</v>
      </c>
    </row>
    <row r="5770" spans="1:11" ht="42" customHeight="1">
      <c r="A5770" s="4" t="s">
        <v>14114</v>
      </c>
      <c r="B5770" s="5" t="s">
        <v>14115</v>
      </c>
      <c r="C5770" s="5" t="s">
        <v>160</v>
      </c>
      <c r="D5770" s="5" t="s">
        <v>91</v>
      </c>
      <c r="E5770" s="5" t="s">
        <v>206</v>
      </c>
      <c r="F5770" s="9">
        <v>22</v>
      </c>
      <c r="G5770" s="9">
        <v>247</v>
      </c>
      <c r="H5770" s="5" t="s">
        <v>21</v>
      </c>
      <c r="I5770" s="5" t="s">
        <v>14117</v>
      </c>
      <c r="J5770" s="12" t="str">
        <f>HYPERLINK("https://www.boe.es/gazeta/dias/1802/03/16/pdfs/GMD-C-1802-22.pdf#page=3","Abrir facsímil")</f>
        <v>Abrir facsímil</v>
      </c>
      <c r="K5770" s="15" t="s">
        <v>23</v>
      </c>
    </row>
    <row r="5771" spans="1:11" ht="42" customHeight="1">
      <c r="A5771" s="4" t="s">
        <v>14114</v>
      </c>
      <c r="B5771" s="5" t="s">
        <v>14115</v>
      </c>
      <c r="C5771" s="5" t="s">
        <v>160</v>
      </c>
      <c r="D5771" s="5" t="s">
        <v>91</v>
      </c>
      <c r="E5771" s="5" t="s">
        <v>167</v>
      </c>
      <c r="F5771" s="9">
        <v>23</v>
      </c>
      <c r="G5771" s="9">
        <v>261</v>
      </c>
      <c r="H5771" s="5" t="s">
        <v>21</v>
      </c>
      <c r="I5771" s="5" t="s">
        <v>14118</v>
      </c>
      <c r="J5771" s="12" t="str">
        <f>HYPERLINK("https://www.boe.es/gazeta/dias/1802/03/19/pdfs/GMD-1802-23.pdf#page=9","Abrir facsímil")</f>
        <v>Abrir facsímil</v>
      </c>
      <c r="K5771" s="15" t="s">
        <v>23</v>
      </c>
    </row>
    <row r="5772" spans="1:11" ht="42" customHeight="1">
      <c r="A5772" s="4" t="s">
        <v>14114</v>
      </c>
      <c r="B5772" s="5" t="s">
        <v>14115</v>
      </c>
      <c r="C5772" s="5" t="s">
        <v>160</v>
      </c>
      <c r="D5772" s="5" t="s">
        <v>91</v>
      </c>
      <c r="E5772" s="5" t="s">
        <v>332</v>
      </c>
      <c r="F5772" s="9">
        <v>24</v>
      </c>
      <c r="G5772" s="9">
        <v>273</v>
      </c>
      <c r="H5772" s="5" t="s">
        <v>21</v>
      </c>
      <c r="I5772" s="5" t="s">
        <v>14119</v>
      </c>
      <c r="J5772" s="12" t="str">
        <f>HYPERLINK("https://www.boe.es/gazeta/dias/1802/03/23/pdfs/GMD-1802-24.pdf#page=9","Abrir facsímil")</f>
        <v>Abrir facsímil</v>
      </c>
      <c r="K5772" s="15" t="s">
        <v>23</v>
      </c>
    </row>
    <row r="5773" spans="1:11" ht="42" customHeight="1">
      <c r="A5773" s="4" t="s">
        <v>14114</v>
      </c>
      <c r="B5773" s="5" t="s">
        <v>14115</v>
      </c>
      <c r="C5773" s="5" t="s">
        <v>160</v>
      </c>
      <c r="D5773" s="5" t="s">
        <v>91</v>
      </c>
      <c r="E5773" s="5" t="s">
        <v>92</v>
      </c>
      <c r="F5773" s="9">
        <v>29</v>
      </c>
      <c r="G5773" s="9">
        <v>344</v>
      </c>
      <c r="H5773" s="5" t="s">
        <v>21</v>
      </c>
      <c r="I5773" s="5" t="s">
        <v>14120</v>
      </c>
      <c r="J5773" s="12" t="str">
        <f>HYPERLINK("https://www.boe.es/gazeta/dias/1802/04/09/pdfs/GMD-1802-29.pdf#page=12","Abrir facsímil")</f>
        <v>Abrir facsímil</v>
      </c>
      <c r="K5773" s="15" t="s">
        <v>23</v>
      </c>
    </row>
    <row r="5774" spans="1:11" ht="42" customHeight="1">
      <c r="A5774" s="4" t="s">
        <v>14114</v>
      </c>
      <c r="B5774" s="5" t="s">
        <v>14115</v>
      </c>
      <c r="C5774" s="5" t="s">
        <v>160</v>
      </c>
      <c r="D5774" s="5" t="s">
        <v>91</v>
      </c>
      <c r="E5774" s="5" t="s">
        <v>1185</v>
      </c>
      <c r="F5774" s="9">
        <v>93</v>
      </c>
      <c r="G5774" s="9">
        <v>1151</v>
      </c>
      <c r="H5774" s="5" t="s">
        <v>21</v>
      </c>
      <c r="I5774" s="5" t="s">
        <v>14121</v>
      </c>
      <c r="J5774" s="12" t="str">
        <f>HYPERLINK("https://www.boe.es/gazeta/dias/1802/11/16/pdfs/GMD-1802-93.pdf#page=11","Abrir facsímil")</f>
        <v>Abrir facsímil</v>
      </c>
      <c r="K5774" s="15" t="s">
        <v>23</v>
      </c>
    </row>
    <row r="5775" spans="1:11" ht="42" customHeight="1">
      <c r="A5775" s="4" t="s">
        <v>14114</v>
      </c>
      <c r="B5775" s="5" t="s">
        <v>14115</v>
      </c>
      <c r="C5775" s="5" t="s">
        <v>160</v>
      </c>
      <c r="D5775" s="5" t="s">
        <v>91</v>
      </c>
      <c r="E5775" s="5" t="s">
        <v>823</v>
      </c>
      <c r="F5775" s="9">
        <v>94</v>
      </c>
      <c r="G5775" s="9">
        <v>1163</v>
      </c>
      <c r="H5775" s="5" t="s">
        <v>21</v>
      </c>
      <c r="I5775" s="5" t="s">
        <v>14122</v>
      </c>
      <c r="J5775" s="12" t="str">
        <f>HYPERLINK("https://www.boe.es/gazeta/dias/1802/11/19/pdfs/GMD-1802-94.pdf#page=11","Abrir facsímil")</f>
        <v>Abrir facsímil</v>
      </c>
      <c r="K5775" s="15" t="s">
        <v>23</v>
      </c>
    </row>
    <row r="5776" spans="1:11" ht="42" customHeight="1">
      <c r="A5776" s="4" t="s">
        <v>14114</v>
      </c>
      <c r="B5776" s="5" t="s">
        <v>14115</v>
      </c>
      <c r="C5776" s="5" t="s">
        <v>160</v>
      </c>
      <c r="D5776" s="5" t="s">
        <v>91</v>
      </c>
      <c r="E5776" s="5" t="s">
        <v>185</v>
      </c>
      <c r="F5776" s="9">
        <v>95</v>
      </c>
      <c r="G5776" s="9">
        <v>1175</v>
      </c>
      <c r="H5776" s="5" t="s">
        <v>21</v>
      </c>
      <c r="I5776" s="5" t="s">
        <v>14123</v>
      </c>
      <c r="J5776" s="12" t="str">
        <f>HYPERLINK("https://www.boe.es/gazeta/dias/1802/11/23/pdfs/GMD-1802-95.pdf#page=11","Abrir facsímil")</f>
        <v>Abrir facsímil</v>
      </c>
      <c r="K5776" s="15" t="s">
        <v>23</v>
      </c>
    </row>
    <row r="5777" spans="1:11" ht="42" customHeight="1">
      <c r="A5777" s="4" t="s">
        <v>14124</v>
      </c>
      <c r="B5777" s="5" t="s">
        <v>14125</v>
      </c>
      <c r="C5777" s="5" t="s">
        <v>29</v>
      </c>
      <c r="D5777" s="5" t="s">
        <v>30</v>
      </c>
      <c r="E5777" s="5" t="s">
        <v>196</v>
      </c>
      <c r="F5777" s="9">
        <v>2</v>
      </c>
      <c r="G5777" s="9">
        <v>17</v>
      </c>
      <c r="H5777" s="5" t="s">
        <v>21</v>
      </c>
      <c r="I5777" s="5" t="s">
        <v>14126</v>
      </c>
      <c r="J5777" s="12" t="str">
        <f>HYPERLINK("https://www.boe.es/gazeta/dias/1802/01/05/pdfs/GMD-1802-2.pdf#page=9","Abrir facsímil")</f>
        <v>Abrir facsímil</v>
      </c>
      <c r="K5777" s="15" t="s">
        <v>23</v>
      </c>
    </row>
    <row r="5778" spans="1:11" ht="42" customHeight="1">
      <c r="A5778" s="4" t="s">
        <v>14127</v>
      </c>
      <c r="B5778" s="5" t="s">
        <v>14128</v>
      </c>
      <c r="C5778" s="5" t="s">
        <v>29</v>
      </c>
      <c r="D5778" s="5" t="s">
        <v>30</v>
      </c>
      <c r="E5778" s="5" t="s">
        <v>1097</v>
      </c>
      <c r="F5778" s="9">
        <v>20</v>
      </c>
      <c r="G5778" s="9">
        <v>222</v>
      </c>
      <c r="H5778" s="5" t="s">
        <v>21</v>
      </c>
      <c r="I5778" s="5" t="s">
        <v>14129</v>
      </c>
      <c r="J5778" s="12" t="str">
        <f>HYPERLINK("https://www.boe.es/gazeta/dias/1802/03/09/pdfs/GMD-1802-20.pdf#page=10","Abrir facsímil")</f>
        <v>Abrir facsímil</v>
      </c>
      <c r="K5778" s="15" t="s">
        <v>23</v>
      </c>
    </row>
    <row r="5779" spans="1:11" ht="42" customHeight="1">
      <c r="A5779" s="4" t="s">
        <v>14130</v>
      </c>
      <c r="B5779" s="5" t="s">
        <v>14131</v>
      </c>
      <c r="C5779" s="5" t="s">
        <v>18</v>
      </c>
      <c r="D5779" s="5" t="s">
        <v>19</v>
      </c>
      <c r="E5779" s="5" t="s">
        <v>49</v>
      </c>
      <c r="F5779" s="9">
        <v>83</v>
      </c>
      <c r="G5779" s="9">
        <v>1023</v>
      </c>
      <c r="H5779" s="5" t="s">
        <v>21</v>
      </c>
      <c r="I5779" s="5" t="s">
        <v>14132</v>
      </c>
      <c r="J5779" s="12" t="str">
        <f>HYPERLINK("https://www.boe.es/gazeta/dias/1802/10/12/pdfs/GMD-1802-83.pdf#page=11","Abrir facsímil")</f>
        <v>Abrir facsímil</v>
      </c>
      <c r="K5779" s="15" t="s">
        <v>23</v>
      </c>
    </row>
    <row r="5780" spans="1:11" ht="42" customHeight="1">
      <c r="A5780" s="4" t="s">
        <v>14133</v>
      </c>
      <c r="B5780" s="5" t="s">
        <v>14134</v>
      </c>
      <c r="C5780" s="5" t="s">
        <v>35</v>
      </c>
      <c r="D5780" s="5" t="s">
        <v>36</v>
      </c>
      <c r="E5780" s="5" t="s">
        <v>206</v>
      </c>
      <c r="F5780" s="9">
        <v>22</v>
      </c>
      <c r="G5780" s="9">
        <v>235</v>
      </c>
      <c r="H5780" s="5" t="s">
        <v>21</v>
      </c>
      <c r="I5780" s="5" t="s">
        <v>14135</v>
      </c>
      <c r="J5780" s="12" t="str">
        <f>HYPERLINK("https://www.boe.es/gazeta/dias/1802/03/16/pdfs/GMD-1802-22.pdf#page=3","Abrir facsímil")</f>
        <v>Abrir facsímil</v>
      </c>
      <c r="K5780" s="15" t="s">
        <v>23</v>
      </c>
    </row>
    <row r="5781" spans="1:11" ht="42" customHeight="1">
      <c r="A5781" s="4" t="s">
        <v>14136</v>
      </c>
      <c r="B5781" s="5" t="s">
        <v>14137</v>
      </c>
      <c r="C5781" s="5" t="s">
        <v>160</v>
      </c>
      <c r="D5781" s="5" t="s">
        <v>91</v>
      </c>
      <c r="E5781" s="5" t="s">
        <v>196</v>
      </c>
      <c r="F5781" s="9">
        <v>2</v>
      </c>
      <c r="G5781" s="9">
        <v>17</v>
      </c>
      <c r="H5781" s="5" t="s">
        <v>21</v>
      </c>
      <c r="I5781" s="5" t="s">
        <v>14138</v>
      </c>
      <c r="J5781" s="12" t="str">
        <f>HYPERLINK("https://www.boe.es/gazeta/dias/1802/01/05/pdfs/GMD-1802-2.pdf#page=9","Abrir facsímil")</f>
        <v>Abrir facsímil</v>
      </c>
      <c r="K5781" s="15" t="s">
        <v>23</v>
      </c>
    </row>
    <row r="5782" spans="1:11" ht="42" customHeight="1">
      <c r="A5782" s="4" t="s">
        <v>14139</v>
      </c>
      <c r="B5782" s="5" t="s">
        <v>14140</v>
      </c>
      <c r="C5782" s="5" t="s">
        <v>90</v>
      </c>
      <c r="D5782" s="5" t="s">
        <v>91</v>
      </c>
      <c r="E5782" s="5" t="s">
        <v>292</v>
      </c>
      <c r="F5782" s="9">
        <v>62</v>
      </c>
      <c r="G5782" s="9">
        <v>753</v>
      </c>
      <c r="H5782" s="5" t="s">
        <v>21</v>
      </c>
      <c r="I5782" s="5" t="s">
        <v>14141</v>
      </c>
      <c r="J5782" s="12" t="str">
        <f>HYPERLINK("https://www.boe.es/gazeta/dias/1802/07/30/pdfs/GMD-1802-62.pdf#page=9","Abrir facsímil")</f>
        <v>Abrir facsímil</v>
      </c>
      <c r="K5782" s="15" t="s">
        <v>23</v>
      </c>
    </row>
    <row r="5783" spans="1:11" ht="42" customHeight="1">
      <c r="A5783" s="4" t="s">
        <v>14142</v>
      </c>
      <c r="B5783" s="5" t="s">
        <v>14143</v>
      </c>
      <c r="C5783" s="5" t="s">
        <v>160</v>
      </c>
      <c r="D5783" s="5" t="s">
        <v>91</v>
      </c>
      <c r="E5783" s="5" t="s">
        <v>92</v>
      </c>
      <c r="F5783" s="9">
        <v>29</v>
      </c>
      <c r="G5783" s="9">
        <v>344</v>
      </c>
      <c r="H5783" s="5" t="s">
        <v>21</v>
      </c>
      <c r="I5783" s="5" t="s">
        <v>14144</v>
      </c>
      <c r="J5783" s="12" t="str">
        <f>HYPERLINK("https://www.boe.es/gazeta/dias/1802/04/09/pdfs/GMD-1802-29.pdf#page=12","Abrir facsímil")</f>
        <v>Abrir facsímil</v>
      </c>
      <c r="K5783" s="15" t="s">
        <v>23</v>
      </c>
    </row>
    <row r="5784" spans="1:11" ht="42" customHeight="1">
      <c r="A5784" s="4" t="s">
        <v>14145</v>
      </c>
      <c r="B5784" s="5" t="s">
        <v>14145</v>
      </c>
      <c r="C5784" s="5" t="s">
        <v>35</v>
      </c>
      <c r="D5784" s="5" t="s">
        <v>36</v>
      </c>
      <c r="E5784" s="5" t="s">
        <v>57</v>
      </c>
      <c r="F5784" s="9">
        <v>54</v>
      </c>
      <c r="G5784" s="9">
        <v>651</v>
      </c>
      <c r="H5784" s="5" t="s">
        <v>21</v>
      </c>
      <c r="I5784" s="5" t="s">
        <v>14146</v>
      </c>
      <c r="J5784" s="12" t="str">
        <f>HYPERLINK("https://www.boe.es/gazeta/dias/1802/07/06/pdfs/GMD-1802-54.pdf#page=7","Abrir facsímil")</f>
        <v>Abrir facsímil</v>
      </c>
      <c r="K5784" s="15" t="s">
        <v>23</v>
      </c>
    </row>
    <row r="5785" spans="1:11" ht="42" customHeight="1">
      <c r="A5785" s="4" t="s">
        <v>14145</v>
      </c>
      <c r="B5785" s="5" t="s">
        <v>14145</v>
      </c>
      <c r="C5785" s="5" t="s">
        <v>35</v>
      </c>
      <c r="D5785" s="5" t="s">
        <v>36</v>
      </c>
      <c r="E5785" s="5" t="s">
        <v>57</v>
      </c>
      <c r="F5785" s="9">
        <v>54</v>
      </c>
      <c r="G5785" s="9">
        <v>652</v>
      </c>
      <c r="H5785" s="5" t="s">
        <v>21</v>
      </c>
      <c r="I5785" s="5" t="s">
        <v>14147</v>
      </c>
      <c r="J5785" s="12" t="str">
        <f>HYPERLINK("https://www.boe.es/gazeta/dias/1802/07/06/pdfs/GMD-1802-54.pdf#page=8","Abrir facsímil")</f>
        <v>Abrir facsímil</v>
      </c>
      <c r="K5785" s="15" t="s">
        <v>23</v>
      </c>
    </row>
    <row r="5786" spans="1:11" ht="42" customHeight="1">
      <c r="A5786" s="4" t="s">
        <v>14148</v>
      </c>
      <c r="B5786" s="5" t="s">
        <v>14149</v>
      </c>
      <c r="C5786" s="5" t="s">
        <v>2417</v>
      </c>
      <c r="D5786" s="5" t="s">
        <v>2418</v>
      </c>
      <c r="E5786" s="5" t="s">
        <v>206</v>
      </c>
      <c r="F5786" s="9">
        <v>22</v>
      </c>
      <c r="G5786" s="9">
        <v>246</v>
      </c>
      <c r="H5786" s="5" t="s">
        <v>21</v>
      </c>
      <c r="I5786" s="5" t="s">
        <v>14150</v>
      </c>
      <c r="J5786" s="12" t="str">
        <f>HYPERLINK("https://www.boe.es/gazeta/dias/1802/03/16/pdfs/GMD-C-1802-22.pdf#page=2","Abrir facsímil")</f>
        <v>Abrir facsímil</v>
      </c>
      <c r="K5786" s="15" t="s">
        <v>23</v>
      </c>
    </row>
    <row r="5787" spans="1:11" ht="42" customHeight="1">
      <c r="A5787" s="4" t="s">
        <v>14148</v>
      </c>
      <c r="B5787" s="5" t="s">
        <v>14149</v>
      </c>
      <c r="C5787" s="5" t="s">
        <v>18</v>
      </c>
      <c r="D5787" s="5" t="s">
        <v>19</v>
      </c>
      <c r="E5787" s="5" t="s">
        <v>167</v>
      </c>
      <c r="F5787" s="9">
        <v>23</v>
      </c>
      <c r="G5787" s="9">
        <v>260</v>
      </c>
      <c r="H5787" s="5" t="s">
        <v>21</v>
      </c>
      <c r="I5787" s="5" t="s">
        <v>14151</v>
      </c>
      <c r="J5787" s="12" t="str">
        <f>HYPERLINK("https://www.boe.es/gazeta/dias/1802/03/19/pdfs/GMD-1802-23.pdf#page=8","Abrir facsímil")</f>
        <v>Abrir facsímil</v>
      </c>
      <c r="K5787" s="15" t="s">
        <v>23</v>
      </c>
    </row>
    <row r="5788" spans="1:11" ht="42" customHeight="1">
      <c r="A5788" s="4" t="s">
        <v>14148</v>
      </c>
      <c r="B5788" s="5" t="s">
        <v>14149</v>
      </c>
      <c r="C5788" s="5" t="s">
        <v>18</v>
      </c>
      <c r="D5788" s="5" t="s">
        <v>19</v>
      </c>
      <c r="E5788" s="5" t="s">
        <v>1749</v>
      </c>
      <c r="F5788" s="9">
        <v>60</v>
      </c>
      <c r="G5788" s="9">
        <v>730</v>
      </c>
      <c r="H5788" s="5" t="s">
        <v>21</v>
      </c>
      <c r="I5788" s="5" t="s">
        <v>14152</v>
      </c>
      <c r="J5788" s="12" t="str">
        <f>HYPERLINK("https://www.boe.es/gazeta/dias/1802/07/23/pdfs/GMD-1802-60.pdf#page=14","Abrir facsímil")</f>
        <v>Abrir facsímil</v>
      </c>
      <c r="K5788" s="15" t="s">
        <v>23</v>
      </c>
    </row>
    <row r="5789" spans="1:11" ht="42" customHeight="1">
      <c r="A5789" s="4" t="s">
        <v>14148</v>
      </c>
      <c r="B5789" s="5" t="s">
        <v>14149</v>
      </c>
      <c r="C5789" s="5" t="s">
        <v>18</v>
      </c>
      <c r="D5789" s="5" t="s">
        <v>19</v>
      </c>
      <c r="E5789" s="5" t="s">
        <v>517</v>
      </c>
      <c r="F5789" s="9">
        <v>61</v>
      </c>
      <c r="G5789" s="9">
        <v>742</v>
      </c>
      <c r="H5789" s="5" t="s">
        <v>21</v>
      </c>
      <c r="I5789" s="5" t="s">
        <v>14153</v>
      </c>
      <c r="J5789" s="12" t="str">
        <f>HYPERLINK("https://www.boe.es/gazeta/dias/1802/07/27/pdfs/GMD-1802-61.pdf#page=10","Abrir facsímil")</f>
        <v>Abrir facsímil</v>
      </c>
      <c r="K5789" s="15" t="s">
        <v>23</v>
      </c>
    </row>
    <row r="5790" spans="1:11" ht="42" customHeight="1">
      <c r="A5790" s="4" t="s">
        <v>14148</v>
      </c>
      <c r="B5790" s="5" t="s">
        <v>14149</v>
      </c>
      <c r="C5790" s="5" t="s">
        <v>18</v>
      </c>
      <c r="D5790" s="5" t="s">
        <v>19</v>
      </c>
      <c r="E5790" s="5" t="s">
        <v>292</v>
      </c>
      <c r="F5790" s="9">
        <v>62</v>
      </c>
      <c r="G5790" s="9">
        <v>754</v>
      </c>
      <c r="H5790" s="5" t="s">
        <v>21</v>
      </c>
      <c r="I5790" s="5" t="s">
        <v>14154</v>
      </c>
      <c r="J5790" s="12" t="str">
        <f>HYPERLINK("https://www.boe.es/gazeta/dias/1802/07/30/pdfs/GMD-1802-62.pdf#page=10","Abrir facsímil")</f>
        <v>Abrir facsímil</v>
      </c>
      <c r="K5790" s="15" t="s">
        <v>23</v>
      </c>
    </row>
    <row r="5791" spans="1:11" ht="42" customHeight="1">
      <c r="A5791" s="4" t="s">
        <v>14148</v>
      </c>
      <c r="B5791" s="5" t="s">
        <v>14149</v>
      </c>
      <c r="C5791" s="5" t="s">
        <v>29</v>
      </c>
      <c r="D5791" s="5" t="s">
        <v>30</v>
      </c>
      <c r="E5791" s="5" t="s">
        <v>49</v>
      </c>
      <c r="F5791" s="9">
        <v>83</v>
      </c>
      <c r="G5791" s="9">
        <v>1021</v>
      </c>
      <c r="H5791" s="5" t="s">
        <v>21</v>
      </c>
      <c r="I5791" s="5" t="s">
        <v>14155</v>
      </c>
      <c r="J5791" s="12" t="str">
        <f>HYPERLINK("https://www.boe.es/gazeta/dias/1802/10/12/pdfs/GMD-1802-83.pdf#page=9","Abrir facsímil")</f>
        <v>Abrir facsímil</v>
      </c>
      <c r="K5791" s="15" t="s">
        <v>23</v>
      </c>
    </row>
    <row r="5792" spans="1:11" ht="42" customHeight="1">
      <c r="A5792" s="4" t="s">
        <v>14148</v>
      </c>
      <c r="B5792" s="5" t="s">
        <v>14149</v>
      </c>
      <c r="C5792" s="5" t="s">
        <v>18</v>
      </c>
      <c r="D5792" s="5" t="s">
        <v>19</v>
      </c>
      <c r="E5792" s="5" t="s">
        <v>1185</v>
      </c>
      <c r="F5792" s="9">
        <v>93</v>
      </c>
      <c r="G5792" s="9">
        <v>1150</v>
      </c>
      <c r="H5792" s="5" t="s">
        <v>21</v>
      </c>
      <c r="I5792" s="5" t="s">
        <v>14156</v>
      </c>
      <c r="J5792" s="12" t="str">
        <f>HYPERLINK("https://www.boe.es/gazeta/dias/1802/11/16/pdfs/GMD-1802-93.pdf#page=10","Abrir facsímil")</f>
        <v>Abrir facsímil</v>
      </c>
      <c r="K5792" s="15" t="s">
        <v>23</v>
      </c>
    </row>
    <row r="5793" spans="1:11" ht="42" customHeight="1">
      <c r="A5793" s="4" t="s">
        <v>14148</v>
      </c>
      <c r="B5793" s="5" t="s">
        <v>14149</v>
      </c>
      <c r="C5793" s="5" t="s">
        <v>35</v>
      </c>
      <c r="D5793" s="5" t="s">
        <v>36</v>
      </c>
      <c r="E5793" s="5" t="s">
        <v>823</v>
      </c>
      <c r="F5793" s="9">
        <v>94</v>
      </c>
      <c r="G5793" s="9">
        <v>1163</v>
      </c>
      <c r="H5793" s="5" t="s">
        <v>21</v>
      </c>
      <c r="I5793" s="5" t="s">
        <v>14157</v>
      </c>
      <c r="J5793" s="12" t="str">
        <f>HYPERLINK("https://www.boe.es/gazeta/dias/1802/11/19/pdfs/GMD-1802-94.pdf#page=11","Abrir facsímil")</f>
        <v>Abrir facsímil</v>
      </c>
      <c r="K5793" s="15" t="s">
        <v>23</v>
      </c>
    </row>
    <row r="5794" spans="1:11" ht="42" customHeight="1">
      <c r="A5794" s="4" t="s">
        <v>14148</v>
      </c>
      <c r="B5794" s="5" t="s">
        <v>14149</v>
      </c>
      <c r="C5794" s="5" t="s">
        <v>35</v>
      </c>
      <c r="D5794" s="5" t="s">
        <v>36</v>
      </c>
      <c r="E5794" s="5" t="s">
        <v>185</v>
      </c>
      <c r="F5794" s="9">
        <v>95</v>
      </c>
      <c r="G5794" s="9">
        <v>1174</v>
      </c>
      <c r="H5794" s="5" t="s">
        <v>21</v>
      </c>
      <c r="I5794" s="5" t="s">
        <v>14158</v>
      </c>
      <c r="J5794" s="12" t="str">
        <f>HYPERLINK("https://www.boe.es/gazeta/dias/1802/11/23/pdfs/GMD-1802-95.pdf#page=10","Abrir facsímil")</f>
        <v>Abrir facsímil</v>
      </c>
      <c r="K5794" s="15" t="s">
        <v>23</v>
      </c>
    </row>
    <row r="5795" spans="1:11" ht="42" customHeight="1">
      <c r="A5795" s="4" t="s">
        <v>14159</v>
      </c>
      <c r="B5795" s="5" t="s">
        <v>14160</v>
      </c>
      <c r="C5795" s="5" t="s">
        <v>18</v>
      </c>
      <c r="D5795" s="5" t="s">
        <v>19</v>
      </c>
      <c r="E5795" s="5" t="s">
        <v>49</v>
      </c>
      <c r="F5795" s="9">
        <v>83</v>
      </c>
      <c r="G5795" s="9">
        <v>1025</v>
      </c>
      <c r="H5795" s="5" t="s">
        <v>21</v>
      </c>
      <c r="I5795" s="5" t="s">
        <v>14161</v>
      </c>
      <c r="J5795" s="12" t="str">
        <f>HYPERLINK("https://www.boe.es/gazeta/dias/1802/10/12/pdfs/GMD-1802-83.pdf#page=13","Abrir facsímil")</f>
        <v>Abrir facsímil</v>
      </c>
      <c r="K5795" s="15" t="s">
        <v>23</v>
      </c>
    </row>
    <row r="5796" spans="1:11" ht="42" customHeight="1">
      <c r="A5796" s="4" t="s">
        <v>14162</v>
      </c>
      <c r="B5796" s="5" t="s">
        <v>14163</v>
      </c>
      <c r="C5796" s="5" t="s">
        <v>18</v>
      </c>
      <c r="D5796" s="5" t="s">
        <v>19</v>
      </c>
      <c r="E5796" s="5" t="s">
        <v>20</v>
      </c>
      <c r="F5796" s="9">
        <v>84</v>
      </c>
      <c r="G5796" s="9">
        <v>1041</v>
      </c>
      <c r="H5796" s="5" t="s">
        <v>21</v>
      </c>
      <c r="I5796" s="5" t="s">
        <v>14164</v>
      </c>
      <c r="J5796" s="12" t="str">
        <f>HYPERLINK("https://www.boe.es/gazeta/dias/1802/10/15/pdfs/GMD-1802-84.pdf#page=9","Abrir facsímil")</f>
        <v>Abrir facsímil</v>
      </c>
      <c r="K5796" s="15" t="s">
        <v>23</v>
      </c>
    </row>
    <row r="5797" spans="1:11" ht="42" customHeight="1">
      <c r="A5797" s="4" t="s">
        <v>14165</v>
      </c>
      <c r="B5797" s="5" t="s">
        <v>14166</v>
      </c>
      <c r="C5797" s="5" t="s">
        <v>18</v>
      </c>
      <c r="D5797" s="5" t="s">
        <v>19</v>
      </c>
      <c r="E5797" s="5" t="s">
        <v>20</v>
      </c>
      <c r="F5797" s="9">
        <v>84</v>
      </c>
      <c r="G5797" s="9">
        <v>1040</v>
      </c>
      <c r="H5797" s="5" t="s">
        <v>21</v>
      </c>
      <c r="I5797" s="5" t="s">
        <v>14167</v>
      </c>
      <c r="J5797" s="12" t="str">
        <f>HYPERLINK("https://www.boe.es/gazeta/dias/1802/10/15/pdfs/GMD-1802-84.pdf#page=8","Abrir facsímil")</f>
        <v>Abrir facsímil</v>
      </c>
      <c r="K5797" s="15" t="s">
        <v>23</v>
      </c>
    </row>
    <row r="5798" spans="1:11" ht="42" customHeight="1">
      <c r="A5798" s="4" t="s">
        <v>14168</v>
      </c>
      <c r="B5798" s="5" t="s">
        <v>14168</v>
      </c>
      <c r="C5798" s="5" t="s">
        <v>29</v>
      </c>
      <c r="D5798" s="5" t="s">
        <v>30</v>
      </c>
      <c r="E5798" s="5" t="s">
        <v>60</v>
      </c>
      <c r="F5798" s="9">
        <v>5</v>
      </c>
      <c r="G5798" s="9">
        <v>48</v>
      </c>
      <c r="H5798" s="5" t="s">
        <v>21</v>
      </c>
      <c r="I5798" s="5" t="s">
        <v>14169</v>
      </c>
      <c r="J5798" s="12" t="str">
        <f>HYPERLINK("https://www.boe.es/gazeta/dias/1802/01/15/pdfs/GMD-1802-5.pdf#page=4","Abrir facsímil")</f>
        <v>Abrir facsímil</v>
      </c>
      <c r="K5798" s="15" t="s">
        <v>23</v>
      </c>
    </row>
    <row r="5799" spans="1:11" ht="42" customHeight="1">
      <c r="A5799" s="4" t="s">
        <v>14170</v>
      </c>
      <c r="B5799" s="5" t="s">
        <v>14171</v>
      </c>
      <c r="C5799" s="5" t="s">
        <v>42</v>
      </c>
      <c r="D5799" s="5" t="s">
        <v>43</v>
      </c>
      <c r="E5799" s="5" t="s">
        <v>44</v>
      </c>
      <c r="F5799" s="9">
        <v>99</v>
      </c>
      <c r="G5799" s="9" t="s">
        <v>558</v>
      </c>
      <c r="H5799" s="5" t="s">
        <v>21</v>
      </c>
      <c r="I5799" s="5" t="s">
        <v>14172</v>
      </c>
      <c r="J5799" s="12" t="str">
        <f>HYPERLINK("https://www.boe.es/gazeta/dias/1802/12/07/pdfs/GMD-D-1802-99.pdf#page=1","Abrir facsímil")</f>
        <v>Abrir facsímil</v>
      </c>
      <c r="K5799" s="15" t="s">
        <v>23</v>
      </c>
    </row>
    <row r="5800" spans="1:11" ht="42" customHeight="1">
      <c r="A5800" s="4" t="s">
        <v>14173</v>
      </c>
      <c r="B5800" s="5" t="s">
        <v>14174</v>
      </c>
      <c r="C5800" s="5" t="s">
        <v>42</v>
      </c>
      <c r="D5800" s="5" t="s">
        <v>43</v>
      </c>
      <c r="E5800" s="5" t="s">
        <v>44</v>
      </c>
      <c r="F5800" s="9">
        <v>99</v>
      </c>
      <c r="G5800" s="9" t="s">
        <v>45</v>
      </c>
      <c r="H5800" s="5" t="s">
        <v>21</v>
      </c>
      <c r="I5800" s="5" t="s">
        <v>14175</v>
      </c>
      <c r="J5800" s="12" t="str">
        <f>HYPERLINK("https://www.boe.es/gazeta/dias/1802/12/07/pdfs/GMD-D-1802-99.pdf#page=14","Abrir facsímil")</f>
        <v>Abrir facsímil</v>
      </c>
      <c r="K5800" s="15" t="s">
        <v>23</v>
      </c>
    </row>
    <row r="5801" spans="1:11" ht="42" customHeight="1">
      <c r="A5801" s="4" t="s">
        <v>14176</v>
      </c>
      <c r="B5801" s="5" t="s">
        <v>14177</v>
      </c>
      <c r="C5801" s="5" t="s">
        <v>29</v>
      </c>
      <c r="D5801" s="5" t="s">
        <v>30</v>
      </c>
      <c r="E5801" s="5" t="s">
        <v>339</v>
      </c>
      <c r="F5801" s="9">
        <v>39</v>
      </c>
      <c r="G5801" s="9">
        <v>467</v>
      </c>
      <c r="H5801" s="5" t="s">
        <v>21</v>
      </c>
      <c r="I5801" s="5" t="s">
        <v>14178</v>
      </c>
      <c r="J5801" s="12" t="str">
        <f>HYPERLINK("https://www.boe.es/gazeta/dias/1802/05/14/pdfs/GMD-1802-39.pdf#page=11","Abrir facsímil")</f>
        <v>Abrir facsímil</v>
      </c>
      <c r="K5801" s="15" t="s">
        <v>23</v>
      </c>
    </row>
    <row r="5802" spans="1:11" ht="42" customHeight="1">
      <c r="A5802" s="4" t="s">
        <v>14179</v>
      </c>
      <c r="B5802" s="5" t="s">
        <v>14180</v>
      </c>
      <c r="C5802" s="5" t="s">
        <v>18</v>
      </c>
      <c r="D5802" s="5" t="s">
        <v>19</v>
      </c>
      <c r="E5802" s="5" t="s">
        <v>20</v>
      </c>
      <c r="F5802" s="9">
        <v>84</v>
      </c>
      <c r="G5802" s="9">
        <v>1044</v>
      </c>
      <c r="H5802" s="5" t="s">
        <v>21</v>
      </c>
      <c r="I5802" s="5" t="s">
        <v>14181</v>
      </c>
      <c r="J5802" s="12" t="str">
        <f>HYPERLINK("https://www.boe.es/gazeta/dias/1802/10/15/pdfs/GMD-1802-84.pdf#page=12","Abrir facsímil")</f>
        <v>Abrir facsímil</v>
      </c>
      <c r="K5802" s="15" t="s">
        <v>23</v>
      </c>
    </row>
    <row r="5803" spans="1:11" ht="42" customHeight="1">
      <c r="A5803" s="4" t="s">
        <v>14182</v>
      </c>
      <c r="B5803" s="5" t="s">
        <v>14183</v>
      </c>
      <c r="C5803" s="5" t="s">
        <v>18</v>
      </c>
      <c r="D5803" s="5" t="s">
        <v>19</v>
      </c>
      <c r="E5803" s="5" t="s">
        <v>49</v>
      </c>
      <c r="F5803" s="9">
        <v>83</v>
      </c>
      <c r="G5803" s="9">
        <v>1023</v>
      </c>
      <c r="H5803" s="5" t="s">
        <v>21</v>
      </c>
      <c r="I5803" s="5" t="s">
        <v>14184</v>
      </c>
      <c r="J5803" s="12" t="str">
        <f>HYPERLINK("https://www.boe.es/gazeta/dias/1802/10/12/pdfs/GMD-1802-83.pdf#page=11","Abrir facsímil")</f>
        <v>Abrir facsímil</v>
      </c>
      <c r="K5803" s="15" t="s">
        <v>23</v>
      </c>
    </row>
    <row r="5804" spans="1:11" ht="42" customHeight="1">
      <c r="A5804" s="4" t="s">
        <v>14185</v>
      </c>
      <c r="B5804" s="5" t="s">
        <v>14186</v>
      </c>
      <c r="C5804" s="5" t="s">
        <v>160</v>
      </c>
      <c r="D5804" s="5" t="s">
        <v>91</v>
      </c>
      <c r="E5804" s="5" t="s">
        <v>219</v>
      </c>
      <c r="F5804" s="9">
        <v>81</v>
      </c>
      <c r="G5804" s="9">
        <v>998</v>
      </c>
      <c r="H5804" s="5" t="s">
        <v>21</v>
      </c>
      <c r="I5804" s="5" t="s">
        <v>14187</v>
      </c>
      <c r="J5804" s="12" t="str">
        <f>HYPERLINK("https://www.boe.es/gazeta/dias/1802/10/05/pdfs/GMD-1802-81.pdf#page=10","Abrir facsímil")</f>
        <v>Abrir facsímil</v>
      </c>
      <c r="K5804" s="15" t="s">
        <v>23</v>
      </c>
    </row>
    <row r="5805" spans="1:11" ht="42" customHeight="1">
      <c r="A5805" s="4" t="s">
        <v>14188</v>
      </c>
      <c r="B5805" s="5" t="s">
        <v>14189</v>
      </c>
      <c r="C5805" s="5" t="s">
        <v>18</v>
      </c>
      <c r="D5805" s="5" t="s">
        <v>19</v>
      </c>
      <c r="E5805" s="5" t="s">
        <v>20</v>
      </c>
      <c r="F5805" s="9">
        <v>84</v>
      </c>
      <c r="G5805" s="9">
        <v>1047</v>
      </c>
      <c r="H5805" s="5" t="s">
        <v>21</v>
      </c>
      <c r="I5805" s="5" t="s">
        <v>14190</v>
      </c>
      <c r="J5805" s="12" t="str">
        <f>HYPERLINK("https://www.boe.es/gazeta/dias/1802/10/15/pdfs/GMD-1802-84.pdf#page=15","Abrir facsímil")</f>
        <v>Abrir facsímil</v>
      </c>
      <c r="K5805" s="15" t="s">
        <v>23</v>
      </c>
    </row>
    <row r="5806" spans="1:11" ht="42" customHeight="1">
      <c r="A5806" s="4" t="s">
        <v>14191</v>
      </c>
      <c r="B5806" s="5" t="s">
        <v>14192</v>
      </c>
      <c r="C5806" s="5" t="s">
        <v>18</v>
      </c>
      <c r="D5806" s="5" t="s">
        <v>19</v>
      </c>
      <c r="E5806" s="5" t="s">
        <v>37</v>
      </c>
      <c r="F5806" s="9">
        <v>106</v>
      </c>
      <c r="G5806" s="9">
        <v>1294</v>
      </c>
      <c r="H5806" s="5" t="s">
        <v>21</v>
      </c>
      <c r="I5806" s="5" t="s">
        <v>14193</v>
      </c>
      <c r="J5806" s="12" t="str">
        <f>HYPERLINK("https://www.boe.es/gazeta/dias/1802/12/31/pdfs/GMD-1802-106.pdf#page=6","Abrir facsímil")</f>
        <v>Abrir facsímil</v>
      </c>
      <c r="K5806" s="15" t="s">
        <v>23</v>
      </c>
    </row>
    <row r="5807" spans="1:11" ht="42" customHeight="1">
      <c r="A5807" s="4" t="s">
        <v>14194</v>
      </c>
      <c r="B5807" s="5" t="s">
        <v>14195</v>
      </c>
      <c r="C5807" s="5" t="s">
        <v>29</v>
      </c>
      <c r="D5807" s="5" t="s">
        <v>30</v>
      </c>
      <c r="E5807" s="5" t="s">
        <v>814</v>
      </c>
      <c r="F5807" s="9">
        <v>41</v>
      </c>
      <c r="G5807" s="9">
        <v>494</v>
      </c>
      <c r="H5807" s="5" t="s">
        <v>21</v>
      </c>
      <c r="I5807" s="5" t="s">
        <v>14196</v>
      </c>
      <c r="J5807" s="12" t="str">
        <f>HYPERLINK("https://www.boe.es/gazeta/dias/1802/05/21/pdfs/GMD-1802-41.pdf#page=10","Abrir facsímil")</f>
        <v>Abrir facsímil</v>
      </c>
      <c r="K5807" s="15" t="s">
        <v>23</v>
      </c>
    </row>
    <row r="5808" spans="1:11" ht="42" customHeight="1">
      <c r="A5808" s="4" t="s">
        <v>14197</v>
      </c>
      <c r="B5808" s="5" t="s">
        <v>14198</v>
      </c>
      <c r="C5808" s="5" t="s">
        <v>35</v>
      </c>
      <c r="D5808" s="5" t="s">
        <v>36</v>
      </c>
      <c r="E5808" s="5" t="s">
        <v>339</v>
      </c>
      <c r="F5808" s="9">
        <v>39</v>
      </c>
      <c r="G5808" s="9">
        <v>462</v>
      </c>
      <c r="H5808" s="5" t="s">
        <v>21</v>
      </c>
      <c r="I5808" s="5" t="s">
        <v>14199</v>
      </c>
      <c r="J5808" s="12" t="str">
        <f>HYPERLINK("https://www.boe.es/gazeta/dias/1802/05/14/pdfs/GMD-1802-39.pdf#page=6","Abrir facsímil")</f>
        <v>Abrir facsímil</v>
      </c>
      <c r="K5808" s="15" t="s">
        <v>23</v>
      </c>
    </row>
    <row r="5809" spans="1:11" ht="42" customHeight="1">
      <c r="A5809" s="4" t="s">
        <v>14197</v>
      </c>
      <c r="B5809" s="5" t="s">
        <v>14198</v>
      </c>
      <c r="C5809" s="5" t="s">
        <v>18</v>
      </c>
      <c r="D5809" s="5" t="s">
        <v>19</v>
      </c>
      <c r="E5809" s="5" t="s">
        <v>814</v>
      </c>
      <c r="F5809" s="9">
        <v>41</v>
      </c>
      <c r="G5809" s="9">
        <v>489</v>
      </c>
      <c r="H5809" s="5" t="s">
        <v>21</v>
      </c>
      <c r="I5809" s="5" t="s">
        <v>14200</v>
      </c>
      <c r="J5809" s="12" t="str">
        <f>HYPERLINK("https://www.boe.es/gazeta/dias/1802/05/21/pdfs/GMD-1802-41.pdf#page=5","Abrir facsímil")</f>
        <v>Abrir facsímil</v>
      </c>
      <c r="K5809" s="15" t="s">
        <v>23</v>
      </c>
    </row>
    <row r="5810" spans="1:11" ht="42" customHeight="1">
      <c r="A5810" s="4" t="s">
        <v>14201</v>
      </c>
      <c r="B5810" s="5" t="s">
        <v>14202</v>
      </c>
      <c r="C5810" s="5" t="s">
        <v>42</v>
      </c>
      <c r="D5810" s="5" t="s">
        <v>43</v>
      </c>
      <c r="E5810" s="5" t="s">
        <v>44</v>
      </c>
      <c r="F5810" s="9">
        <v>99</v>
      </c>
      <c r="G5810" s="9" t="s">
        <v>558</v>
      </c>
      <c r="H5810" s="5" t="s">
        <v>21</v>
      </c>
      <c r="I5810" s="5" t="s">
        <v>14203</v>
      </c>
      <c r="J5810" s="12" t="str">
        <f>HYPERLINK("https://www.boe.es/gazeta/dias/1802/12/07/pdfs/GMD-D-1802-99.pdf#page=1","Abrir facsímil")</f>
        <v>Abrir facsímil</v>
      </c>
      <c r="K5810" s="15" t="s">
        <v>23</v>
      </c>
    </row>
    <row r="5811" spans="1:11" ht="42" customHeight="1">
      <c r="A5811" s="4" t="s">
        <v>14204</v>
      </c>
      <c r="B5811" s="5" t="s">
        <v>14205</v>
      </c>
      <c r="C5811" s="5" t="s">
        <v>90</v>
      </c>
      <c r="D5811" s="5" t="s">
        <v>91</v>
      </c>
      <c r="E5811" s="5" t="s">
        <v>670</v>
      </c>
      <c r="F5811" s="9">
        <v>40</v>
      </c>
      <c r="G5811" s="9">
        <v>480</v>
      </c>
      <c r="H5811" s="5" t="s">
        <v>21</v>
      </c>
      <c r="I5811" s="5" t="s">
        <v>14206</v>
      </c>
      <c r="J5811" s="12" t="str">
        <f>HYPERLINK("https://www.boe.es/gazeta/dias/1802/05/18/pdfs/GMD-1802-40.pdf#page=8","Abrir facsímil")</f>
        <v>Abrir facsímil</v>
      </c>
      <c r="K5811" s="15" t="s">
        <v>23</v>
      </c>
    </row>
    <row r="5812" spans="1:11" ht="42" customHeight="1">
      <c r="A5812" s="4" t="s">
        <v>14207</v>
      </c>
      <c r="B5812" s="5" t="s">
        <v>14208</v>
      </c>
      <c r="C5812" s="5" t="s">
        <v>18</v>
      </c>
      <c r="D5812" s="5" t="s">
        <v>19</v>
      </c>
      <c r="E5812" s="5" t="s">
        <v>20</v>
      </c>
      <c r="F5812" s="9">
        <v>84</v>
      </c>
      <c r="G5812" s="9">
        <v>1046</v>
      </c>
      <c r="H5812" s="5" t="s">
        <v>21</v>
      </c>
      <c r="I5812" s="5" t="s">
        <v>14209</v>
      </c>
      <c r="J5812" s="12" t="str">
        <f>HYPERLINK("https://www.boe.es/gazeta/dias/1802/10/15/pdfs/GMD-1802-84.pdf#page=14","Abrir facsímil")</f>
        <v>Abrir facsímil</v>
      </c>
      <c r="K5812" s="15" t="s">
        <v>23</v>
      </c>
    </row>
    <row r="5813" spans="1:11" ht="42" customHeight="1">
      <c r="A5813" s="4" t="s">
        <v>14210</v>
      </c>
      <c r="B5813" s="5" t="s">
        <v>14211</v>
      </c>
      <c r="C5813" s="5" t="s">
        <v>18</v>
      </c>
      <c r="D5813" s="5" t="s">
        <v>19</v>
      </c>
      <c r="E5813" s="5" t="s">
        <v>49</v>
      </c>
      <c r="F5813" s="9">
        <v>83</v>
      </c>
      <c r="G5813" s="9">
        <v>1025</v>
      </c>
      <c r="H5813" s="5" t="s">
        <v>21</v>
      </c>
      <c r="I5813" s="5" t="s">
        <v>14212</v>
      </c>
      <c r="J5813" s="12" t="str">
        <f>HYPERLINK("https://www.boe.es/gazeta/dias/1802/10/12/pdfs/GMD-1802-83.pdf#page=13","Abrir facsímil")</f>
        <v>Abrir facsímil</v>
      </c>
      <c r="K5813" s="15" t="s">
        <v>23</v>
      </c>
    </row>
    <row r="5814" spans="1:11" ht="42" customHeight="1">
      <c r="A5814" s="4" t="s">
        <v>14213</v>
      </c>
      <c r="B5814" s="5" t="s">
        <v>14214</v>
      </c>
      <c r="C5814" s="5" t="s">
        <v>29</v>
      </c>
      <c r="D5814" s="5" t="s">
        <v>30</v>
      </c>
      <c r="E5814" s="5" t="s">
        <v>128</v>
      </c>
      <c r="F5814" s="9">
        <v>9</v>
      </c>
      <c r="G5814" s="9">
        <v>89</v>
      </c>
      <c r="H5814" s="5" t="s">
        <v>21</v>
      </c>
      <c r="I5814" s="5" t="s">
        <v>14215</v>
      </c>
      <c r="J5814" s="12" t="str">
        <f>HYPERLINK("https://www.boe.es/gazeta/dias/1802/01/29/pdfs/GMD-1802-9.pdf#page=9","Abrir facsímil")</f>
        <v>Abrir facsímil</v>
      </c>
      <c r="K5814" s="15" t="s">
        <v>23</v>
      </c>
    </row>
    <row r="5815" spans="1:11" ht="42" customHeight="1">
      <c r="A5815" s="4" t="s">
        <v>14216</v>
      </c>
      <c r="B5815" s="5" t="s">
        <v>14217</v>
      </c>
      <c r="C5815" s="5" t="s">
        <v>29</v>
      </c>
      <c r="D5815" s="5" t="s">
        <v>30</v>
      </c>
      <c r="E5815" s="5" t="s">
        <v>206</v>
      </c>
      <c r="F5815" s="9">
        <v>22</v>
      </c>
      <c r="G5815" s="9">
        <v>241</v>
      </c>
      <c r="H5815" s="5" t="s">
        <v>21</v>
      </c>
      <c r="I5815" s="5" t="s">
        <v>14218</v>
      </c>
      <c r="J5815" s="12" t="str">
        <f>HYPERLINK("https://www.boe.es/gazeta/dias/1802/03/16/pdfs/GMD-1802-22.pdf#page=9","Abrir facsímil")</f>
        <v>Abrir facsímil</v>
      </c>
      <c r="K5815" s="15" t="s">
        <v>23</v>
      </c>
    </row>
    <row r="5816" spans="1:11" ht="42" customHeight="1">
      <c r="A5816" s="4" t="s">
        <v>14219</v>
      </c>
      <c r="B5816" s="5" t="s">
        <v>14220</v>
      </c>
      <c r="C5816" s="5" t="s">
        <v>90</v>
      </c>
      <c r="D5816" s="5" t="s">
        <v>91</v>
      </c>
      <c r="E5816" s="5" t="s">
        <v>678</v>
      </c>
      <c r="F5816" s="9">
        <v>15</v>
      </c>
      <c r="G5816" s="9">
        <v>154</v>
      </c>
      <c r="H5816" s="5" t="s">
        <v>21</v>
      </c>
      <c r="I5816" s="5" t="s">
        <v>14221</v>
      </c>
      <c r="J5816" s="12" t="str">
        <f>HYPERLINK("https://www.boe.es/gazeta/dias/1802/02/19/pdfs/GMD-1802-15.pdf#page=6","Abrir facsímil")</f>
        <v>Abrir facsímil</v>
      </c>
      <c r="K5816" s="15" t="s">
        <v>23</v>
      </c>
    </row>
    <row r="5817" spans="1:11" ht="42" customHeight="1">
      <c r="A5817" s="4" t="s">
        <v>14222</v>
      </c>
      <c r="B5817" s="5" t="s">
        <v>14223</v>
      </c>
      <c r="C5817" s="5" t="s">
        <v>35</v>
      </c>
      <c r="D5817" s="5" t="s">
        <v>36</v>
      </c>
      <c r="E5817" s="5" t="s">
        <v>276</v>
      </c>
      <c r="F5817" s="9">
        <v>75</v>
      </c>
      <c r="G5817" s="9">
        <v>923</v>
      </c>
      <c r="H5817" s="5" t="s">
        <v>21</v>
      </c>
      <c r="I5817" s="5" t="s">
        <v>14224</v>
      </c>
      <c r="J5817" s="12" t="str">
        <f>HYPERLINK("https://www.boe.es/gazeta/dias/1802/09/14/pdfs/GMD-1802-75.pdf#page=7","Abrir facsímil")</f>
        <v>Abrir facsímil</v>
      </c>
      <c r="K5817" s="15" t="s">
        <v>23</v>
      </c>
    </row>
    <row r="5818" spans="1:11" ht="42" customHeight="1">
      <c r="A5818" s="4" t="s">
        <v>14225</v>
      </c>
      <c r="B5818" s="5" t="s">
        <v>14226</v>
      </c>
      <c r="C5818" s="5" t="s">
        <v>90</v>
      </c>
      <c r="D5818" s="5" t="s">
        <v>91</v>
      </c>
      <c r="E5818" s="5" t="s">
        <v>152</v>
      </c>
      <c r="F5818" s="9">
        <v>25</v>
      </c>
      <c r="G5818" s="9">
        <v>286</v>
      </c>
      <c r="H5818" s="5" t="s">
        <v>21</v>
      </c>
      <c r="I5818" s="5" t="s">
        <v>14227</v>
      </c>
      <c r="J5818" s="12" t="str">
        <f>HYPERLINK("https://www.boe.es/gazeta/dias/1802/03/26/pdfs/GMD-1802-25.pdf#page=10","Abrir facsímil")</f>
        <v>Abrir facsímil</v>
      </c>
      <c r="K5818" s="15" t="s">
        <v>23</v>
      </c>
    </row>
    <row r="5819" spans="1:11" ht="42" customHeight="1">
      <c r="A5819" s="4" t="s">
        <v>14228</v>
      </c>
      <c r="B5819" s="5" t="s">
        <v>14229</v>
      </c>
      <c r="C5819" s="5" t="s">
        <v>29</v>
      </c>
      <c r="D5819" s="5" t="s">
        <v>30</v>
      </c>
      <c r="E5819" s="5" t="s">
        <v>611</v>
      </c>
      <c r="F5819" s="9">
        <v>68</v>
      </c>
      <c r="G5819" s="9">
        <v>834</v>
      </c>
      <c r="H5819" s="5" t="s">
        <v>21</v>
      </c>
      <c r="I5819" s="5" t="s">
        <v>14230</v>
      </c>
      <c r="J5819" s="12" t="str">
        <f>HYPERLINK("https://www.boe.es/gazeta/dias/1802/08/20/pdfs/GMD-1802-68.pdf#page=10","Abrir facsímil")</f>
        <v>Abrir facsímil</v>
      </c>
      <c r="K5819" s="15" t="s">
        <v>23</v>
      </c>
    </row>
    <row r="5820" spans="1:11" ht="42" customHeight="1">
      <c r="A5820" s="4" t="s">
        <v>14231</v>
      </c>
      <c r="B5820" s="5" t="s">
        <v>14232</v>
      </c>
      <c r="C5820" s="5" t="s">
        <v>18</v>
      </c>
      <c r="D5820" s="5" t="s">
        <v>19</v>
      </c>
      <c r="E5820" s="5" t="s">
        <v>49</v>
      </c>
      <c r="F5820" s="9">
        <v>83</v>
      </c>
      <c r="G5820" s="9">
        <v>1023</v>
      </c>
      <c r="H5820" s="5" t="s">
        <v>21</v>
      </c>
      <c r="I5820" s="5" t="s">
        <v>14233</v>
      </c>
      <c r="J5820" s="12" t="str">
        <f>HYPERLINK("https://www.boe.es/gazeta/dias/1802/10/12/pdfs/GMD-1802-83.pdf#page=11","Abrir facsímil")</f>
        <v>Abrir facsímil</v>
      </c>
      <c r="K5820" s="15" t="s">
        <v>23</v>
      </c>
    </row>
    <row r="5821" spans="1:11" ht="42" customHeight="1">
      <c r="A5821" s="4" t="s">
        <v>14234</v>
      </c>
      <c r="B5821" s="5" t="s">
        <v>14234</v>
      </c>
      <c r="C5821" s="5" t="s">
        <v>35</v>
      </c>
      <c r="D5821" s="5" t="s">
        <v>36</v>
      </c>
      <c r="E5821" s="5" t="s">
        <v>823</v>
      </c>
      <c r="F5821" s="9">
        <v>94</v>
      </c>
      <c r="G5821" s="9">
        <v>1156</v>
      </c>
      <c r="H5821" s="5" t="s">
        <v>21</v>
      </c>
      <c r="I5821" s="5" t="s">
        <v>14235</v>
      </c>
      <c r="J5821" s="12" t="str">
        <f>HYPERLINK("https://www.boe.es/gazeta/dias/1802/11/19/pdfs/GMD-1802-94.pdf#page=4","Abrir facsímil")</f>
        <v>Abrir facsímil</v>
      </c>
      <c r="K5821" s="15" t="s">
        <v>23</v>
      </c>
    </row>
    <row r="5822" spans="1:11" ht="42" customHeight="1">
      <c r="A5822" s="4" t="s">
        <v>14236</v>
      </c>
      <c r="B5822" s="5" t="s">
        <v>14237</v>
      </c>
      <c r="C5822" s="5" t="s">
        <v>18</v>
      </c>
      <c r="D5822" s="5" t="s">
        <v>19</v>
      </c>
      <c r="E5822" s="5" t="s">
        <v>49</v>
      </c>
      <c r="F5822" s="9">
        <v>83</v>
      </c>
      <c r="G5822" s="9">
        <v>1020</v>
      </c>
      <c r="H5822" s="5" t="s">
        <v>21</v>
      </c>
      <c r="I5822" s="5" t="s">
        <v>14238</v>
      </c>
      <c r="J5822" s="12" t="str">
        <f>HYPERLINK("https://www.boe.es/gazeta/dias/1802/10/12/pdfs/GMD-1802-83.pdf#page=8","Abrir facsímil")</f>
        <v>Abrir facsímil</v>
      </c>
      <c r="K5822" s="15" t="s">
        <v>23</v>
      </c>
    </row>
    <row r="5823" spans="1:11" ht="42" customHeight="1">
      <c r="A5823" s="4" t="s">
        <v>14239</v>
      </c>
      <c r="B5823" s="5" t="s">
        <v>14239</v>
      </c>
      <c r="C5823" s="5" t="s">
        <v>18</v>
      </c>
      <c r="D5823" s="5" t="s">
        <v>19</v>
      </c>
      <c r="E5823" s="5" t="s">
        <v>163</v>
      </c>
      <c r="F5823" s="9">
        <v>1</v>
      </c>
      <c r="G5823" s="9">
        <v>3</v>
      </c>
      <c r="H5823" s="5" t="s">
        <v>21</v>
      </c>
      <c r="I5823" s="5" t="s">
        <v>14240</v>
      </c>
      <c r="J5823" s="12" t="str">
        <f>HYPERLINK("https://www.boe.es/gazeta/dias/1802/01/01/pdfs/GMD-1802-1.pdf#page=3","Abrir facsímil")</f>
        <v>Abrir facsímil</v>
      </c>
      <c r="K5823" s="15" t="s">
        <v>23</v>
      </c>
    </row>
    <row r="5824" spans="1:11" ht="42" customHeight="1">
      <c r="A5824" s="4" t="s">
        <v>14239</v>
      </c>
      <c r="B5824" s="5" t="s">
        <v>14239</v>
      </c>
      <c r="C5824" s="5" t="s">
        <v>35</v>
      </c>
      <c r="D5824" s="5" t="s">
        <v>36</v>
      </c>
      <c r="E5824" s="5" t="s">
        <v>172</v>
      </c>
      <c r="F5824" s="9">
        <v>35</v>
      </c>
      <c r="G5824" s="9">
        <v>406</v>
      </c>
      <c r="H5824" s="5" t="s">
        <v>21</v>
      </c>
      <c r="I5824" s="5" t="s">
        <v>14241</v>
      </c>
      <c r="J5824" s="12" t="str">
        <f>HYPERLINK("https://www.boe.es/gazeta/dias/1802/04/30/pdfs/GMD-1802-35.pdf#page=6","Abrir facsímil")</f>
        <v>Abrir facsímil</v>
      </c>
      <c r="K5824" s="15" t="s">
        <v>23</v>
      </c>
    </row>
    <row r="5825" spans="1:11" ht="42" customHeight="1">
      <c r="A5825" s="4" t="s">
        <v>14239</v>
      </c>
      <c r="B5825" s="5" t="s">
        <v>14239</v>
      </c>
      <c r="C5825" s="5" t="s">
        <v>18</v>
      </c>
      <c r="D5825" s="5" t="s">
        <v>19</v>
      </c>
      <c r="E5825" s="5" t="s">
        <v>1051</v>
      </c>
      <c r="F5825" s="9">
        <v>43</v>
      </c>
      <c r="G5825" s="9">
        <v>512</v>
      </c>
      <c r="H5825" s="5" t="s">
        <v>21</v>
      </c>
      <c r="I5825" s="5" t="s">
        <v>14242</v>
      </c>
      <c r="J5825" s="12" t="str">
        <f>HYPERLINK("https://www.boe.es/gazeta/dias/1802/05/28/pdfs/GMD-1802-43.pdf#page=4","Abrir facsímil")</f>
        <v>Abrir facsímil</v>
      </c>
      <c r="K5825" s="15" t="s">
        <v>23</v>
      </c>
    </row>
    <row r="5826" spans="1:11" ht="42" customHeight="1">
      <c r="A5826" s="4" t="s">
        <v>14239</v>
      </c>
      <c r="B5826" s="5" t="s">
        <v>14239</v>
      </c>
      <c r="C5826" s="5" t="s">
        <v>18</v>
      </c>
      <c r="D5826" s="5" t="s">
        <v>19</v>
      </c>
      <c r="E5826" s="5" t="s">
        <v>328</v>
      </c>
      <c r="F5826" s="9">
        <v>45</v>
      </c>
      <c r="G5826" s="9">
        <v>540</v>
      </c>
      <c r="H5826" s="5" t="s">
        <v>21</v>
      </c>
      <c r="I5826" s="5" t="s">
        <v>14243</v>
      </c>
      <c r="J5826" s="12" t="str">
        <f>HYPERLINK("https://www.boe.es/gazeta/dias/1802/06/04/pdfs/GMD-1802-45.pdf#page=4","Abrir facsímil")</f>
        <v>Abrir facsímil</v>
      </c>
      <c r="K5826" s="15" t="s">
        <v>23</v>
      </c>
    </row>
    <row r="5827" spans="1:11" ht="42" customHeight="1">
      <c r="A5827" s="4" t="s">
        <v>14239</v>
      </c>
      <c r="B5827" s="5" t="s">
        <v>14239</v>
      </c>
      <c r="C5827" s="5" t="s">
        <v>18</v>
      </c>
      <c r="D5827" s="5" t="s">
        <v>19</v>
      </c>
      <c r="E5827" s="5" t="s">
        <v>530</v>
      </c>
      <c r="F5827" s="9">
        <v>48</v>
      </c>
      <c r="G5827" s="9">
        <v>581</v>
      </c>
      <c r="H5827" s="5" t="s">
        <v>21</v>
      </c>
      <c r="I5827" s="5" t="s">
        <v>14244</v>
      </c>
      <c r="J5827" s="12" t="str">
        <f>HYPERLINK("https://www.boe.es/gazeta/dias/1802/06/15/pdfs/GMD-1802-48.pdf#page=5","Abrir facsímil")</f>
        <v>Abrir facsímil</v>
      </c>
      <c r="K5827" s="15" t="s">
        <v>23</v>
      </c>
    </row>
    <row r="5828" spans="1:11" ht="42" customHeight="1">
      <c r="A5828" s="4" t="s">
        <v>14239</v>
      </c>
      <c r="B5828" s="5" t="s">
        <v>14239</v>
      </c>
      <c r="C5828" s="5" t="s">
        <v>35</v>
      </c>
      <c r="D5828" s="5" t="s">
        <v>36</v>
      </c>
      <c r="E5828" s="5" t="s">
        <v>921</v>
      </c>
      <c r="F5828" s="9">
        <v>50</v>
      </c>
      <c r="G5828" s="9">
        <v>605</v>
      </c>
      <c r="H5828" s="5" t="s">
        <v>21</v>
      </c>
      <c r="I5828" s="5" t="s">
        <v>14245</v>
      </c>
      <c r="J5828" s="12" t="str">
        <f>HYPERLINK("https://www.boe.es/gazeta/dias/1802/06/22/pdfs/GMD-1802-50.pdf#page=5","Abrir facsímil")</f>
        <v>Abrir facsímil</v>
      </c>
      <c r="K5828" s="15" t="s">
        <v>23</v>
      </c>
    </row>
    <row r="5829" spans="1:11" ht="42" customHeight="1">
      <c r="A5829" s="4" t="s">
        <v>14239</v>
      </c>
      <c r="B5829" s="5" t="s">
        <v>14239</v>
      </c>
      <c r="C5829" s="5" t="s">
        <v>35</v>
      </c>
      <c r="D5829" s="5" t="s">
        <v>36</v>
      </c>
      <c r="E5829" s="5" t="s">
        <v>642</v>
      </c>
      <c r="F5829" s="9">
        <v>51</v>
      </c>
      <c r="G5829" s="9">
        <v>618</v>
      </c>
      <c r="H5829" s="5" t="s">
        <v>21</v>
      </c>
      <c r="I5829" s="5" t="s">
        <v>14246</v>
      </c>
      <c r="J5829" s="12" t="str">
        <f>HYPERLINK("https://www.boe.es/gazeta/dias/1802/06/25/pdfs/GMD-1802-51.pdf#page=6","Abrir facsímil")</f>
        <v>Abrir facsímil</v>
      </c>
      <c r="K5829" s="15" t="s">
        <v>23</v>
      </c>
    </row>
    <row r="5830" spans="1:11" ht="42" customHeight="1">
      <c r="A5830" s="4" t="s">
        <v>14239</v>
      </c>
      <c r="B5830" s="5" t="s">
        <v>14239</v>
      </c>
      <c r="C5830" s="5" t="s">
        <v>35</v>
      </c>
      <c r="D5830" s="5" t="s">
        <v>36</v>
      </c>
      <c r="E5830" s="5" t="s">
        <v>491</v>
      </c>
      <c r="F5830" s="9">
        <v>57</v>
      </c>
      <c r="G5830" s="9">
        <v>684</v>
      </c>
      <c r="H5830" s="5" t="s">
        <v>21</v>
      </c>
      <c r="I5830" s="5" t="s">
        <v>14247</v>
      </c>
      <c r="J5830" s="12" t="str">
        <f>HYPERLINK("https://www.boe.es/gazeta/dias/1802/07/16/pdfs/GMD-1802-57.pdf#page=4","Abrir facsímil")</f>
        <v>Abrir facsímil</v>
      </c>
      <c r="K5830" s="15" t="s">
        <v>23</v>
      </c>
    </row>
    <row r="5831" spans="1:11" ht="42" customHeight="1">
      <c r="A5831" s="4" t="s">
        <v>14239</v>
      </c>
      <c r="B5831" s="5" t="s">
        <v>14239</v>
      </c>
      <c r="C5831" s="5" t="s">
        <v>35</v>
      </c>
      <c r="D5831" s="5" t="s">
        <v>36</v>
      </c>
      <c r="E5831" s="5" t="s">
        <v>436</v>
      </c>
      <c r="F5831" s="9">
        <v>58</v>
      </c>
      <c r="G5831" s="9">
        <v>696</v>
      </c>
      <c r="H5831" s="5" t="s">
        <v>21</v>
      </c>
      <c r="I5831" s="5" t="s">
        <v>14248</v>
      </c>
      <c r="J5831" s="12" t="str">
        <f>HYPERLINK("https://www.boe.es/gazeta/dias/1802/07/20/pdfs/GMD-1802-58.pdf#page=4","Abrir facsímil")</f>
        <v>Abrir facsímil</v>
      </c>
      <c r="K5831" s="15" t="s">
        <v>23</v>
      </c>
    </row>
    <row r="5832" spans="1:11" ht="42" customHeight="1">
      <c r="A5832" s="4" t="s">
        <v>14239</v>
      </c>
      <c r="B5832" s="5" t="s">
        <v>14239</v>
      </c>
      <c r="C5832" s="5" t="s">
        <v>35</v>
      </c>
      <c r="D5832" s="5" t="s">
        <v>36</v>
      </c>
      <c r="E5832" s="5" t="s">
        <v>75</v>
      </c>
      <c r="F5832" s="9">
        <v>103</v>
      </c>
      <c r="G5832" s="9">
        <v>1259</v>
      </c>
      <c r="H5832" s="5" t="s">
        <v>21</v>
      </c>
      <c r="I5832" s="5" t="s">
        <v>14249</v>
      </c>
      <c r="J5832" s="12" t="str">
        <f>HYPERLINK("https://www.boe.es/gazeta/dias/1802/12/21/pdfs/GMD-1802-103.pdf#page=3","Abrir facsímil")</f>
        <v>Abrir facsímil</v>
      </c>
      <c r="K5832" s="15" t="s">
        <v>23</v>
      </c>
    </row>
    <row r="5833" spans="1:11" ht="42" customHeight="1">
      <c r="A5833" s="4" t="s">
        <v>14239</v>
      </c>
      <c r="B5833" s="5" t="s">
        <v>14239</v>
      </c>
      <c r="C5833" s="5" t="s">
        <v>29</v>
      </c>
      <c r="D5833" s="5" t="s">
        <v>30</v>
      </c>
      <c r="E5833" s="5" t="s">
        <v>37</v>
      </c>
      <c r="F5833" s="9">
        <v>106</v>
      </c>
      <c r="G5833" s="9">
        <v>1292</v>
      </c>
      <c r="H5833" s="5" t="s">
        <v>21</v>
      </c>
      <c r="I5833" s="5" t="s">
        <v>14250</v>
      </c>
      <c r="J5833" s="12" t="str">
        <f>HYPERLINK("https://www.boe.es/gazeta/dias/1802/12/31/pdfs/GMD-1802-106.pdf#page=4","Abrir facsímil")</f>
        <v>Abrir facsímil</v>
      </c>
      <c r="K5833" s="15" t="s">
        <v>23</v>
      </c>
    </row>
    <row r="5834" spans="1:11" ht="42" customHeight="1">
      <c r="A5834" s="4" t="s">
        <v>14251</v>
      </c>
      <c r="B5834" s="5" t="s">
        <v>14251</v>
      </c>
      <c r="C5834" s="5" t="s">
        <v>29</v>
      </c>
      <c r="D5834" s="5" t="s">
        <v>30</v>
      </c>
      <c r="E5834" s="5" t="s">
        <v>128</v>
      </c>
      <c r="F5834" s="9">
        <v>9</v>
      </c>
      <c r="G5834" s="9">
        <v>90</v>
      </c>
      <c r="H5834" s="5" t="s">
        <v>21</v>
      </c>
      <c r="I5834" s="5" t="s">
        <v>14252</v>
      </c>
      <c r="J5834" s="12" t="str">
        <f>HYPERLINK("https://www.boe.es/gazeta/dias/1802/01/29/pdfs/GMD-1802-9.pdf#page=10","Abrir facsímil")</f>
        <v>Abrir facsímil</v>
      </c>
      <c r="K5834" s="15" t="s">
        <v>23</v>
      </c>
    </row>
    <row r="5835" spans="1:11" ht="42" customHeight="1">
      <c r="A5835" s="4" t="s">
        <v>14253</v>
      </c>
      <c r="B5835" s="5" t="s">
        <v>14253</v>
      </c>
      <c r="C5835" s="5" t="s">
        <v>18</v>
      </c>
      <c r="D5835" s="5" t="s">
        <v>19</v>
      </c>
      <c r="E5835" s="5" t="s">
        <v>1749</v>
      </c>
      <c r="F5835" s="9">
        <v>60</v>
      </c>
      <c r="G5835" s="9">
        <v>728</v>
      </c>
      <c r="H5835" s="5" t="s">
        <v>21</v>
      </c>
      <c r="I5835" s="5" t="s">
        <v>14254</v>
      </c>
      <c r="J5835" s="12" t="str">
        <f>HYPERLINK("https://www.boe.es/gazeta/dias/1802/07/23/pdfs/GMD-1802-60.pdf#page=12","Abrir facsímil")</f>
        <v>Abrir facsímil</v>
      </c>
      <c r="K5835" s="15" t="s">
        <v>23</v>
      </c>
    </row>
    <row r="5836" spans="1:11" ht="42" customHeight="1">
      <c r="A5836" s="4" t="s">
        <v>14255</v>
      </c>
      <c r="B5836" s="5" t="s">
        <v>14256</v>
      </c>
      <c r="C5836" s="5" t="s">
        <v>90</v>
      </c>
      <c r="D5836" s="5" t="s">
        <v>91</v>
      </c>
      <c r="E5836" s="5" t="s">
        <v>37</v>
      </c>
      <c r="F5836" s="9">
        <v>106</v>
      </c>
      <c r="G5836" s="9">
        <v>1293</v>
      </c>
      <c r="H5836" s="5" t="s">
        <v>21</v>
      </c>
      <c r="I5836" s="5" t="s">
        <v>14257</v>
      </c>
      <c r="J5836" s="12" t="str">
        <f>HYPERLINK("https://www.boe.es/gazeta/dias/1802/12/31/pdfs/GMD-1802-106.pdf#page=5","Abrir facsímil")</f>
        <v>Abrir facsímil</v>
      </c>
      <c r="K5836" s="15" t="s">
        <v>23</v>
      </c>
    </row>
    <row r="5837" spans="1:11" ht="42" customHeight="1">
      <c r="A5837" s="4" t="s">
        <v>14258</v>
      </c>
      <c r="B5837" s="5" t="s">
        <v>14259</v>
      </c>
      <c r="C5837" s="5" t="s">
        <v>29</v>
      </c>
      <c r="D5837" s="5" t="s">
        <v>30</v>
      </c>
      <c r="E5837" s="5" t="s">
        <v>385</v>
      </c>
      <c r="F5837" s="9">
        <v>70</v>
      </c>
      <c r="G5837" s="9">
        <v>863</v>
      </c>
      <c r="H5837" s="5" t="s">
        <v>21</v>
      </c>
      <c r="I5837" s="5" t="s">
        <v>14260</v>
      </c>
      <c r="J5837" s="12" t="str">
        <f>HYPERLINK("https://www.boe.es/gazeta/dias/1802/08/27/pdfs/GMD-1802-70.pdf#page=11","Abrir facsímil")</f>
        <v>Abrir facsímil</v>
      </c>
      <c r="K5837" s="15" t="s">
        <v>23</v>
      </c>
    </row>
    <row r="5838" spans="1:11" ht="42" customHeight="1">
      <c r="A5838" s="4" t="s">
        <v>14261</v>
      </c>
      <c r="B5838" s="5" t="s">
        <v>14262</v>
      </c>
      <c r="C5838" s="5" t="s">
        <v>18</v>
      </c>
      <c r="D5838" s="5" t="s">
        <v>19</v>
      </c>
      <c r="E5838" s="5" t="s">
        <v>49</v>
      </c>
      <c r="F5838" s="9">
        <v>83</v>
      </c>
      <c r="G5838" s="9">
        <v>1024</v>
      </c>
      <c r="H5838" s="5" t="s">
        <v>21</v>
      </c>
      <c r="I5838" s="5" t="s">
        <v>14263</v>
      </c>
      <c r="J5838" s="12" t="str">
        <f>HYPERLINK("https://www.boe.es/gazeta/dias/1802/10/12/pdfs/GMD-1802-83.pdf#page=12","Abrir facsímil")</f>
        <v>Abrir facsímil</v>
      </c>
      <c r="K5838" s="15" t="s">
        <v>23</v>
      </c>
    </row>
    <row r="5839" spans="1:11" ht="42" customHeight="1">
      <c r="A5839" s="4" t="s">
        <v>14264</v>
      </c>
      <c r="B5839" s="5" t="s">
        <v>14265</v>
      </c>
      <c r="C5839" s="5" t="s">
        <v>29</v>
      </c>
      <c r="D5839" s="5" t="s">
        <v>30</v>
      </c>
      <c r="E5839" s="5" t="s">
        <v>37</v>
      </c>
      <c r="F5839" s="9">
        <v>106</v>
      </c>
      <c r="G5839" s="9">
        <v>1294</v>
      </c>
      <c r="H5839" s="5" t="s">
        <v>21</v>
      </c>
      <c r="I5839" s="5" t="s">
        <v>14266</v>
      </c>
      <c r="J5839" s="12" t="str">
        <f>HYPERLINK("https://www.boe.es/gazeta/dias/1802/12/31/pdfs/GMD-1802-106.pdf#page=6","Abrir facsímil")</f>
        <v>Abrir facsímil</v>
      </c>
      <c r="K5839" s="15" t="s">
        <v>23</v>
      </c>
    </row>
    <row r="5840" spans="1:11" ht="42" customHeight="1">
      <c r="A5840" s="4" t="s">
        <v>14267</v>
      </c>
      <c r="B5840" s="5" t="s">
        <v>14268</v>
      </c>
      <c r="C5840" s="5" t="s">
        <v>18</v>
      </c>
      <c r="D5840" s="5" t="s">
        <v>19</v>
      </c>
      <c r="E5840" s="5" t="s">
        <v>163</v>
      </c>
      <c r="F5840" s="9">
        <v>1</v>
      </c>
      <c r="G5840" s="9">
        <v>1</v>
      </c>
      <c r="H5840" s="5" t="s">
        <v>21</v>
      </c>
      <c r="I5840" s="5" t="s">
        <v>14269</v>
      </c>
      <c r="J5840" s="12" t="str">
        <f>HYPERLINK("https://www.boe.es/gazeta/dias/1802/01/01/pdfs/GMD-1802-1.pdf#page=1","Abrir facsímil")</f>
        <v>Abrir facsímil</v>
      </c>
      <c r="K5840" s="15" t="s">
        <v>23</v>
      </c>
    </row>
    <row r="5841" spans="1:11" ht="42" customHeight="1">
      <c r="A5841" s="4" t="s">
        <v>14267</v>
      </c>
      <c r="B5841" s="5" t="s">
        <v>14268</v>
      </c>
      <c r="C5841" s="5" t="s">
        <v>35</v>
      </c>
      <c r="D5841" s="5" t="s">
        <v>36</v>
      </c>
      <c r="E5841" s="5" t="s">
        <v>1407</v>
      </c>
      <c r="F5841" s="9">
        <v>8</v>
      </c>
      <c r="G5841" s="9">
        <v>73</v>
      </c>
      <c r="H5841" s="5" t="s">
        <v>21</v>
      </c>
      <c r="I5841" s="5" t="s">
        <v>14270</v>
      </c>
      <c r="J5841" s="12" t="str">
        <f>HYPERLINK("https://www.boe.es/gazeta/dias/1802/01/26/pdfs/GMD-1802-8.pdf#page=1","Abrir facsímil")</f>
        <v>Abrir facsímil</v>
      </c>
      <c r="K5841" s="15" t="s">
        <v>23</v>
      </c>
    </row>
    <row r="5842" spans="1:11" ht="42" customHeight="1">
      <c r="A5842" s="4" t="s">
        <v>14271</v>
      </c>
      <c r="B5842" s="5" t="s">
        <v>14272</v>
      </c>
      <c r="C5842" s="5" t="s">
        <v>29</v>
      </c>
      <c r="D5842" s="5" t="s">
        <v>30</v>
      </c>
      <c r="E5842" s="5" t="s">
        <v>128</v>
      </c>
      <c r="F5842" s="9">
        <v>9</v>
      </c>
      <c r="G5842" s="9">
        <v>89</v>
      </c>
      <c r="H5842" s="5" t="s">
        <v>21</v>
      </c>
      <c r="I5842" s="5" t="s">
        <v>14273</v>
      </c>
      <c r="J5842" s="12" t="str">
        <f>HYPERLINK("https://www.boe.es/gazeta/dias/1802/01/29/pdfs/GMD-1802-9.pdf#page=9","Abrir facsímil")</f>
        <v>Abrir facsímil</v>
      </c>
      <c r="K5842" s="15" t="s">
        <v>23</v>
      </c>
    </row>
    <row r="5843" spans="1:11" ht="42" customHeight="1">
      <c r="A5843" s="4" t="s">
        <v>14274</v>
      </c>
      <c r="B5843" s="5" t="s">
        <v>14275</v>
      </c>
      <c r="C5843" s="5" t="s">
        <v>29</v>
      </c>
      <c r="D5843" s="5" t="s">
        <v>30</v>
      </c>
      <c r="E5843" s="5" t="s">
        <v>20</v>
      </c>
      <c r="F5843" s="9">
        <v>84</v>
      </c>
      <c r="G5843" s="9">
        <v>1047</v>
      </c>
      <c r="H5843" s="5" t="s">
        <v>21</v>
      </c>
      <c r="I5843" s="5" t="s">
        <v>14276</v>
      </c>
      <c r="J5843" s="12" t="str">
        <f>HYPERLINK("https://www.boe.es/gazeta/dias/1802/10/15/pdfs/GMD-1802-84.pdf#page=15","Abrir facsímil")</f>
        <v>Abrir facsímil</v>
      </c>
      <c r="K5843" s="15" t="s">
        <v>23</v>
      </c>
    </row>
    <row r="5844" spans="1:11" ht="42" customHeight="1">
      <c r="A5844" s="4" t="s">
        <v>14277</v>
      </c>
      <c r="B5844" s="5" t="s">
        <v>14277</v>
      </c>
      <c r="C5844" s="5" t="s">
        <v>29</v>
      </c>
      <c r="D5844" s="5" t="s">
        <v>30</v>
      </c>
      <c r="E5844" s="5" t="s">
        <v>1618</v>
      </c>
      <c r="F5844" s="9">
        <v>31</v>
      </c>
      <c r="G5844" s="9">
        <v>366</v>
      </c>
      <c r="H5844" s="5" t="s">
        <v>21</v>
      </c>
      <c r="I5844" s="5" t="s">
        <v>14278</v>
      </c>
      <c r="J5844" s="12" t="str">
        <f>HYPERLINK("https://www.boe.es/gazeta/dias/1802/04/16/pdfs/GMD-1802-31.pdf#page=10","Abrir facsímil")</f>
        <v>Abrir facsímil</v>
      </c>
      <c r="K5844" s="15" t="s">
        <v>23</v>
      </c>
    </row>
    <row r="5845" spans="1:11" ht="42" customHeight="1">
      <c r="A5845" s="4" t="s">
        <v>14279</v>
      </c>
      <c r="B5845" s="5" t="s">
        <v>14280</v>
      </c>
      <c r="C5845" s="5" t="s">
        <v>18</v>
      </c>
      <c r="D5845" s="5" t="s">
        <v>19</v>
      </c>
      <c r="E5845" s="5" t="s">
        <v>20</v>
      </c>
      <c r="F5845" s="9">
        <v>84</v>
      </c>
      <c r="G5845" s="9">
        <v>1040</v>
      </c>
      <c r="H5845" s="5" t="s">
        <v>21</v>
      </c>
      <c r="I5845" s="5" t="s">
        <v>14281</v>
      </c>
      <c r="J5845" s="12" t="str">
        <f>HYPERLINK("https://www.boe.es/gazeta/dias/1802/10/15/pdfs/GMD-1802-84.pdf#page=8","Abrir facsímil")</f>
        <v>Abrir facsímil</v>
      </c>
      <c r="K5845" s="15" t="s">
        <v>23</v>
      </c>
    </row>
    <row r="5846" spans="1:11" ht="42" customHeight="1">
      <c r="A5846" s="4" t="s">
        <v>14282</v>
      </c>
      <c r="B5846" s="5" t="s">
        <v>14283</v>
      </c>
      <c r="C5846" s="5" t="s">
        <v>35</v>
      </c>
      <c r="D5846" s="5" t="s">
        <v>36</v>
      </c>
      <c r="E5846" s="5" t="s">
        <v>73</v>
      </c>
      <c r="F5846" s="9">
        <v>102</v>
      </c>
      <c r="G5846" s="9">
        <v>1249</v>
      </c>
      <c r="H5846" s="5" t="s">
        <v>21</v>
      </c>
      <c r="I5846" s="5" t="s">
        <v>14284</v>
      </c>
      <c r="J5846" s="12" t="str">
        <f>HYPERLINK("https://www.boe.es/gazeta/dias/1802/12/17/pdfs/GMD-1802-102.pdf#page=5","Abrir facsímil")</f>
        <v>Abrir facsímil</v>
      </c>
      <c r="K5846" s="15" t="s">
        <v>23</v>
      </c>
    </row>
    <row r="5847" spans="1:11" ht="42" customHeight="1">
      <c r="A5847" s="4" t="s">
        <v>14285</v>
      </c>
      <c r="B5847" s="5" t="s">
        <v>14286</v>
      </c>
      <c r="C5847" s="5" t="s">
        <v>29</v>
      </c>
      <c r="D5847" s="5" t="s">
        <v>30</v>
      </c>
      <c r="E5847" s="5" t="s">
        <v>71</v>
      </c>
      <c r="F5847" s="9">
        <v>21</v>
      </c>
      <c r="G5847" s="9">
        <v>233</v>
      </c>
      <c r="H5847" s="5" t="s">
        <v>21</v>
      </c>
      <c r="I5847" s="5" t="s">
        <v>14287</v>
      </c>
      <c r="J5847" s="12" t="str">
        <f>HYPERLINK("https://www.boe.es/gazeta/dias/1802/03/12/pdfs/GMD-1802-21.pdf#page=9","Abrir facsímil")</f>
        <v>Abrir facsímil</v>
      </c>
      <c r="K5847" s="15" t="s">
        <v>23</v>
      </c>
    </row>
    <row r="5848" spans="1:11" ht="42" customHeight="1">
      <c r="A5848" s="4" t="s">
        <v>14288</v>
      </c>
      <c r="B5848" s="5" t="s">
        <v>14289</v>
      </c>
      <c r="C5848" s="5" t="s">
        <v>18</v>
      </c>
      <c r="D5848" s="5" t="s">
        <v>19</v>
      </c>
      <c r="E5848" s="5" t="s">
        <v>1289</v>
      </c>
      <c r="F5848" s="9">
        <v>72</v>
      </c>
      <c r="G5848" s="9">
        <v>888</v>
      </c>
      <c r="H5848" s="5" t="s">
        <v>21</v>
      </c>
      <c r="I5848" s="5" t="s">
        <v>14290</v>
      </c>
      <c r="J5848" s="12" t="str">
        <f>HYPERLINK("https://www.boe.es/gazeta/dias/1802/09/03/pdfs/GMD-1802-72.pdf#page=8","Abrir facsímil")</f>
        <v>Abrir facsímil</v>
      </c>
      <c r="K5848" s="15" t="s">
        <v>23</v>
      </c>
    </row>
    <row r="5849" spans="1:11" ht="42" customHeight="1">
      <c r="A5849" s="4" t="s">
        <v>14291</v>
      </c>
      <c r="B5849" s="5" t="s">
        <v>14292</v>
      </c>
      <c r="C5849" s="5" t="s">
        <v>18</v>
      </c>
      <c r="D5849" s="5" t="s">
        <v>19</v>
      </c>
      <c r="E5849" s="5" t="s">
        <v>1185</v>
      </c>
      <c r="F5849" s="9">
        <v>93</v>
      </c>
      <c r="G5849" s="9">
        <v>1149</v>
      </c>
      <c r="H5849" s="5" t="s">
        <v>21</v>
      </c>
      <c r="I5849" s="5" t="s">
        <v>14293</v>
      </c>
      <c r="J5849" s="12" t="str">
        <f>HYPERLINK("https://www.boe.es/gazeta/dias/1802/11/16/pdfs/GMD-1802-93.pdf#page=9","Abrir facsímil")</f>
        <v>Abrir facsímil</v>
      </c>
      <c r="K5849" s="15" t="s">
        <v>23</v>
      </c>
    </row>
    <row r="5850" spans="1:11" ht="42" customHeight="1">
      <c r="A5850" s="4" t="s">
        <v>14294</v>
      </c>
      <c r="B5850" s="5" t="s">
        <v>14295</v>
      </c>
      <c r="C5850" s="5" t="s">
        <v>42</v>
      </c>
      <c r="D5850" s="5" t="s">
        <v>43</v>
      </c>
      <c r="E5850" s="5" t="s">
        <v>44</v>
      </c>
      <c r="F5850" s="9">
        <v>99</v>
      </c>
      <c r="G5850" s="9" t="s">
        <v>272</v>
      </c>
      <c r="H5850" s="5" t="s">
        <v>21</v>
      </c>
      <c r="I5850" s="5" t="s">
        <v>14296</v>
      </c>
      <c r="J5850" s="12" t="str">
        <f>HYPERLINK("https://www.boe.es/gazeta/dias/1802/12/07/pdfs/GMD-D-1802-99.pdf#page=3","Abrir facsímil")</f>
        <v>Abrir facsímil</v>
      </c>
      <c r="K5850" s="15" t="s">
        <v>23</v>
      </c>
    </row>
    <row r="5851" spans="1:11" ht="42" customHeight="1">
      <c r="A5851" s="4" t="s">
        <v>14297</v>
      </c>
      <c r="B5851" s="5" t="s">
        <v>14298</v>
      </c>
      <c r="C5851" s="5" t="s">
        <v>29</v>
      </c>
      <c r="D5851" s="5" t="s">
        <v>30</v>
      </c>
      <c r="E5851" s="5" t="s">
        <v>206</v>
      </c>
      <c r="F5851" s="9">
        <v>22</v>
      </c>
      <c r="G5851" s="9">
        <v>241</v>
      </c>
      <c r="H5851" s="5" t="s">
        <v>21</v>
      </c>
      <c r="I5851" s="5" t="s">
        <v>14299</v>
      </c>
      <c r="J5851" s="12" t="str">
        <f>HYPERLINK("https://www.boe.es/gazeta/dias/1802/03/16/pdfs/GMD-1802-22.pdf#page=9","Abrir facsímil")</f>
        <v>Abrir facsímil</v>
      </c>
      <c r="K5851" s="15" t="s">
        <v>23</v>
      </c>
    </row>
    <row r="5852" spans="1:11" ht="42" customHeight="1">
      <c r="A5852" s="4" t="s">
        <v>14300</v>
      </c>
      <c r="B5852" s="5" t="s">
        <v>14301</v>
      </c>
      <c r="C5852" s="5" t="s">
        <v>18</v>
      </c>
      <c r="D5852" s="5" t="s">
        <v>19</v>
      </c>
      <c r="E5852" s="5" t="s">
        <v>20</v>
      </c>
      <c r="F5852" s="9">
        <v>84</v>
      </c>
      <c r="G5852" s="9">
        <v>1046</v>
      </c>
      <c r="H5852" s="5" t="s">
        <v>21</v>
      </c>
      <c r="I5852" s="5" t="s">
        <v>14302</v>
      </c>
      <c r="J5852" s="12" t="str">
        <f>HYPERLINK("https://www.boe.es/gazeta/dias/1802/10/15/pdfs/GMD-1802-84.pdf#page=14","Abrir facsímil")</f>
        <v>Abrir facsímil</v>
      </c>
      <c r="K5852" s="15" t="s">
        <v>23</v>
      </c>
    </row>
    <row r="5853" spans="1:11" ht="42" customHeight="1">
      <c r="A5853" s="4" t="s">
        <v>14303</v>
      </c>
      <c r="B5853" s="5" t="s">
        <v>14304</v>
      </c>
      <c r="C5853" s="5" t="s">
        <v>18</v>
      </c>
      <c r="D5853" s="5" t="s">
        <v>19</v>
      </c>
      <c r="E5853" s="5" t="s">
        <v>20</v>
      </c>
      <c r="F5853" s="9">
        <v>84</v>
      </c>
      <c r="G5853" s="9">
        <v>1044</v>
      </c>
      <c r="H5853" s="5" t="s">
        <v>21</v>
      </c>
      <c r="I5853" s="5" t="s">
        <v>14305</v>
      </c>
      <c r="J5853" s="12" t="str">
        <f>HYPERLINK("https://www.boe.es/gazeta/dias/1802/10/15/pdfs/GMD-1802-84.pdf#page=12","Abrir facsímil")</f>
        <v>Abrir facsímil</v>
      </c>
      <c r="K5853" s="15" t="s">
        <v>23</v>
      </c>
    </row>
    <row r="5854" spans="1:11" ht="42" customHeight="1">
      <c r="A5854" s="4" t="s">
        <v>14306</v>
      </c>
      <c r="B5854" s="5" t="s">
        <v>14307</v>
      </c>
      <c r="C5854" s="5" t="s">
        <v>18</v>
      </c>
      <c r="D5854" s="5" t="s">
        <v>19</v>
      </c>
      <c r="E5854" s="5" t="s">
        <v>49</v>
      </c>
      <c r="F5854" s="9">
        <v>83</v>
      </c>
      <c r="G5854" s="9">
        <v>1023</v>
      </c>
      <c r="H5854" s="5" t="s">
        <v>21</v>
      </c>
      <c r="I5854" s="5" t="s">
        <v>14308</v>
      </c>
      <c r="J5854" s="12" t="str">
        <f>HYPERLINK("https://www.boe.es/gazeta/dias/1802/10/12/pdfs/GMD-1802-83.pdf#page=11","Abrir facsímil")</f>
        <v>Abrir facsímil</v>
      </c>
      <c r="K5854" s="15" t="s">
        <v>23</v>
      </c>
    </row>
    <row r="5855" spans="1:11" ht="42" customHeight="1">
      <c r="A5855" s="4" t="s">
        <v>14309</v>
      </c>
      <c r="B5855" s="5" t="s">
        <v>14310</v>
      </c>
      <c r="C5855" s="5" t="s">
        <v>29</v>
      </c>
      <c r="D5855" s="5" t="s">
        <v>30</v>
      </c>
      <c r="E5855" s="5" t="s">
        <v>299</v>
      </c>
      <c r="F5855" s="9">
        <v>19</v>
      </c>
      <c r="G5855" s="9">
        <v>209</v>
      </c>
      <c r="H5855" s="5" t="s">
        <v>21</v>
      </c>
      <c r="I5855" s="5" t="s">
        <v>14311</v>
      </c>
      <c r="J5855" s="12" t="str">
        <f>HYPERLINK("https://www.boe.es/gazeta/dias/1802/03/05/pdfs/GMD-1802-19.pdf#page=9","Abrir facsímil")</f>
        <v>Abrir facsímil</v>
      </c>
      <c r="K5855" s="15" t="s">
        <v>23</v>
      </c>
    </row>
    <row r="5856" spans="1:11" ht="42" customHeight="1">
      <c r="A5856" s="4" t="s">
        <v>14312</v>
      </c>
      <c r="B5856" s="5" t="s">
        <v>14313</v>
      </c>
      <c r="C5856" s="5" t="s">
        <v>42</v>
      </c>
      <c r="D5856" s="5" t="s">
        <v>43</v>
      </c>
      <c r="E5856" s="5" t="s">
        <v>44</v>
      </c>
      <c r="F5856" s="9">
        <v>99</v>
      </c>
      <c r="G5856" s="9" t="s">
        <v>558</v>
      </c>
      <c r="H5856" s="5" t="s">
        <v>21</v>
      </c>
      <c r="I5856" s="5" t="s">
        <v>14314</v>
      </c>
      <c r="J5856" s="12" t="str">
        <f>HYPERLINK("https://www.boe.es/gazeta/dias/1802/12/07/pdfs/GMD-D-1802-99.pdf#page=1","Abrir facsímil")</f>
        <v>Abrir facsímil</v>
      </c>
      <c r="K5856" s="15" t="s">
        <v>23</v>
      </c>
    </row>
    <row r="5857" spans="1:11" ht="42" customHeight="1">
      <c r="A5857" s="4" t="s">
        <v>14315</v>
      </c>
      <c r="B5857" s="5" t="s">
        <v>14316</v>
      </c>
      <c r="C5857" s="5" t="s">
        <v>29</v>
      </c>
      <c r="D5857" s="5" t="s">
        <v>30</v>
      </c>
      <c r="E5857" s="5" t="s">
        <v>1829</v>
      </c>
      <c r="F5857" s="9">
        <v>32</v>
      </c>
      <c r="G5857" s="9">
        <v>372</v>
      </c>
      <c r="H5857" s="5" t="s">
        <v>21</v>
      </c>
      <c r="I5857" s="5" t="s">
        <v>14317</v>
      </c>
      <c r="J5857" s="12" t="str">
        <f>HYPERLINK("https://www.boe.es/gazeta/dias/1802/04/20/pdfs/GMD-1802-32.pdf#page=4","Abrir facsímil")</f>
        <v>Abrir facsímil</v>
      </c>
      <c r="K5857" s="15" t="s">
        <v>23</v>
      </c>
    </row>
    <row r="5858" spans="1:11" ht="42" customHeight="1">
      <c r="A5858" s="4" t="s">
        <v>14318</v>
      </c>
      <c r="B5858" s="5" t="s">
        <v>14318</v>
      </c>
      <c r="C5858" s="5" t="s">
        <v>18</v>
      </c>
      <c r="D5858" s="5" t="s">
        <v>19</v>
      </c>
      <c r="E5858" s="5" t="s">
        <v>714</v>
      </c>
      <c r="F5858" s="9">
        <v>89</v>
      </c>
      <c r="G5858" s="9">
        <v>1106</v>
      </c>
      <c r="H5858" s="5" t="s">
        <v>21</v>
      </c>
      <c r="I5858" s="5" t="s">
        <v>14319</v>
      </c>
      <c r="J5858" s="12" t="str">
        <f>HYPERLINK("https://www.boe.es/gazeta/dias/1802/11/02/pdfs/GMD-1802-89.pdf#page=10","Abrir facsímil")</f>
        <v>Abrir facsímil</v>
      </c>
      <c r="K5858" s="15" t="s">
        <v>23</v>
      </c>
    </row>
    <row r="5859" spans="1:11" ht="42" customHeight="1">
      <c r="A5859" s="4" t="s">
        <v>14320</v>
      </c>
      <c r="B5859" s="5" t="s">
        <v>14321</v>
      </c>
      <c r="C5859" s="5" t="s">
        <v>42</v>
      </c>
      <c r="D5859" s="5" t="s">
        <v>43</v>
      </c>
      <c r="E5859" s="5" t="s">
        <v>44</v>
      </c>
      <c r="F5859" s="9">
        <v>99</v>
      </c>
      <c r="G5859" s="9" t="s">
        <v>272</v>
      </c>
      <c r="H5859" s="5" t="s">
        <v>21</v>
      </c>
      <c r="I5859" s="5" t="s">
        <v>14322</v>
      </c>
      <c r="J5859" s="12" t="str">
        <f>HYPERLINK("https://www.boe.es/gazeta/dias/1802/12/07/pdfs/GMD-D-1802-99.pdf#page=3","Abrir facsímil")</f>
        <v>Abrir facsímil</v>
      </c>
      <c r="K5859" s="15" t="s">
        <v>23</v>
      </c>
    </row>
    <row r="5860" spans="1:11" ht="42" customHeight="1">
      <c r="A5860" s="4" t="s">
        <v>14323</v>
      </c>
      <c r="B5860" s="5" t="s">
        <v>14324</v>
      </c>
      <c r="C5860" s="5" t="s">
        <v>35</v>
      </c>
      <c r="D5860" s="5" t="s">
        <v>36</v>
      </c>
      <c r="E5860" s="5" t="s">
        <v>642</v>
      </c>
      <c r="F5860" s="9">
        <v>51</v>
      </c>
      <c r="G5860" s="9">
        <v>618</v>
      </c>
      <c r="H5860" s="5" t="s">
        <v>21</v>
      </c>
      <c r="I5860" s="5" t="s">
        <v>14325</v>
      </c>
      <c r="J5860" s="12" t="str">
        <f>HYPERLINK("https://www.boe.es/gazeta/dias/1802/06/25/pdfs/GMD-1802-51.pdf#page=6","Abrir facsímil")</f>
        <v>Abrir facsímil</v>
      </c>
      <c r="K5860" s="15" t="s">
        <v>23</v>
      </c>
    </row>
    <row r="5861" spans="1:11" ht="42" customHeight="1">
      <c r="A5861" s="4" t="s">
        <v>14326</v>
      </c>
      <c r="B5861" s="5" t="s">
        <v>14326</v>
      </c>
      <c r="C5861" s="5" t="s">
        <v>2417</v>
      </c>
      <c r="D5861" s="5" t="s">
        <v>2418</v>
      </c>
      <c r="E5861" s="5" t="s">
        <v>604</v>
      </c>
      <c r="F5861" s="9">
        <v>100</v>
      </c>
      <c r="G5861" s="9" t="s">
        <v>558</v>
      </c>
      <c r="H5861" s="5" t="s">
        <v>21</v>
      </c>
      <c r="I5861" s="5" t="s">
        <v>14327</v>
      </c>
      <c r="J5861" s="12" t="str">
        <f>HYPERLINK("https://www.boe.es/gazeta/dias/1802/12/10/pdfs/GMD-C-1802-100.pdf#page=1","Abrir facsímil")</f>
        <v>Abrir facsímil</v>
      </c>
      <c r="K5861" s="15" t="s">
        <v>23</v>
      </c>
    </row>
    <row r="5862" spans="1:11" ht="42" customHeight="1">
      <c r="A5862" s="4" t="s">
        <v>14328</v>
      </c>
      <c r="B5862" s="5" t="s">
        <v>14329</v>
      </c>
      <c r="C5862" s="5" t="s">
        <v>18</v>
      </c>
      <c r="D5862" s="5" t="s">
        <v>19</v>
      </c>
      <c r="E5862" s="5" t="s">
        <v>1381</v>
      </c>
      <c r="F5862" s="9">
        <v>17</v>
      </c>
      <c r="G5862" s="9">
        <v>187</v>
      </c>
      <c r="H5862" s="5" t="s">
        <v>21</v>
      </c>
      <c r="I5862" s="5" t="s">
        <v>14330</v>
      </c>
      <c r="J5862" s="12" t="str">
        <f>HYPERLINK("https://www.boe.es/gazeta/dias/1802/02/26/pdfs/GMD-1802-17.pdf#page=11","Abrir facsímil")</f>
        <v>Abrir facsímil</v>
      </c>
      <c r="K5862" s="15" t="s">
        <v>23</v>
      </c>
    </row>
    <row r="5863" spans="1:11" ht="42" customHeight="1">
      <c r="A5863" s="4" t="s">
        <v>14331</v>
      </c>
      <c r="B5863" s="5" t="s">
        <v>14332</v>
      </c>
      <c r="C5863" s="5" t="s">
        <v>90</v>
      </c>
      <c r="D5863" s="5" t="s">
        <v>91</v>
      </c>
      <c r="E5863" s="5" t="s">
        <v>1407</v>
      </c>
      <c r="F5863" s="9">
        <v>8</v>
      </c>
      <c r="G5863" s="9">
        <v>78</v>
      </c>
      <c r="H5863" s="5" t="s">
        <v>21</v>
      </c>
      <c r="I5863" s="5" t="s">
        <v>14333</v>
      </c>
      <c r="J5863" s="12" t="str">
        <f>HYPERLINK("https://www.boe.es/gazeta/dias/1802/01/26/pdfs/GMD-1802-8.pdf#page=6","Abrir facsímil")</f>
        <v>Abrir facsímil</v>
      </c>
      <c r="K5863" s="15" t="s">
        <v>23</v>
      </c>
    </row>
    <row r="5864" spans="1:11" ht="42" customHeight="1">
      <c r="A5864" s="4" t="s">
        <v>14334</v>
      </c>
      <c r="B5864" s="5" t="s">
        <v>14335</v>
      </c>
      <c r="C5864" s="5" t="s">
        <v>35</v>
      </c>
      <c r="D5864" s="5" t="s">
        <v>36</v>
      </c>
      <c r="E5864" s="5" t="s">
        <v>865</v>
      </c>
      <c r="F5864" s="9">
        <v>12</v>
      </c>
      <c r="G5864" s="9">
        <v>122</v>
      </c>
      <c r="H5864" s="5" t="s">
        <v>21</v>
      </c>
      <c r="I5864" s="5" t="s">
        <v>14336</v>
      </c>
      <c r="J5864" s="12" t="str">
        <f>HYPERLINK("https://www.boe.es/gazeta/dias/1802/02/09/pdfs/GMD-1802-12.pdf#page=6","Abrir facsímil")</f>
        <v>Abrir facsímil</v>
      </c>
      <c r="K5864" s="15" t="s">
        <v>23</v>
      </c>
    </row>
    <row r="5865" spans="1:11" ht="42" customHeight="1">
      <c r="A5865" s="4" t="s">
        <v>14334</v>
      </c>
      <c r="B5865" s="5" t="s">
        <v>14335</v>
      </c>
      <c r="C5865" s="5" t="s">
        <v>29</v>
      </c>
      <c r="D5865" s="5" t="s">
        <v>30</v>
      </c>
      <c r="E5865" s="5" t="s">
        <v>206</v>
      </c>
      <c r="F5865" s="9">
        <v>22</v>
      </c>
      <c r="G5865" s="9">
        <v>252</v>
      </c>
      <c r="H5865" s="5" t="s">
        <v>21</v>
      </c>
      <c r="I5865" s="5" t="s">
        <v>14337</v>
      </c>
      <c r="J5865" s="12" t="str">
        <f>HYPERLINK("https://www.boe.es/gazeta/dias/1802/03/16/pdfs/GMD-C-1802-22.pdf#page=8","Abrir facsímil")</f>
        <v>Abrir facsímil</v>
      </c>
      <c r="K5865" s="15" t="s">
        <v>23</v>
      </c>
    </row>
    <row r="5866" spans="1:11" ht="42" customHeight="1">
      <c r="A5866" s="4" t="s">
        <v>14338</v>
      </c>
      <c r="B5866" s="5" t="s">
        <v>14339</v>
      </c>
      <c r="C5866" s="5" t="s">
        <v>29</v>
      </c>
      <c r="D5866" s="5" t="s">
        <v>30</v>
      </c>
      <c r="E5866" s="5" t="s">
        <v>109</v>
      </c>
      <c r="F5866" s="9">
        <v>10</v>
      </c>
      <c r="G5866" s="9">
        <v>98</v>
      </c>
      <c r="H5866" s="5" t="s">
        <v>21</v>
      </c>
      <c r="I5866" s="5" t="s">
        <v>14340</v>
      </c>
      <c r="J5866" s="12" t="str">
        <f>HYPERLINK("https://www.boe.es/gazeta/dias/1802/02/02/pdfs/GMD-1802-10.pdf#page=6","Abrir facsímil")</f>
        <v>Abrir facsímil</v>
      </c>
      <c r="K5866" s="15" t="s">
        <v>23</v>
      </c>
    </row>
    <row r="5867" spans="1:11" ht="42" customHeight="1">
      <c r="A5867" s="4" t="s">
        <v>14341</v>
      </c>
      <c r="B5867" s="5" t="s">
        <v>14342</v>
      </c>
      <c r="C5867" s="5" t="s">
        <v>18</v>
      </c>
      <c r="D5867" s="5" t="s">
        <v>19</v>
      </c>
      <c r="E5867" s="5" t="s">
        <v>20</v>
      </c>
      <c r="F5867" s="9">
        <v>84</v>
      </c>
      <c r="G5867" s="9">
        <v>1042</v>
      </c>
      <c r="H5867" s="5" t="s">
        <v>21</v>
      </c>
      <c r="I5867" s="5" t="s">
        <v>14343</v>
      </c>
      <c r="J5867" s="12" t="str">
        <f>HYPERLINK("https://www.boe.es/gazeta/dias/1802/10/15/pdfs/GMD-1802-84.pdf#page=10","Abrir facsímil")</f>
        <v>Abrir facsímil</v>
      </c>
      <c r="K5867" s="15" t="s">
        <v>23</v>
      </c>
    </row>
    <row r="5868" spans="1:11" ht="42" customHeight="1">
      <c r="A5868" s="4" t="s">
        <v>14344</v>
      </c>
      <c r="B5868" s="5" t="s">
        <v>14345</v>
      </c>
      <c r="C5868" s="5" t="s">
        <v>29</v>
      </c>
      <c r="D5868" s="5" t="s">
        <v>30</v>
      </c>
      <c r="E5868" s="5" t="s">
        <v>86</v>
      </c>
      <c r="F5868" s="9">
        <v>26</v>
      </c>
      <c r="G5868" s="9">
        <v>298</v>
      </c>
      <c r="H5868" s="5" t="s">
        <v>21</v>
      </c>
      <c r="I5868" s="5" t="s">
        <v>14346</v>
      </c>
      <c r="J5868" s="12" t="str">
        <f>HYPERLINK("https://www.boe.es/gazeta/dias/1802/03/30/pdfs/GMD-1802-26.pdf#page=10","Abrir facsímil")</f>
        <v>Abrir facsímil</v>
      </c>
      <c r="K5868" s="15" t="s">
        <v>23</v>
      </c>
    </row>
    <row r="5869" spans="1:11" ht="42" customHeight="1">
      <c r="A5869" s="4" t="s">
        <v>14347</v>
      </c>
      <c r="B5869" s="5" t="s">
        <v>14348</v>
      </c>
      <c r="C5869" s="5" t="s">
        <v>29</v>
      </c>
      <c r="D5869" s="5" t="s">
        <v>30</v>
      </c>
      <c r="E5869" s="5" t="s">
        <v>152</v>
      </c>
      <c r="F5869" s="9">
        <v>25</v>
      </c>
      <c r="G5869" s="9">
        <v>286</v>
      </c>
      <c r="H5869" s="5" t="s">
        <v>21</v>
      </c>
      <c r="I5869" s="5" t="s">
        <v>14349</v>
      </c>
      <c r="J5869" s="12" t="str">
        <f>HYPERLINK("https://www.boe.es/gazeta/dias/1802/03/26/pdfs/GMD-1802-25.pdf#page=10","Abrir facsímil")</f>
        <v>Abrir facsímil</v>
      </c>
      <c r="K5869" s="15" t="s">
        <v>23</v>
      </c>
    </row>
    <row r="5870" spans="1:11" ht="42" customHeight="1">
      <c r="A5870" s="4" t="s">
        <v>14350</v>
      </c>
      <c r="B5870" s="5" t="s">
        <v>14350</v>
      </c>
      <c r="C5870" s="5" t="s">
        <v>29</v>
      </c>
      <c r="D5870" s="5" t="s">
        <v>30</v>
      </c>
      <c r="E5870" s="5" t="s">
        <v>1051</v>
      </c>
      <c r="F5870" s="9">
        <v>43</v>
      </c>
      <c r="G5870" s="9">
        <v>516</v>
      </c>
      <c r="H5870" s="5" t="s">
        <v>21</v>
      </c>
      <c r="I5870" s="5" t="s">
        <v>14351</v>
      </c>
      <c r="J5870" s="12" t="str">
        <f>HYPERLINK("https://www.boe.es/gazeta/dias/1802/05/28/pdfs/GMD-1802-43.pdf#page=8","Abrir facsímil")</f>
        <v>Abrir facsímil</v>
      </c>
      <c r="K5870" s="15" t="s">
        <v>23</v>
      </c>
    </row>
    <row r="5871" spans="1:11" ht="42" customHeight="1">
      <c r="A5871" s="4" t="s">
        <v>14352</v>
      </c>
      <c r="B5871" s="5" t="s">
        <v>14353</v>
      </c>
      <c r="C5871" s="5" t="s">
        <v>18</v>
      </c>
      <c r="D5871" s="5" t="s">
        <v>19</v>
      </c>
      <c r="E5871" s="5" t="s">
        <v>49</v>
      </c>
      <c r="F5871" s="9">
        <v>83</v>
      </c>
      <c r="G5871" s="9">
        <v>1025</v>
      </c>
      <c r="H5871" s="5" t="s">
        <v>21</v>
      </c>
      <c r="I5871" s="5" t="s">
        <v>14354</v>
      </c>
      <c r="J5871" s="12" t="str">
        <f>HYPERLINK("https://www.boe.es/gazeta/dias/1802/10/12/pdfs/GMD-1802-83.pdf#page=13","Abrir facsímil")</f>
        <v>Abrir facsímil</v>
      </c>
      <c r="K5871" s="15" t="s">
        <v>23</v>
      </c>
    </row>
    <row r="5872" spans="1:11" ht="42" customHeight="1">
      <c r="A5872" s="4" t="s">
        <v>14355</v>
      </c>
      <c r="B5872" s="5" t="s">
        <v>14356</v>
      </c>
      <c r="C5872" s="5" t="s">
        <v>18</v>
      </c>
      <c r="D5872" s="5" t="s">
        <v>19</v>
      </c>
      <c r="E5872" s="5" t="s">
        <v>49</v>
      </c>
      <c r="F5872" s="9">
        <v>83</v>
      </c>
      <c r="G5872" s="9">
        <v>1023</v>
      </c>
      <c r="H5872" s="5" t="s">
        <v>21</v>
      </c>
      <c r="I5872" s="5" t="s">
        <v>14357</v>
      </c>
      <c r="J5872" s="12" t="str">
        <f>HYPERLINK("https://www.boe.es/gazeta/dias/1802/10/12/pdfs/GMD-1802-83.pdf#page=11","Abrir facsímil")</f>
        <v>Abrir facsímil</v>
      </c>
      <c r="K5872" s="15" t="s">
        <v>23</v>
      </c>
    </row>
    <row r="5873" spans="1:11" ht="42" customHeight="1">
      <c r="A5873" s="4" t="s">
        <v>14358</v>
      </c>
      <c r="B5873" s="5" t="s">
        <v>14358</v>
      </c>
      <c r="C5873" s="5" t="s">
        <v>29</v>
      </c>
      <c r="D5873" s="5" t="s">
        <v>30</v>
      </c>
      <c r="E5873" s="5" t="s">
        <v>188</v>
      </c>
      <c r="F5873" s="9">
        <v>49</v>
      </c>
      <c r="G5873" s="9">
        <v>592</v>
      </c>
      <c r="H5873" s="5" t="s">
        <v>21</v>
      </c>
      <c r="I5873" s="5" t="s">
        <v>2361</v>
      </c>
      <c r="J5873" s="12" t="str">
        <f>HYPERLINK("https://www.boe.es/gazeta/dias/1802/06/18/pdfs/GMD-1802-49.pdf#page=4","Abrir facsímil")</f>
        <v>Abrir facsímil</v>
      </c>
      <c r="K5873" s="15" t="s">
        <v>23</v>
      </c>
    </row>
    <row r="5874" spans="1:11" ht="42" customHeight="1">
      <c r="A5874" s="4" t="s">
        <v>14359</v>
      </c>
      <c r="B5874" s="5" t="s">
        <v>14360</v>
      </c>
      <c r="C5874" s="5" t="s">
        <v>29</v>
      </c>
      <c r="D5874" s="5" t="s">
        <v>30</v>
      </c>
      <c r="E5874" s="5" t="s">
        <v>71</v>
      </c>
      <c r="F5874" s="9">
        <v>21</v>
      </c>
      <c r="G5874" s="9">
        <v>233</v>
      </c>
      <c r="H5874" s="5" t="s">
        <v>21</v>
      </c>
      <c r="I5874" s="5" t="s">
        <v>14361</v>
      </c>
      <c r="J5874" s="12" t="str">
        <f>HYPERLINK("https://www.boe.es/gazeta/dias/1802/03/12/pdfs/GMD-1802-21.pdf#page=9","Abrir facsímil")</f>
        <v>Abrir facsímil</v>
      </c>
      <c r="K5874" s="15" t="s">
        <v>23</v>
      </c>
    </row>
    <row r="5875" spans="1:11" ht="42" customHeight="1">
      <c r="A5875" s="4" t="s">
        <v>14362</v>
      </c>
      <c r="B5875" s="5" t="s">
        <v>14363</v>
      </c>
      <c r="C5875" s="5" t="s">
        <v>18</v>
      </c>
      <c r="D5875" s="5" t="s">
        <v>19</v>
      </c>
      <c r="E5875" s="5" t="s">
        <v>20</v>
      </c>
      <c r="F5875" s="9">
        <v>84</v>
      </c>
      <c r="G5875" s="9">
        <v>1041</v>
      </c>
      <c r="H5875" s="5" t="s">
        <v>21</v>
      </c>
      <c r="I5875" s="5" t="s">
        <v>14364</v>
      </c>
      <c r="J5875" s="12" t="str">
        <f>HYPERLINK("https://www.boe.es/gazeta/dias/1802/10/15/pdfs/GMD-1802-84.pdf#page=9","Abrir facsímil")</f>
        <v>Abrir facsímil</v>
      </c>
      <c r="K5875" s="15" t="s">
        <v>23</v>
      </c>
    </row>
    <row r="5876" spans="1:11" ht="42" customHeight="1">
      <c r="A5876" s="4" t="s">
        <v>14365</v>
      </c>
      <c r="B5876" s="5" t="s">
        <v>14365</v>
      </c>
      <c r="C5876" s="5" t="s">
        <v>18</v>
      </c>
      <c r="D5876" s="5" t="s">
        <v>19</v>
      </c>
      <c r="E5876" s="5" t="s">
        <v>710</v>
      </c>
      <c r="F5876" s="9">
        <v>85</v>
      </c>
      <c r="G5876" s="9">
        <v>1055</v>
      </c>
      <c r="H5876" s="5" t="s">
        <v>21</v>
      </c>
      <c r="I5876" s="5" t="s">
        <v>14366</v>
      </c>
      <c r="J5876" s="12" t="str">
        <f>HYPERLINK("https://www.boe.es/gazeta/dias/1802/10/19/pdfs/GMD-1802-85.pdf#page=7","Abrir facsímil")</f>
        <v>Abrir facsímil</v>
      </c>
      <c r="K5876" s="15" t="s">
        <v>23</v>
      </c>
    </row>
    <row r="5877" spans="1:11" ht="42" customHeight="1">
      <c r="A5877" s="4" t="s">
        <v>14367</v>
      </c>
      <c r="B5877" s="5" t="s">
        <v>14367</v>
      </c>
      <c r="C5877" s="5" t="s">
        <v>18</v>
      </c>
      <c r="D5877" s="5" t="s">
        <v>19</v>
      </c>
      <c r="E5877" s="5" t="s">
        <v>710</v>
      </c>
      <c r="F5877" s="9">
        <v>85</v>
      </c>
      <c r="G5877" s="9">
        <v>1055</v>
      </c>
      <c r="H5877" s="5" t="s">
        <v>21</v>
      </c>
      <c r="I5877" s="5" t="s">
        <v>14368</v>
      </c>
      <c r="J5877" s="12" t="str">
        <f>HYPERLINK("https://www.boe.es/gazeta/dias/1802/10/19/pdfs/GMD-1802-85.pdf#page=7","Abrir facsímil")</f>
        <v>Abrir facsímil</v>
      </c>
      <c r="K5877" s="15" t="s">
        <v>23</v>
      </c>
    </row>
    <row r="5878" spans="1:11" ht="42" customHeight="1">
      <c r="A5878" s="4" t="s">
        <v>14369</v>
      </c>
      <c r="B5878" s="5" t="s">
        <v>14370</v>
      </c>
      <c r="C5878" s="5" t="s">
        <v>55</v>
      </c>
      <c r="D5878" s="5" t="s">
        <v>56</v>
      </c>
      <c r="E5878" s="5" t="s">
        <v>73</v>
      </c>
      <c r="F5878" s="9">
        <v>102</v>
      </c>
      <c r="G5878" s="9">
        <v>1245</v>
      </c>
      <c r="H5878" s="5" t="s">
        <v>21</v>
      </c>
      <c r="I5878" s="5" t="s">
        <v>14371</v>
      </c>
      <c r="J5878" s="12" t="str">
        <f>HYPERLINK("https://www.boe.es/gazeta/dias/1802/12/17/pdfs/GMD-1802-102.pdf#page=1","Abrir facsímil")</f>
        <v>Abrir facsímil</v>
      </c>
      <c r="K5878" s="15" t="s">
        <v>23</v>
      </c>
    </row>
    <row r="5879" spans="1:11" ht="42" customHeight="1">
      <c r="A5879" s="4" t="s">
        <v>14372</v>
      </c>
      <c r="B5879" s="5" t="s">
        <v>14373</v>
      </c>
      <c r="C5879" s="5" t="s">
        <v>18</v>
      </c>
      <c r="D5879" s="5" t="s">
        <v>19</v>
      </c>
      <c r="E5879" s="5" t="s">
        <v>20</v>
      </c>
      <c r="F5879" s="9">
        <v>84</v>
      </c>
      <c r="G5879" s="9">
        <v>1047</v>
      </c>
      <c r="H5879" s="5" t="s">
        <v>21</v>
      </c>
      <c r="I5879" s="5" t="s">
        <v>14374</v>
      </c>
      <c r="J5879" s="12" t="str">
        <f>HYPERLINK("https://www.boe.es/gazeta/dias/1802/10/15/pdfs/GMD-1802-84.pdf#page=15","Abrir facsímil")</f>
        <v>Abrir facsímil</v>
      </c>
      <c r="K5879" s="15" t="s">
        <v>23</v>
      </c>
    </row>
    <row r="5880" spans="1:11" ht="42" customHeight="1">
      <c r="A5880" s="4" t="s">
        <v>14375</v>
      </c>
      <c r="B5880" s="5" t="s">
        <v>14376</v>
      </c>
      <c r="C5880" s="5" t="s">
        <v>160</v>
      </c>
      <c r="D5880" s="5" t="s">
        <v>91</v>
      </c>
      <c r="E5880" s="5" t="s">
        <v>20</v>
      </c>
      <c r="F5880" s="9">
        <v>84</v>
      </c>
      <c r="G5880" s="9">
        <v>1044</v>
      </c>
      <c r="H5880" s="5" t="s">
        <v>21</v>
      </c>
      <c r="I5880" s="5" t="s">
        <v>14377</v>
      </c>
      <c r="J5880" s="12" t="str">
        <f>HYPERLINK("https://www.boe.es/gazeta/dias/1802/10/15/pdfs/GMD-1802-84.pdf#page=12","Abrir facsímil")</f>
        <v>Abrir facsímil</v>
      </c>
      <c r="K5880" s="15" t="s">
        <v>23</v>
      </c>
    </row>
    <row r="5881" spans="1:11" ht="42" customHeight="1">
      <c r="A5881" s="4" t="s">
        <v>14378</v>
      </c>
      <c r="B5881" s="5" t="s">
        <v>14379</v>
      </c>
      <c r="C5881" s="5" t="s">
        <v>90</v>
      </c>
      <c r="D5881" s="5" t="s">
        <v>91</v>
      </c>
      <c r="E5881" s="5" t="s">
        <v>1097</v>
      </c>
      <c r="F5881" s="9">
        <v>20</v>
      </c>
      <c r="G5881" s="9">
        <v>222</v>
      </c>
      <c r="H5881" s="5" t="s">
        <v>21</v>
      </c>
      <c r="I5881" s="5" t="s">
        <v>14380</v>
      </c>
      <c r="J5881" s="12" t="str">
        <f>HYPERLINK("https://www.boe.es/gazeta/dias/1802/03/09/pdfs/GMD-1802-20.pdf#page=10","Abrir facsímil")</f>
        <v>Abrir facsímil</v>
      </c>
      <c r="K5881" s="15" t="s">
        <v>23</v>
      </c>
    </row>
    <row r="5882" spans="1:11" ht="42" customHeight="1">
      <c r="A5882" s="4" t="s">
        <v>14381</v>
      </c>
      <c r="B5882" s="5" t="s">
        <v>14382</v>
      </c>
      <c r="C5882" s="5" t="s">
        <v>55</v>
      </c>
      <c r="D5882" s="5" t="s">
        <v>56</v>
      </c>
      <c r="E5882" s="5" t="s">
        <v>517</v>
      </c>
      <c r="F5882" s="9">
        <v>61</v>
      </c>
      <c r="G5882" s="9">
        <v>741</v>
      </c>
      <c r="H5882" s="5" t="s">
        <v>21</v>
      </c>
      <c r="I5882" s="5" t="s">
        <v>14383</v>
      </c>
      <c r="J5882" s="12" t="str">
        <f>HYPERLINK("https://www.boe.es/gazeta/dias/1802/07/27/pdfs/GMD-1802-61.pdf#page=9","Abrir facsímil")</f>
        <v>Abrir facsímil</v>
      </c>
      <c r="K5882" s="15" t="s">
        <v>23</v>
      </c>
    </row>
    <row r="5883" spans="1:11" ht="42" customHeight="1">
      <c r="A5883" s="4" t="s">
        <v>14384</v>
      </c>
      <c r="B5883" s="5" t="s">
        <v>14384</v>
      </c>
      <c r="C5883" s="5" t="s">
        <v>18</v>
      </c>
      <c r="D5883" s="5" t="s">
        <v>19</v>
      </c>
      <c r="E5883" s="5" t="s">
        <v>389</v>
      </c>
      <c r="F5883" s="9">
        <v>96</v>
      </c>
      <c r="G5883" s="9">
        <v>1191</v>
      </c>
      <c r="H5883" s="5" t="s">
        <v>21</v>
      </c>
      <c r="I5883" s="5" t="s">
        <v>14385</v>
      </c>
      <c r="J5883" s="12" t="str">
        <f>HYPERLINK("https://www.boe.es/gazeta/dias/1802/11/26/pdfs/GMD-1802-96.pdf#page=11","Abrir facsímil")</f>
        <v>Abrir facsímil</v>
      </c>
      <c r="K5883" s="15" t="s">
        <v>23</v>
      </c>
    </row>
    <row r="5884" spans="1:11" ht="42" customHeight="1">
      <c r="A5884" s="4" t="s">
        <v>14386</v>
      </c>
      <c r="B5884" s="5" t="s">
        <v>14387</v>
      </c>
      <c r="C5884" s="5" t="s">
        <v>90</v>
      </c>
      <c r="D5884" s="5" t="s">
        <v>91</v>
      </c>
      <c r="E5884" s="5" t="s">
        <v>1051</v>
      </c>
      <c r="F5884" s="9">
        <v>43</v>
      </c>
      <c r="G5884" s="9">
        <v>518</v>
      </c>
      <c r="H5884" s="5" t="s">
        <v>21</v>
      </c>
      <c r="I5884" s="5" t="s">
        <v>14388</v>
      </c>
      <c r="J5884" s="12" t="str">
        <f>HYPERLINK("https://www.boe.es/gazeta/dias/1802/05/28/pdfs/GMD-1802-43.pdf#page=10","Abrir facsímil")</f>
        <v>Abrir facsímil</v>
      </c>
      <c r="K5884" s="15" t="s">
        <v>23</v>
      </c>
    </row>
    <row r="5885" spans="1:11" ht="42" customHeight="1">
      <c r="A5885" s="4" t="s">
        <v>14389</v>
      </c>
      <c r="B5885" s="5" t="s">
        <v>14390</v>
      </c>
      <c r="C5885" s="5" t="s">
        <v>90</v>
      </c>
      <c r="D5885" s="5" t="s">
        <v>91</v>
      </c>
      <c r="E5885" s="5" t="s">
        <v>25</v>
      </c>
      <c r="F5885" s="9">
        <v>44</v>
      </c>
      <c r="G5885" s="9">
        <v>535</v>
      </c>
      <c r="H5885" s="5" t="s">
        <v>21</v>
      </c>
      <c r="I5885" s="5" t="s">
        <v>14391</v>
      </c>
      <c r="J5885" s="12" t="str">
        <f>HYPERLINK("https://www.boe.es/gazeta/dias/1802/06/01/pdfs/GMD-1802-44.pdf#page=11","Abrir facsímil")</f>
        <v>Abrir facsímil</v>
      </c>
      <c r="K5885" s="15" t="s">
        <v>23</v>
      </c>
    </row>
    <row r="5886" spans="1:11" ht="42" customHeight="1">
      <c r="A5886" s="4" t="s">
        <v>14392</v>
      </c>
      <c r="B5886" s="5" t="s">
        <v>14393</v>
      </c>
      <c r="C5886" s="5" t="s">
        <v>29</v>
      </c>
      <c r="D5886" s="5" t="s">
        <v>30</v>
      </c>
      <c r="E5886" s="5" t="s">
        <v>170</v>
      </c>
      <c r="F5886" s="9">
        <v>28</v>
      </c>
      <c r="G5886" s="9">
        <v>330</v>
      </c>
      <c r="H5886" s="5" t="s">
        <v>21</v>
      </c>
      <c r="I5886" s="5" t="s">
        <v>14394</v>
      </c>
      <c r="J5886" s="12" t="str">
        <f>HYPERLINK("https://www.boe.es/gazeta/dias/1802/04/06/pdfs/GMD-1802-28.pdf#page=10","Abrir facsímil")</f>
        <v>Abrir facsímil</v>
      </c>
      <c r="K5886" s="15" t="s">
        <v>23</v>
      </c>
    </row>
    <row r="5887" spans="1:11" ht="42" customHeight="1">
      <c r="A5887" s="4" t="s">
        <v>14395</v>
      </c>
      <c r="B5887" s="5" t="s">
        <v>14396</v>
      </c>
      <c r="C5887" s="5" t="s">
        <v>35</v>
      </c>
      <c r="D5887" s="5" t="s">
        <v>36</v>
      </c>
      <c r="E5887" s="5" t="s">
        <v>258</v>
      </c>
      <c r="F5887" s="9">
        <v>63</v>
      </c>
      <c r="G5887" s="9">
        <v>765</v>
      </c>
      <c r="H5887" s="5" t="s">
        <v>21</v>
      </c>
      <c r="I5887" s="5" t="s">
        <v>14397</v>
      </c>
      <c r="J5887" s="12" t="str">
        <f>HYPERLINK("https://www.boe.es/gazeta/dias/1802/08/03/pdfs/GMD-1802-63.pdf#page=5","Abrir facsímil")</f>
        <v>Abrir facsímil</v>
      </c>
      <c r="K5887" s="15" t="s">
        <v>23</v>
      </c>
    </row>
    <row r="5888" spans="1:11" ht="42" customHeight="1">
      <c r="A5888" s="4" t="s">
        <v>14398</v>
      </c>
      <c r="B5888" s="5" t="s">
        <v>14398</v>
      </c>
      <c r="C5888" s="5" t="s">
        <v>35</v>
      </c>
      <c r="D5888" s="5" t="s">
        <v>36</v>
      </c>
      <c r="E5888" s="5" t="s">
        <v>491</v>
      </c>
      <c r="F5888" s="9">
        <v>57</v>
      </c>
      <c r="G5888" s="9">
        <v>686</v>
      </c>
      <c r="H5888" s="5" t="s">
        <v>21</v>
      </c>
      <c r="I5888" s="5" t="s">
        <v>14399</v>
      </c>
      <c r="J5888" s="12" t="str">
        <f>HYPERLINK("https://www.boe.es/gazeta/dias/1802/07/16/pdfs/GMD-1802-57.pdf#page=6","Abrir facsímil")</f>
        <v>Abrir facsímil</v>
      </c>
      <c r="K5888" s="15" t="s">
        <v>23</v>
      </c>
    </row>
    <row r="5889" spans="1:11" ht="42" customHeight="1">
      <c r="A5889" s="4" t="s">
        <v>14398</v>
      </c>
      <c r="B5889" s="5" t="s">
        <v>14398</v>
      </c>
      <c r="C5889" s="5" t="s">
        <v>35</v>
      </c>
      <c r="D5889" s="5" t="s">
        <v>36</v>
      </c>
      <c r="E5889" s="5" t="s">
        <v>764</v>
      </c>
      <c r="F5889" s="9">
        <v>69</v>
      </c>
      <c r="G5889" s="9">
        <v>848</v>
      </c>
      <c r="H5889" s="5" t="s">
        <v>21</v>
      </c>
      <c r="I5889" s="5" t="s">
        <v>14400</v>
      </c>
      <c r="J5889" s="12" t="str">
        <f>HYPERLINK("https://www.boe.es/gazeta/dias/1802/08/24/pdfs/GMD-1802-69.pdf#page=8","Abrir facsímil")</f>
        <v>Abrir facsímil</v>
      </c>
      <c r="K5889" s="15" t="s">
        <v>23</v>
      </c>
    </row>
    <row r="5890" spans="1:11" ht="42" customHeight="1">
      <c r="A5890" s="4" t="s">
        <v>14401</v>
      </c>
      <c r="B5890" s="5" t="s">
        <v>14401</v>
      </c>
      <c r="C5890" s="5" t="s">
        <v>29</v>
      </c>
      <c r="D5890" s="5" t="s">
        <v>30</v>
      </c>
      <c r="E5890" s="5" t="s">
        <v>82</v>
      </c>
      <c r="F5890" s="9">
        <v>74</v>
      </c>
      <c r="G5890" s="9">
        <v>913</v>
      </c>
      <c r="H5890" s="5" t="s">
        <v>21</v>
      </c>
      <c r="I5890" s="5" t="s">
        <v>14402</v>
      </c>
      <c r="J5890" s="12" t="str">
        <f>HYPERLINK("https://www.boe.es/gazeta/dias/1802/09/10/pdfs/GMD-1802-74.pdf#page=9","Abrir facsímil")</f>
        <v>Abrir facsímil</v>
      </c>
      <c r="K5890" s="15" t="s">
        <v>23</v>
      </c>
    </row>
    <row r="5891" spans="1:11" ht="42" customHeight="1">
      <c r="A5891" s="4" t="s">
        <v>14403</v>
      </c>
      <c r="B5891" s="5" t="s">
        <v>14403</v>
      </c>
      <c r="C5891" s="5" t="s">
        <v>29</v>
      </c>
      <c r="D5891" s="5" t="s">
        <v>30</v>
      </c>
      <c r="E5891" s="5" t="s">
        <v>1618</v>
      </c>
      <c r="F5891" s="9">
        <v>31</v>
      </c>
      <c r="G5891" s="9">
        <v>361</v>
      </c>
      <c r="H5891" s="5" t="s">
        <v>21</v>
      </c>
      <c r="I5891" s="5" t="s">
        <v>14404</v>
      </c>
      <c r="J5891" s="12" t="str">
        <f>HYPERLINK("https://www.boe.es/gazeta/dias/1802/04/16/pdfs/GMD-1802-31.pdf#page=5","Abrir facsímil")</f>
        <v>Abrir facsímil</v>
      </c>
      <c r="K5891" s="15" t="s">
        <v>23</v>
      </c>
    </row>
    <row r="5892" spans="1:11" ht="42" customHeight="1">
      <c r="A5892" s="4" t="s">
        <v>14403</v>
      </c>
      <c r="B5892" s="5" t="s">
        <v>14403</v>
      </c>
      <c r="C5892" s="5" t="s">
        <v>35</v>
      </c>
      <c r="D5892" s="5" t="s">
        <v>36</v>
      </c>
      <c r="E5892" s="5" t="s">
        <v>172</v>
      </c>
      <c r="F5892" s="9">
        <v>35</v>
      </c>
      <c r="G5892" s="9">
        <v>408</v>
      </c>
      <c r="H5892" s="5" t="s">
        <v>21</v>
      </c>
      <c r="I5892" s="5" t="s">
        <v>14405</v>
      </c>
      <c r="J5892" s="12" t="str">
        <f>HYPERLINK("https://www.boe.es/gazeta/dias/1802/04/30/pdfs/GMD-1802-35.pdf#page=8","Abrir facsímil")</f>
        <v>Abrir facsímil</v>
      </c>
      <c r="K5892" s="15" t="s">
        <v>23</v>
      </c>
    </row>
    <row r="5893" spans="1:11" ht="42" customHeight="1">
      <c r="A5893" s="4" t="s">
        <v>14403</v>
      </c>
      <c r="B5893" s="5" t="s">
        <v>14403</v>
      </c>
      <c r="C5893" s="5" t="s">
        <v>29</v>
      </c>
      <c r="D5893" s="5" t="s">
        <v>30</v>
      </c>
      <c r="E5893" s="5" t="s">
        <v>1264</v>
      </c>
      <c r="F5893" s="9">
        <v>105</v>
      </c>
      <c r="G5893" s="9">
        <v>1284</v>
      </c>
      <c r="H5893" s="5" t="s">
        <v>21</v>
      </c>
      <c r="I5893" s="5" t="s">
        <v>14406</v>
      </c>
      <c r="J5893" s="12" t="str">
        <f>HYPERLINK("https://www.boe.es/gazeta/dias/1802/12/28/pdfs/GMD-1802-105.pdf#page=8","Abrir facsímil")</f>
        <v>Abrir facsímil</v>
      </c>
      <c r="K5893" s="15" t="s">
        <v>23</v>
      </c>
    </row>
    <row r="5894" spans="1:11" ht="42" customHeight="1">
      <c r="A5894" s="4" t="s">
        <v>14407</v>
      </c>
      <c r="B5894" s="5" t="s">
        <v>14407</v>
      </c>
      <c r="C5894" s="5" t="s">
        <v>35</v>
      </c>
      <c r="D5894" s="5" t="s">
        <v>36</v>
      </c>
      <c r="E5894" s="5" t="s">
        <v>86</v>
      </c>
      <c r="F5894" s="9">
        <v>26</v>
      </c>
      <c r="G5894" s="9">
        <v>295</v>
      </c>
      <c r="H5894" s="5" t="s">
        <v>21</v>
      </c>
      <c r="I5894" s="5" t="s">
        <v>14408</v>
      </c>
      <c r="J5894" s="12" t="str">
        <f>HYPERLINK("https://www.boe.es/gazeta/dias/1802/03/30/pdfs/GMD-1802-26.pdf#page=7","Abrir facsímil")</f>
        <v>Abrir facsímil</v>
      </c>
      <c r="K5894" s="15" t="s">
        <v>23</v>
      </c>
    </row>
    <row r="5895" spans="1:11" ht="42" customHeight="1">
      <c r="A5895" s="4" t="s">
        <v>14407</v>
      </c>
      <c r="B5895" s="5" t="s">
        <v>14407</v>
      </c>
      <c r="C5895" s="5" t="s">
        <v>35</v>
      </c>
      <c r="D5895" s="5" t="s">
        <v>36</v>
      </c>
      <c r="E5895" s="5" t="s">
        <v>1618</v>
      </c>
      <c r="F5895" s="9">
        <v>31</v>
      </c>
      <c r="G5895" s="9">
        <v>361</v>
      </c>
      <c r="H5895" s="5" t="s">
        <v>21</v>
      </c>
      <c r="I5895" s="5" t="s">
        <v>14409</v>
      </c>
      <c r="J5895" s="12" t="str">
        <f>HYPERLINK("https://www.boe.es/gazeta/dias/1802/04/16/pdfs/GMD-1802-31.pdf#page=5","Abrir facsímil")</f>
        <v>Abrir facsímil</v>
      </c>
      <c r="K5895" s="15" t="s">
        <v>23</v>
      </c>
    </row>
    <row r="5896" spans="1:11" ht="42" customHeight="1">
      <c r="A5896" s="4" t="s">
        <v>14407</v>
      </c>
      <c r="B5896" s="5" t="s">
        <v>14407</v>
      </c>
      <c r="C5896" s="5" t="s">
        <v>35</v>
      </c>
      <c r="D5896" s="5" t="s">
        <v>36</v>
      </c>
      <c r="E5896" s="5" t="s">
        <v>181</v>
      </c>
      <c r="F5896" s="9">
        <v>55</v>
      </c>
      <c r="G5896" s="9">
        <v>663</v>
      </c>
      <c r="H5896" s="5" t="s">
        <v>21</v>
      </c>
      <c r="I5896" s="5" t="s">
        <v>14410</v>
      </c>
      <c r="J5896" s="12" t="str">
        <f>HYPERLINK("https://www.boe.es/gazeta/dias/1802/07/09/pdfs/GMD-1802-55.pdf#page=7","Abrir facsímil")</f>
        <v>Abrir facsímil</v>
      </c>
      <c r="K5896" s="15" t="s">
        <v>23</v>
      </c>
    </row>
    <row r="5897" spans="1:11" ht="42" customHeight="1">
      <c r="A5897" s="4" t="s">
        <v>14411</v>
      </c>
      <c r="B5897" s="5" t="s">
        <v>14411</v>
      </c>
      <c r="C5897" s="5" t="s">
        <v>35</v>
      </c>
      <c r="D5897" s="5" t="s">
        <v>36</v>
      </c>
      <c r="E5897" s="5" t="s">
        <v>332</v>
      </c>
      <c r="F5897" s="9">
        <v>24</v>
      </c>
      <c r="G5897" s="9">
        <v>270</v>
      </c>
      <c r="H5897" s="5" t="s">
        <v>21</v>
      </c>
      <c r="I5897" s="5" t="s">
        <v>14412</v>
      </c>
      <c r="J5897" s="12" t="str">
        <f>HYPERLINK("https://www.boe.es/gazeta/dias/1802/03/23/pdfs/GMD-1802-24.pdf#page=6","Abrir facsímil")</f>
        <v>Abrir facsímil</v>
      </c>
      <c r="K5897" s="15" t="s">
        <v>23</v>
      </c>
    </row>
    <row r="5898" spans="1:11" ht="42" customHeight="1">
      <c r="A5898" s="4" t="s">
        <v>14413</v>
      </c>
      <c r="B5898" s="5" t="s">
        <v>14413</v>
      </c>
      <c r="C5898" s="5" t="s">
        <v>29</v>
      </c>
      <c r="D5898" s="5" t="s">
        <v>30</v>
      </c>
      <c r="E5898" s="5" t="s">
        <v>436</v>
      </c>
      <c r="F5898" s="9">
        <v>58</v>
      </c>
      <c r="G5898" s="9">
        <v>693</v>
      </c>
      <c r="H5898" s="5" t="s">
        <v>21</v>
      </c>
      <c r="I5898" s="5" t="s">
        <v>14414</v>
      </c>
      <c r="J5898" s="12" t="str">
        <f>HYPERLINK("https://www.boe.es/gazeta/dias/1802/07/20/pdfs/GMD-1802-58.pdf#page=1","Abrir facsímil")</f>
        <v>Abrir facsímil</v>
      </c>
      <c r="K5898" s="15" t="s">
        <v>23</v>
      </c>
    </row>
    <row r="5899" spans="1:11" ht="42" customHeight="1">
      <c r="A5899" s="4" t="s">
        <v>14415</v>
      </c>
      <c r="B5899" s="5" t="s">
        <v>14415</v>
      </c>
      <c r="C5899" s="5" t="s">
        <v>55</v>
      </c>
      <c r="D5899" s="5" t="s">
        <v>56</v>
      </c>
      <c r="E5899" s="5" t="s">
        <v>196</v>
      </c>
      <c r="F5899" s="9">
        <v>2</v>
      </c>
      <c r="G5899" s="9">
        <v>19</v>
      </c>
      <c r="H5899" s="5" t="s">
        <v>21</v>
      </c>
      <c r="I5899" s="5" t="s">
        <v>14416</v>
      </c>
      <c r="J5899" s="12" t="str">
        <f>HYPERLINK("https://www.boe.es/gazeta/dias/1802/01/05/pdfs/GMD-1802-2.pdf#page=11","Abrir facsímil")</f>
        <v>Abrir facsímil</v>
      </c>
      <c r="K5899" s="15" t="s">
        <v>23</v>
      </c>
    </row>
    <row r="5900" spans="1:11" ht="42" customHeight="1">
      <c r="A5900" s="4" t="s">
        <v>14417</v>
      </c>
      <c r="B5900" s="5" t="s">
        <v>14418</v>
      </c>
      <c r="C5900" s="5" t="s">
        <v>29</v>
      </c>
      <c r="D5900" s="5" t="s">
        <v>30</v>
      </c>
      <c r="E5900" s="5" t="s">
        <v>196</v>
      </c>
      <c r="F5900" s="9">
        <v>2</v>
      </c>
      <c r="G5900" s="9">
        <v>18</v>
      </c>
      <c r="H5900" s="5" t="s">
        <v>21</v>
      </c>
      <c r="I5900" s="5" t="s">
        <v>14419</v>
      </c>
      <c r="J5900" s="12" t="str">
        <f>HYPERLINK("https://www.boe.es/gazeta/dias/1802/01/05/pdfs/GMD-1802-2.pdf#page=10","Abrir facsímil")</f>
        <v>Abrir facsímil</v>
      </c>
      <c r="K5900" s="15" t="s">
        <v>23</v>
      </c>
    </row>
    <row r="5901" spans="1:11" ht="42" customHeight="1">
      <c r="A5901" s="4" t="s">
        <v>14420</v>
      </c>
      <c r="B5901" s="5" t="s">
        <v>14421</v>
      </c>
      <c r="C5901" s="5" t="s">
        <v>29</v>
      </c>
      <c r="D5901" s="5" t="s">
        <v>30</v>
      </c>
      <c r="E5901" s="5" t="s">
        <v>188</v>
      </c>
      <c r="F5901" s="9">
        <v>49</v>
      </c>
      <c r="G5901" s="9">
        <v>599</v>
      </c>
      <c r="H5901" s="5" t="s">
        <v>21</v>
      </c>
      <c r="I5901" s="5" t="s">
        <v>14422</v>
      </c>
      <c r="J5901" s="12" t="str">
        <f>HYPERLINK("https://www.boe.es/gazeta/dias/1802/06/18/pdfs/GMD-1802-49.pdf#page=11","Abrir facsímil")</f>
        <v>Abrir facsímil</v>
      </c>
      <c r="K5901" s="15" t="s">
        <v>23</v>
      </c>
    </row>
    <row r="5902" spans="1:11" ht="42" customHeight="1">
      <c r="A5902" s="4" t="s">
        <v>14423</v>
      </c>
      <c r="B5902" s="5" t="s">
        <v>14424</v>
      </c>
      <c r="C5902" s="5" t="s">
        <v>29</v>
      </c>
      <c r="D5902" s="5" t="s">
        <v>30</v>
      </c>
      <c r="E5902" s="5" t="s">
        <v>183</v>
      </c>
      <c r="F5902" s="9">
        <v>56</v>
      </c>
      <c r="G5902" s="9">
        <v>678</v>
      </c>
      <c r="H5902" s="5" t="s">
        <v>21</v>
      </c>
      <c r="I5902" s="5" t="s">
        <v>14425</v>
      </c>
      <c r="J5902" s="12" t="str">
        <f>HYPERLINK("https://www.boe.es/gazeta/dias/1802/07/13/pdfs/GMD-1802-56.pdf#page=10","Abrir facsímil")</f>
        <v>Abrir facsímil</v>
      </c>
      <c r="K5902" s="15" t="s">
        <v>23</v>
      </c>
    </row>
    <row r="5903" spans="1:11" ht="42" customHeight="1">
      <c r="A5903" s="4" t="s">
        <v>14426</v>
      </c>
      <c r="B5903" s="5" t="s">
        <v>14427</v>
      </c>
      <c r="C5903" s="5" t="s">
        <v>18</v>
      </c>
      <c r="D5903" s="5" t="s">
        <v>19</v>
      </c>
      <c r="E5903" s="5" t="s">
        <v>20</v>
      </c>
      <c r="F5903" s="9">
        <v>84</v>
      </c>
      <c r="G5903" s="9">
        <v>1041</v>
      </c>
      <c r="H5903" s="5" t="s">
        <v>21</v>
      </c>
      <c r="I5903" s="5" t="s">
        <v>14428</v>
      </c>
      <c r="J5903" s="12" t="str">
        <f>HYPERLINK("https://www.boe.es/gazeta/dias/1802/10/15/pdfs/GMD-1802-84.pdf#page=9","Abrir facsímil")</f>
        <v>Abrir facsímil</v>
      </c>
      <c r="K5903" s="15" t="s">
        <v>23</v>
      </c>
    </row>
    <row r="5904" spans="1:11" ht="42" customHeight="1">
      <c r="A5904" s="4" t="s">
        <v>14429</v>
      </c>
      <c r="B5904" s="5" t="s">
        <v>14430</v>
      </c>
      <c r="C5904" s="5" t="s">
        <v>90</v>
      </c>
      <c r="D5904" s="5" t="s">
        <v>91</v>
      </c>
      <c r="E5904" s="5" t="s">
        <v>517</v>
      </c>
      <c r="F5904" s="9">
        <v>61</v>
      </c>
      <c r="G5904" s="9">
        <v>744</v>
      </c>
      <c r="H5904" s="5" t="s">
        <v>21</v>
      </c>
      <c r="I5904" s="5" t="s">
        <v>14431</v>
      </c>
      <c r="J5904" s="12" t="str">
        <f>HYPERLINK("https://www.boe.es/gazeta/dias/1802/07/27/pdfs/GMD-1802-61.pdf#page=12","Abrir facsímil")</f>
        <v>Abrir facsímil</v>
      </c>
      <c r="K5904" s="15" t="s">
        <v>23</v>
      </c>
    </row>
    <row r="5905" spans="1:11" ht="42" customHeight="1">
      <c r="A5905" s="4" t="s">
        <v>14432</v>
      </c>
      <c r="B5905" s="5" t="s">
        <v>14433</v>
      </c>
      <c r="C5905" s="5" t="s">
        <v>18</v>
      </c>
      <c r="D5905" s="5" t="s">
        <v>19</v>
      </c>
      <c r="E5905" s="5" t="s">
        <v>20</v>
      </c>
      <c r="F5905" s="9">
        <v>84</v>
      </c>
      <c r="G5905" s="9">
        <v>1044</v>
      </c>
      <c r="H5905" s="5" t="s">
        <v>21</v>
      </c>
      <c r="I5905" s="5" t="s">
        <v>14434</v>
      </c>
      <c r="J5905" s="12" t="str">
        <f>HYPERLINK("https://www.boe.es/gazeta/dias/1802/10/15/pdfs/GMD-1802-84.pdf#page=12","Abrir facsímil")</f>
        <v>Abrir facsímil</v>
      </c>
      <c r="K5905" s="15" t="s">
        <v>23</v>
      </c>
    </row>
    <row r="5906" spans="1:11" ht="42" customHeight="1">
      <c r="A5906" s="4" t="s">
        <v>14435</v>
      </c>
      <c r="B5906" s="5" t="s">
        <v>14436</v>
      </c>
      <c r="C5906" s="5" t="s">
        <v>18</v>
      </c>
      <c r="D5906" s="5" t="s">
        <v>19</v>
      </c>
      <c r="E5906" s="5" t="s">
        <v>20</v>
      </c>
      <c r="F5906" s="9">
        <v>84</v>
      </c>
      <c r="G5906" s="9">
        <v>1044</v>
      </c>
      <c r="H5906" s="5" t="s">
        <v>21</v>
      </c>
      <c r="I5906" s="5" t="s">
        <v>14437</v>
      </c>
      <c r="J5906" s="12" t="str">
        <f>HYPERLINK("https://www.boe.es/gazeta/dias/1802/10/15/pdfs/GMD-1802-84.pdf#page=12","Abrir facsímil")</f>
        <v>Abrir facsímil</v>
      </c>
      <c r="K5906" s="15" t="s">
        <v>23</v>
      </c>
    </row>
    <row r="5907" spans="1:11" ht="42" customHeight="1">
      <c r="A5907" s="4" t="s">
        <v>14438</v>
      </c>
      <c r="B5907" s="5" t="s">
        <v>14438</v>
      </c>
      <c r="C5907" s="5" t="s">
        <v>35</v>
      </c>
      <c r="D5907" s="5" t="s">
        <v>36</v>
      </c>
      <c r="E5907" s="5" t="s">
        <v>1588</v>
      </c>
      <c r="F5907" s="9">
        <v>18</v>
      </c>
      <c r="G5907" s="9">
        <v>194</v>
      </c>
      <c r="H5907" s="5" t="s">
        <v>21</v>
      </c>
      <c r="I5907" s="5" t="s">
        <v>14439</v>
      </c>
      <c r="J5907" s="12" t="str">
        <f>HYPERLINK("https://www.boe.es/gazeta/dias/1802/03/02/pdfs/GMD-1802-18.pdf#page=6","Abrir facsímil")</f>
        <v>Abrir facsímil</v>
      </c>
      <c r="K5907" s="15" t="s">
        <v>23</v>
      </c>
    </row>
    <row r="5908" spans="1:11" ht="42" customHeight="1">
      <c r="A5908" s="4" t="s">
        <v>14440</v>
      </c>
      <c r="B5908" s="5" t="s">
        <v>14441</v>
      </c>
      <c r="C5908" s="5" t="s">
        <v>35</v>
      </c>
      <c r="D5908" s="5" t="s">
        <v>36</v>
      </c>
      <c r="E5908" s="5" t="s">
        <v>219</v>
      </c>
      <c r="F5908" s="9">
        <v>81</v>
      </c>
      <c r="G5908" s="9">
        <v>991</v>
      </c>
      <c r="H5908" s="5" t="s">
        <v>21</v>
      </c>
      <c r="I5908" s="5" t="s">
        <v>14442</v>
      </c>
      <c r="J5908" s="12" t="str">
        <f>HYPERLINK("https://www.boe.es/gazeta/dias/1802/10/05/pdfs/GMD-1802-81.pdf#page=3","Abrir facsímil")</f>
        <v>Abrir facsímil</v>
      </c>
      <c r="K5908" s="15" t="s">
        <v>23</v>
      </c>
    </row>
    <row r="5909" spans="1:11" ht="42" customHeight="1">
      <c r="A5909" s="4" t="s">
        <v>14443</v>
      </c>
      <c r="B5909" s="5" t="s">
        <v>14444</v>
      </c>
      <c r="C5909" s="5" t="s">
        <v>29</v>
      </c>
      <c r="D5909" s="5" t="s">
        <v>30</v>
      </c>
      <c r="E5909" s="5" t="s">
        <v>907</v>
      </c>
      <c r="F5909" s="9">
        <v>77</v>
      </c>
      <c r="G5909" s="9">
        <v>941</v>
      </c>
      <c r="H5909" s="5" t="s">
        <v>21</v>
      </c>
      <c r="I5909" s="5" t="s">
        <v>14445</v>
      </c>
      <c r="J5909" s="12" t="str">
        <f>HYPERLINK("https://www.boe.es/gazeta/dias/1802/09/21/pdfs/GMD-1802-77.pdf#page=1","Abrir facsímil")</f>
        <v>Abrir facsímil</v>
      </c>
      <c r="K5909" s="15" t="s">
        <v>23</v>
      </c>
    </row>
    <row r="5910" spans="1:11" ht="42" customHeight="1">
      <c r="A5910" s="4" t="s">
        <v>14446</v>
      </c>
      <c r="B5910" s="5" t="s">
        <v>14446</v>
      </c>
      <c r="C5910" s="5" t="s">
        <v>35</v>
      </c>
      <c r="D5910" s="5" t="s">
        <v>36</v>
      </c>
      <c r="E5910" s="5" t="s">
        <v>754</v>
      </c>
      <c r="F5910" s="9">
        <v>101</v>
      </c>
      <c r="G5910" s="9">
        <v>1238</v>
      </c>
      <c r="H5910" s="5" t="s">
        <v>21</v>
      </c>
      <c r="I5910" s="5" t="s">
        <v>14447</v>
      </c>
      <c r="J5910" s="12" t="str">
        <f>HYPERLINK("https://www.boe.es/gazeta/dias/1802/12/14/pdfs/GMD-1802-101.pdf#page=2","Abrir facsímil")</f>
        <v>Abrir facsímil</v>
      </c>
      <c r="K5910" s="15" t="s">
        <v>23</v>
      </c>
    </row>
    <row r="5911" spans="1:11" ht="42" customHeight="1">
      <c r="A5911" s="4" t="s">
        <v>14448</v>
      </c>
      <c r="B5911" s="5" t="s">
        <v>14448</v>
      </c>
      <c r="C5911" s="5" t="s">
        <v>18</v>
      </c>
      <c r="D5911" s="5" t="s">
        <v>19</v>
      </c>
      <c r="E5911" s="5" t="s">
        <v>1749</v>
      </c>
      <c r="F5911" s="9">
        <v>60</v>
      </c>
      <c r="G5911" s="9">
        <v>717</v>
      </c>
      <c r="H5911" s="5" t="s">
        <v>21</v>
      </c>
      <c r="I5911" s="5" t="s">
        <v>14449</v>
      </c>
      <c r="J5911" s="12" t="str">
        <f>HYPERLINK("https://www.boe.es/gazeta/dias/1802/07/23/pdfs/GMD-1802-60.pdf#page=1","Abrir facsímil")</f>
        <v>Abrir facsímil</v>
      </c>
      <c r="K5911" s="15" t="s">
        <v>23</v>
      </c>
    </row>
    <row r="5912" spans="1:11" ht="42" customHeight="1">
      <c r="A5912" s="4" t="s">
        <v>14450</v>
      </c>
      <c r="B5912" s="5" t="s">
        <v>14451</v>
      </c>
      <c r="C5912" s="5" t="s">
        <v>90</v>
      </c>
      <c r="D5912" s="5" t="s">
        <v>91</v>
      </c>
      <c r="E5912" s="5" t="s">
        <v>678</v>
      </c>
      <c r="F5912" s="9">
        <v>15</v>
      </c>
      <c r="G5912" s="9">
        <v>158</v>
      </c>
      <c r="H5912" s="5" t="s">
        <v>21</v>
      </c>
      <c r="I5912" s="5" t="s">
        <v>14452</v>
      </c>
      <c r="J5912" s="12" t="str">
        <f>HYPERLINK("https://www.boe.es/gazeta/dias/1802/02/19/pdfs/GMD-1802-15.pdf#page=10","Abrir facsímil")</f>
        <v>Abrir facsímil</v>
      </c>
      <c r="K5912" s="15" t="s">
        <v>23</v>
      </c>
    </row>
    <row r="5913" spans="1:11" ht="42" customHeight="1">
      <c r="A5913" s="4" t="s">
        <v>14453</v>
      </c>
      <c r="B5913" s="5" t="s">
        <v>14454</v>
      </c>
      <c r="C5913" s="5" t="s">
        <v>18</v>
      </c>
      <c r="D5913" s="5" t="s">
        <v>19</v>
      </c>
      <c r="E5913" s="5" t="s">
        <v>60</v>
      </c>
      <c r="F5913" s="9">
        <v>5</v>
      </c>
      <c r="G5913" s="9">
        <v>51</v>
      </c>
      <c r="H5913" s="5" t="s">
        <v>21</v>
      </c>
      <c r="I5913" s="5" t="s">
        <v>14455</v>
      </c>
      <c r="J5913" s="12" t="str">
        <f>HYPERLINK("https://www.boe.es/gazeta/dias/1802/01/15/pdfs/GMD-1802-5.pdf#page=7","Abrir facsímil")</f>
        <v>Abrir facsímil</v>
      </c>
      <c r="K5913" s="15" t="s">
        <v>23</v>
      </c>
    </row>
    <row r="5914" spans="1:11" ht="42" customHeight="1">
      <c r="A5914" s="4" t="s">
        <v>14456</v>
      </c>
      <c r="B5914" s="5" t="s">
        <v>14457</v>
      </c>
      <c r="C5914" s="5" t="s">
        <v>18</v>
      </c>
      <c r="D5914" s="5" t="s">
        <v>19</v>
      </c>
      <c r="E5914" s="5" t="s">
        <v>1185</v>
      </c>
      <c r="F5914" s="9">
        <v>93</v>
      </c>
      <c r="G5914" s="9">
        <v>1149</v>
      </c>
      <c r="H5914" s="5" t="s">
        <v>21</v>
      </c>
      <c r="I5914" s="5" t="s">
        <v>14458</v>
      </c>
      <c r="J5914" s="12" t="str">
        <f>HYPERLINK("https://www.boe.es/gazeta/dias/1802/11/16/pdfs/GMD-1802-93.pdf#page=9","Abrir facsímil")</f>
        <v>Abrir facsímil</v>
      </c>
      <c r="K5914" s="15" t="s">
        <v>23</v>
      </c>
    </row>
    <row r="5915" spans="1:11" ht="42" customHeight="1">
      <c r="A5915" s="4" t="s">
        <v>14459</v>
      </c>
      <c r="B5915" s="5" t="s">
        <v>14459</v>
      </c>
      <c r="C5915" s="5" t="s">
        <v>29</v>
      </c>
      <c r="D5915" s="5" t="s">
        <v>30</v>
      </c>
      <c r="E5915" s="5" t="s">
        <v>1749</v>
      </c>
      <c r="F5915" s="9">
        <v>60</v>
      </c>
      <c r="G5915" s="9">
        <v>727</v>
      </c>
      <c r="H5915" s="5" t="s">
        <v>21</v>
      </c>
      <c r="I5915" s="5" t="s">
        <v>14460</v>
      </c>
      <c r="J5915" s="12" t="str">
        <f>HYPERLINK("https://www.boe.es/gazeta/dias/1802/07/23/pdfs/GMD-1802-60.pdf#page=11","Abrir facsímil")</f>
        <v>Abrir facsímil</v>
      </c>
      <c r="K5915" s="15" t="s">
        <v>23</v>
      </c>
    </row>
    <row r="5916" spans="1:11" ht="42" customHeight="1">
      <c r="A5916" s="4" t="s">
        <v>14461</v>
      </c>
      <c r="B5916" s="5" t="s">
        <v>14462</v>
      </c>
      <c r="C5916" s="5" t="s">
        <v>18</v>
      </c>
      <c r="D5916" s="5" t="s">
        <v>19</v>
      </c>
      <c r="E5916" s="5" t="s">
        <v>128</v>
      </c>
      <c r="F5916" s="9">
        <v>9</v>
      </c>
      <c r="G5916" s="9">
        <v>90</v>
      </c>
      <c r="H5916" s="5" t="s">
        <v>21</v>
      </c>
      <c r="I5916" s="5" t="s">
        <v>14463</v>
      </c>
      <c r="J5916" s="12" t="str">
        <f>HYPERLINK("https://www.boe.es/gazeta/dias/1802/01/29/pdfs/GMD-1802-9.pdf#page=10","Abrir facsímil")</f>
        <v>Abrir facsímil</v>
      </c>
      <c r="K5916" s="15" t="s">
        <v>23</v>
      </c>
    </row>
    <row r="5917" spans="1:11" ht="42" customHeight="1">
      <c r="A5917" s="4" t="s">
        <v>14464</v>
      </c>
      <c r="B5917" s="5" t="s">
        <v>14465</v>
      </c>
      <c r="C5917" s="5" t="s">
        <v>18</v>
      </c>
      <c r="D5917" s="5" t="s">
        <v>19</v>
      </c>
      <c r="E5917" s="5" t="s">
        <v>49</v>
      </c>
      <c r="F5917" s="9">
        <v>83</v>
      </c>
      <c r="G5917" s="9">
        <v>1025</v>
      </c>
      <c r="H5917" s="5" t="s">
        <v>21</v>
      </c>
      <c r="I5917" s="5" t="s">
        <v>14466</v>
      </c>
      <c r="J5917" s="12" t="str">
        <f>HYPERLINK("https://www.boe.es/gazeta/dias/1802/10/12/pdfs/GMD-1802-83.pdf#page=13","Abrir facsímil")</f>
        <v>Abrir facsímil</v>
      </c>
      <c r="K5917" s="15" t="s">
        <v>23</v>
      </c>
    </row>
    <row r="5918" spans="1:11" ht="42" customHeight="1">
      <c r="A5918" s="4" t="s">
        <v>14467</v>
      </c>
      <c r="B5918" s="5" t="s">
        <v>14468</v>
      </c>
      <c r="C5918" s="5" t="s">
        <v>29</v>
      </c>
      <c r="D5918" s="5" t="s">
        <v>30</v>
      </c>
      <c r="E5918" s="5" t="s">
        <v>886</v>
      </c>
      <c r="F5918" s="9">
        <v>7</v>
      </c>
      <c r="G5918" s="9">
        <v>68</v>
      </c>
      <c r="H5918" s="5" t="s">
        <v>21</v>
      </c>
      <c r="I5918" s="5" t="s">
        <v>14469</v>
      </c>
      <c r="J5918" s="12" t="str">
        <f>HYPERLINK("https://www.boe.es/gazeta/dias/1802/01/22/pdfs/GMD-1802-7.pdf#page=8","Abrir facsímil")</f>
        <v>Abrir facsímil</v>
      </c>
      <c r="K5918" s="15" t="s">
        <v>23</v>
      </c>
    </row>
    <row r="5919" spans="1:11" ht="42" customHeight="1">
      <c r="A5919" s="4" t="s">
        <v>14470</v>
      </c>
      <c r="B5919" s="5" t="s">
        <v>14471</v>
      </c>
      <c r="C5919" s="5" t="s">
        <v>90</v>
      </c>
      <c r="D5919" s="5" t="s">
        <v>91</v>
      </c>
      <c r="E5919" s="5" t="s">
        <v>73</v>
      </c>
      <c r="F5919" s="9">
        <v>102</v>
      </c>
      <c r="G5919" s="9">
        <v>1254</v>
      </c>
      <c r="H5919" s="5" t="s">
        <v>21</v>
      </c>
      <c r="I5919" s="5" t="s">
        <v>14472</v>
      </c>
      <c r="J5919" s="12" t="str">
        <f>HYPERLINK("https://www.boe.es/gazeta/dias/1802/12/17/pdfs/GMD-1802-102.pdf#page=10","Abrir facsímil")</f>
        <v>Abrir facsímil</v>
      </c>
      <c r="K5919" s="15" t="s">
        <v>23</v>
      </c>
    </row>
    <row r="5920" spans="1:11" ht="42" customHeight="1">
      <c r="A5920" s="4" t="s">
        <v>14473</v>
      </c>
      <c r="B5920" s="5" t="s">
        <v>14474</v>
      </c>
      <c r="C5920" s="5" t="s">
        <v>18</v>
      </c>
      <c r="D5920" s="5" t="s">
        <v>19</v>
      </c>
      <c r="E5920" s="5" t="s">
        <v>206</v>
      </c>
      <c r="F5920" s="9">
        <v>22</v>
      </c>
      <c r="G5920" s="9">
        <v>242</v>
      </c>
      <c r="H5920" s="5" t="s">
        <v>21</v>
      </c>
      <c r="I5920" s="5" t="s">
        <v>14475</v>
      </c>
      <c r="J5920" s="12" t="str">
        <f>HYPERLINK("https://www.boe.es/gazeta/dias/1802/03/16/pdfs/GMD-1802-22.pdf#page=10","Abrir facsímil")</f>
        <v>Abrir facsímil</v>
      </c>
      <c r="K5920" s="15" t="s">
        <v>23</v>
      </c>
    </row>
    <row r="5921" spans="1:11" ht="42" customHeight="1">
      <c r="A5921" s="4" t="s">
        <v>14473</v>
      </c>
      <c r="B5921" s="5" t="s">
        <v>14474</v>
      </c>
      <c r="C5921" s="5" t="s">
        <v>18</v>
      </c>
      <c r="D5921" s="5" t="s">
        <v>19</v>
      </c>
      <c r="E5921" s="5" t="s">
        <v>49</v>
      </c>
      <c r="F5921" s="9">
        <v>83</v>
      </c>
      <c r="G5921" s="9">
        <v>1023</v>
      </c>
      <c r="H5921" s="5" t="s">
        <v>21</v>
      </c>
      <c r="I5921" s="5" t="s">
        <v>14476</v>
      </c>
      <c r="J5921" s="12" t="str">
        <f>HYPERLINK("https://www.boe.es/gazeta/dias/1802/10/12/pdfs/GMD-1802-83.pdf#page=11","Abrir facsímil")</f>
        <v>Abrir facsímil</v>
      </c>
      <c r="K5921" s="15" t="s">
        <v>23</v>
      </c>
    </row>
    <row r="5922" spans="1:11" ht="42" customHeight="1">
      <c r="A5922" s="4" t="s">
        <v>14477</v>
      </c>
      <c r="B5922" s="5" t="s">
        <v>14478</v>
      </c>
      <c r="C5922" s="5" t="s">
        <v>90</v>
      </c>
      <c r="D5922" s="5" t="s">
        <v>91</v>
      </c>
      <c r="E5922" s="5" t="s">
        <v>678</v>
      </c>
      <c r="F5922" s="9">
        <v>15</v>
      </c>
      <c r="G5922" s="9">
        <v>158</v>
      </c>
      <c r="H5922" s="5" t="s">
        <v>21</v>
      </c>
      <c r="I5922" s="5" t="s">
        <v>14479</v>
      </c>
      <c r="J5922" s="12" t="str">
        <f>HYPERLINK("https://www.boe.es/gazeta/dias/1802/02/19/pdfs/GMD-1802-15.pdf#page=10","Abrir facsímil")</f>
        <v>Abrir facsímil</v>
      </c>
      <c r="K5922" s="15" t="s">
        <v>23</v>
      </c>
    </row>
    <row r="5923" spans="1:11" ht="42" customHeight="1">
      <c r="A5923" s="4" t="s">
        <v>14480</v>
      </c>
      <c r="B5923" s="5" t="s">
        <v>14481</v>
      </c>
      <c r="C5923" s="5" t="s">
        <v>42</v>
      </c>
      <c r="D5923" s="5" t="s">
        <v>43</v>
      </c>
      <c r="E5923" s="5" t="s">
        <v>44</v>
      </c>
      <c r="F5923" s="9">
        <v>99</v>
      </c>
      <c r="G5923" s="9" t="s">
        <v>779</v>
      </c>
      <c r="H5923" s="5" t="s">
        <v>21</v>
      </c>
      <c r="I5923" s="5" t="s">
        <v>14482</v>
      </c>
      <c r="J5923" s="12" t="str">
        <f>HYPERLINK("https://www.boe.es/gazeta/dias/1802/12/07/pdfs/GMD-D-1802-99.pdf#page=13","Abrir facsímil")</f>
        <v>Abrir facsímil</v>
      </c>
      <c r="K5923" s="15" t="s">
        <v>23</v>
      </c>
    </row>
    <row r="5924" spans="1:11" ht="42" customHeight="1">
      <c r="A5924" s="4" t="s">
        <v>14483</v>
      </c>
      <c r="B5924" s="5" t="s">
        <v>14484</v>
      </c>
      <c r="C5924" s="5" t="s">
        <v>42</v>
      </c>
      <c r="D5924" s="5" t="s">
        <v>43</v>
      </c>
      <c r="E5924" s="5" t="s">
        <v>44</v>
      </c>
      <c r="F5924" s="9">
        <v>99</v>
      </c>
      <c r="G5924" s="9" t="s">
        <v>554</v>
      </c>
      <c r="H5924" s="5" t="s">
        <v>21</v>
      </c>
      <c r="I5924" s="5" t="s">
        <v>14485</v>
      </c>
      <c r="J5924" s="12" t="str">
        <f>HYPERLINK("https://www.boe.es/gazeta/dias/1802/12/07/pdfs/GMD-D-1802-99.pdf#page=4","Abrir facsímil")</f>
        <v>Abrir facsímil</v>
      </c>
      <c r="K5924" s="15" t="s">
        <v>23</v>
      </c>
    </row>
    <row r="5925" spans="1:11" ht="42" customHeight="1">
      <c r="A5925" s="4" t="s">
        <v>14486</v>
      </c>
      <c r="B5925" s="5" t="s">
        <v>14487</v>
      </c>
      <c r="C5925" s="5" t="s">
        <v>18</v>
      </c>
      <c r="D5925" s="5" t="s">
        <v>19</v>
      </c>
      <c r="E5925" s="5" t="s">
        <v>49</v>
      </c>
      <c r="F5925" s="9">
        <v>83</v>
      </c>
      <c r="G5925" s="9">
        <v>1024</v>
      </c>
      <c r="H5925" s="5" t="s">
        <v>21</v>
      </c>
      <c r="I5925" s="5" t="s">
        <v>14488</v>
      </c>
      <c r="J5925" s="12" t="str">
        <f>HYPERLINK("https://www.boe.es/gazeta/dias/1802/10/12/pdfs/GMD-1802-83.pdf#page=12","Abrir facsímil")</f>
        <v>Abrir facsímil</v>
      </c>
      <c r="K5925" s="15" t="s">
        <v>23</v>
      </c>
    </row>
    <row r="5926" spans="1:11" ht="42" customHeight="1">
      <c r="A5926" s="4" t="s">
        <v>14489</v>
      </c>
      <c r="B5926" s="5" t="s">
        <v>14489</v>
      </c>
      <c r="C5926" s="5" t="s">
        <v>35</v>
      </c>
      <c r="D5926" s="5" t="s">
        <v>36</v>
      </c>
      <c r="E5926" s="5" t="s">
        <v>131</v>
      </c>
      <c r="F5926" s="9">
        <v>11</v>
      </c>
      <c r="G5926" s="9">
        <v>110</v>
      </c>
      <c r="H5926" s="5" t="s">
        <v>21</v>
      </c>
      <c r="I5926" s="5" t="s">
        <v>14490</v>
      </c>
      <c r="J5926" s="12" t="str">
        <f>HYPERLINK("https://www.boe.es/gazeta/dias/1802/02/05/pdfs/GMD-1802-11.pdf#page=6","Abrir facsímil")</f>
        <v>Abrir facsímil</v>
      </c>
      <c r="K5926" s="15" t="s">
        <v>23</v>
      </c>
    </row>
    <row r="5927" spans="1:11" ht="42" customHeight="1">
      <c r="A5927" s="4" t="s">
        <v>14491</v>
      </c>
      <c r="B5927" s="5" t="s">
        <v>14492</v>
      </c>
      <c r="C5927" s="5" t="s">
        <v>90</v>
      </c>
      <c r="D5927" s="5" t="s">
        <v>91</v>
      </c>
      <c r="E5927" s="5" t="s">
        <v>670</v>
      </c>
      <c r="F5927" s="9">
        <v>40</v>
      </c>
      <c r="G5927" s="9">
        <v>481</v>
      </c>
      <c r="H5927" s="5" t="s">
        <v>21</v>
      </c>
      <c r="I5927" s="5" t="s">
        <v>14493</v>
      </c>
      <c r="J5927" s="12" t="str">
        <f>HYPERLINK("https://www.boe.es/gazeta/dias/1802/05/18/pdfs/GMD-1802-40.pdf#page=9","Abrir facsímil")</f>
        <v>Abrir facsímil</v>
      </c>
      <c r="K5927" s="15" t="s">
        <v>23</v>
      </c>
    </row>
    <row r="5928" spans="1:11" ht="42" customHeight="1">
      <c r="A5928" s="4" t="s">
        <v>14494</v>
      </c>
      <c r="B5928" s="5" t="s">
        <v>14494</v>
      </c>
      <c r="C5928" s="5" t="s">
        <v>18</v>
      </c>
      <c r="D5928" s="5" t="s">
        <v>19</v>
      </c>
      <c r="E5928" s="5" t="s">
        <v>530</v>
      </c>
      <c r="F5928" s="9">
        <v>48</v>
      </c>
      <c r="G5928" s="9">
        <v>579</v>
      </c>
      <c r="H5928" s="5" t="s">
        <v>21</v>
      </c>
      <c r="I5928" s="5" t="s">
        <v>14495</v>
      </c>
      <c r="J5928" s="12" t="str">
        <f>HYPERLINK("https://www.boe.es/gazeta/dias/1802/06/15/pdfs/GMD-1802-48.pdf#page=3","Abrir facsímil")</f>
        <v>Abrir facsímil</v>
      </c>
      <c r="K5928" s="15" t="s">
        <v>23</v>
      </c>
    </row>
    <row r="5929" spans="1:11" ht="42" customHeight="1">
      <c r="A5929" s="4" t="s">
        <v>14496</v>
      </c>
      <c r="B5929" s="5" t="s">
        <v>14496</v>
      </c>
      <c r="C5929" s="5" t="s">
        <v>35</v>
      </c>
      <c r="D5929" s="5" t="s">
        <v>36</v>
      </c>
      <c r="E5929" s="5" t="s">
        <v>491</v>
      </c>
      <c r="F5929" s="9">
        <v>57</v>
      </c>
      <c r="G5929" s="9">
        <v>683</v>
      </c>
      <c r="H5929" s="5" t="s">
        <v>21</v>
      </c>
      <c r="I5929" s="5" t="s">
        <v>14497</v>
      </c>
      <c r="J5929" s="12" t="str">
        <f>HYPERLINK("https://www.boe.es/gazeta/dias/1802/07/16/pdfs/GMD-1802-57.pdf#page=3","Abrir facsímil")</f>
        <v>Abrir facsímil</v>
      </c>
      <c r="K5929" s="15" t="s">
        <v>23</v>
      </c>
    </row>
    <row r="5930" spans="1:11" ht="42" customHeight="1">
      <c r="A5930" s="4" t="s">
        <v>14498</v>
      </c>
      <c r="B5930" s="5" t="s">
        <v>14498</v>
      </c>
      <c r="C5930" s="5" t="s">
        <v>35</v>
      </c>
      <c r="D5930" s="5" t="s">
        <v>36</v>
      </c>
      <c r="E5930" s="5" t="s">
        <v>188</v>
      </c>
      <c r="F5930" s="9">
        <v>49</v>
      </c>
      <c r="G5930" s="9">
        <v>590</v>
      </c>
      <c r="H5930" s="5" t="s">
        <v>21</v>
      </c>
      <c r="I5930" s="5" t="s">
        <v>14499</v>
      </c>
      <c r="J5930" s="12" t="str">
        <f>HYPERLINK("https://www.boe.es/gazeta/dias/1802/06/18/pdfs/GMD-1802-49.pdf#page=2","Abrir facsímil")</f>
        <v>Abrir facsímil</v>
      </c>
      <c r="K5930" s="15" t="s">
        <v>23</v>
      </c>
    </row>
    <row r="5931" spans="1:11" ht="42" customHeight="1">
      <c r="A5931" s="4" t="s">
        <v>14500</v>
      </c>
      <c r="B5931" s="5" t="s">
        <v>14501</v>
      </c>
      <c r="C5931" s="5" t="s">
        <v>160</v>
      </c>
      <c r="D5931" s="5" t="s">
        <v>91</v>
      </c>
      <c r="E5931" s="5" t="s">
        <v>37</v>
      </c>
      <c r="F5931" s="9">
        <v>106</v>
      </c>
      <c r="G5931" s="9">
        <v>1296</v>
      </c>
      <c r="H5931" s="5" t="s">
        <v>21</v>
      </c>
      <c r="I5931" s="5" t="s">
        <v>14502</v>
      </c>
      <c r="J5931" s="12" t="str">
        <f>HYPERLINK("https://www.boe.es/gazeta/dias/1802/12/31/pdfs/GMD-1802-106.pdf#page=8","Abrir facsímil")</f>
        <v>Abrir facsímil</v>
      </c>
      <c r="K5931" s="15" t="s">
        <v>23</v>
      </c>
    </row>
    <row r="5932" spans="1:11" ht="42" customHeight="1">
      <c r="A5932" s="4" t="s">
        <v>14503</v>
      </c>
      <c r="B5932" s="5" t="s">
        <v>14504</v>
      </c>
      <c r="C5932" s="5" t="s">
        <v>160</v>
      </c>
      <c r="D5932" s="5" t="s">
        <v>91</v>
      </c>
      <c r="E5932" s="5" t="s">
        <v>590</v>
      </c>
      <c r="F5932" s="9">
        <v>38</v>
      </c>
      <c r="G5932" s="9">
        <v>455</v>
      </c>
      <c r="H5932" s="5" t="s">
        <v>21</v>
      </c>
      <c r="I5932" s="5" t="s">
        <v>14505</v>
      </c>
      <c r="J5932" s="12" t="str">
        <f>HYPERLINK("https://www.boe.es/gazeta/dias/1802/05/11/pdfs/GMD-1802-38.pdf#page=11","Abrir facsímil")</f>
        <v>Abrir facsímil</v>
      </c>
      <c r="K5932" s="15" t="s">
        <v>23</v>
      </c>
    </row>
    <row r="5933" spans="1:11" ht="42" customHeight="1">
      <c r="A5933" s="4" t="s">
        <v>14503</v>
      </c>
      <c r="B5933" s="5" t="s">
        <v>14504</v>
      </c>
      <c r="C5933" s="5" t="s">
        <v>160</v>
      </c>
      <c r="D5933" s="5" t="s">
        <v>91</v>
      </c>
      <c r="E5933" s="5" t="s">
        <v>823</v>
      </c>
      <c r="F5933" s="9">
        <v>94</v>
      </c>
      <c r="G5933" s="9">
        <v>1164</v>
      </c>
      <c r="H5933" s="5" t="s">
        <v>21</v>
      </c>
      <c r="I5933" s="5" t="s">
        <v>14506</v>
      </c>
      <c r="J5933" s="12" t="str">
        <f>HYPERLINK("https://www.boe.es/gazeta/dias/1802/11/19/pdfs/GMD-1802-94.pdf#page=12","Abrir facsímil")</f>
        <v>Abrir facsímil</v>
      </c>
      <c r="K5933" s="15" t="s">
        <v>23</v>
      </c>
    </row>
    <row r="5934" spans="1:11" ht="42" customHeight="1">
      <c r="A5934" s="4" t="s">
        <v>14507</v>
      </c>
      <c r="B5934" s="5" t="s">
        <v>14507</v>
      </c>
      <c r="C5934" s="5" t="s">
        <v>29</v>
      </c>
      <c r="D5934" s="5" t="s">
        <v>30</v>
      </c>
      <c r="E5934" s="5" t="s">
        <v>172</v>
      </c>
      <c r="F5934" s="9">
        <v>35</v>
      </c>
      <c r="G5934" s="9">
        <v>411</v>
      </c>
      <c r="H5934" s="5" t="s">
        <v>21</v>
      </c>
      <c r="I5934" s="5" t="s">
        <v>14508</v>
      </c>
      <c r="J5934" s="12" t="str">
        <f>HYPERLINK("https://www.boe.es/gazeta/dias/1802/04/30/pdfs/GMD-1802-35.pdf#page=11","Abrir facsímil")</f>
        <v>Abrir facsímil</v>
      </c>
      <c r="K5934" s="15" t="s">
        <v>23</v>
      </c>
    </row>
    <row r="5935" spans="1:11" ht="42" customHeight="1">
      <c r="A5935" s="4" t="s">
        <v>14509</v>
      </c>
      <c r="B5935" s="5" t="s">
        <v>14510</v>
      </c>
      <c r="C5935" s="5" t="s">
        <v>29</v>
      </c>
      <c r="D5935" s="5" t="s">
        <v>30</v>
      </c>
      <c r="E5935" s="5" t="s">
        <v>49</v>
      </c>
      <c r="F5935" s="9">
        <v>83</v>
      </c>
      <c r="G5935" s="9">
        <v>1020</v>
      </c>
      <c r="H5935" s="5" t="s">
        <v>21</v>
      </c>
      <c r="I5935" s="5" t="s">
        <v>14511</v>
      </c>
      <c r="J5935" s="12" t="str">
        <f>HYPERLINK("https://www.boe.es/gazeta/dias/1802/10/12/pdfs/GMD-1802-83.pdf#page=8","Abrir facsímil")</f>
        <v>Abrir facsímil</v>
      </c>
      <c r="K5935" s="15" t="s">
        <v>23</v>
      </c>
    </row>
    <row r="5936" spans="1:11" ht="42" customHeight="1">
      <c r="A5936" s="4" t="s">
        <v>14512</v>
      </c>
      <c r="B5936" s="5" t="s">
        <v>14513</v>
      </c>
      <c r="C5936" s="5" t="s">
        <v>90</v>
      </c>
      <c r="D5936" s="5" t="s">
        <v>91</v>
      </c>
      <c r="E5936" s="5" t="s">
        <v>1097</v>
      </c>
      <c r="F5936" s="9">
        <v>20</v>
      </c>
      <c r="G5936" s="9">
        <v>222</v>
      </c>
      <c r="H5936" s="5" t="s">
        <v>21</v>
      </c>
      <c r="I5936" s="5" t="s">
        <v>14514</v>
      </c>
      <c r="J5936" s="12" t="str">
        <f>HYPERLINK("https://www.boe.es/gazeta/dias/1802/03/09/pdfs/GMD-1802-20.pdf#page=10","Abrir facsímil")</f>
        <v>Abrir facsímil</v>
      </c>
      <c r="K5936" s="15" t="s">
        <v>23</v>
      </c>
    </row>
    <row r="5937" spans="1:11" ht="42" customHeight="1">
      <c r="A5937" s="4" t="s">
        <v>14515</v>
      </c>
      <c r="B5937" s="5" t="s">
        <v>14516</v>
      </c>
      <c r="C5937" s="5" t="s">
        <v>18</v>
      </c>
      <c r="D5937" s="5" t="s">
        <v>19</v>
      </c>
      <c r="E5937" s="5" t="s">
        <v>20</v>
      </c>
      <c r="F5937" s="9">
        <v>84</v>
      </c>
      <c r="G5937" s="9">
        <v>1047</v>
      </c>
      <c r="H5937" s="5" t="s">
        <v>21</v>
      </c>
      <c r="I5937" s="5" t="s">
        <v>14517</v>
      </c>
      <c r="J5937" s="12" t="str">
        <f>HYPERLINK("https://www.boe.es/gazeta/dias/1802/10/15/pdfs/GMD-1802-84.pdf#page=15","Abrir facsímil")</f>
        <v>Abrir facsímil</v>
      </c>
      <c r="K5937" s="15" t="s">
        <v>23</v>
      </c>
    </row>
    <row r="5938" spans="1:11" ht="42" customHeight="1">
      <c r="A5938" s="4" t="s">
        <v>14518</v>
      </c>
      <c r="B5938" s="5" t="s">
        <v>14519</v>
      </c>
      <c r="C5938" s="5" t="s">
        <v>18</v>
      </c>
      <c r="D5938" s="5" t="s">
        <v>19</v>
      </c>
      <c r="E5938" s="5" t="s">
        <v>20</v>
      </c>
      <c r="F5938" s="9">
        <v>84</v>
      </c>
      <c r="G5938" s="9">
        <v>1040</v>
      </c>
      <c r="H5938" s="5" t="s">
        <v>21</v>
      </c>
      <c r="I5938" s="5" t="s">
        <v>14520</v>
      </c>
      <c r="J5938" s="12" t="str">
        <f>HYPERLINK("https://www.boe.es/gazeta/dias/1802/10/15/pdfs/GMD-1802-84.pdf#page=8","Abrir facsímil")</f>
        <v>Abrir facsímil</v>
      </c>
      <c r="K5938" s="15" t="s">
        <v>23</v>
      </c>
    </row>
    <row r="5939" spans="1:11" ht="42" customHeight="1">
      <c r="A5939" s="4" t="s">
        <v>14521</v>
      </c>
      <c r="B5939" s="5" t="s">
        <v>14522</v>
      </c>
      <c r="C5939" s="5" t="s">
        <v>18</v>
      </c>
      <c r="D5939" s="5" t="s">
        <v>19</v>
      </c>
      <c r="E5939" s="5" t="s">
        <v>49</v>
      </c>
      <c r="F5939" s="9">
        <v>83</v>
      </c>
      <c r="G5939" s="9">
        <v>1025</v>
      </c>
      <c r="H5939" s="5" t="s">
        <v>21</v>
      </c>
      <c r="I5939" s="5" t="s">
        <v>14523</v>
      </c>
      <c r="J5939" s="12" t="str">
        <f>HYPERLINK("https://www.boe.es/gazeta/dias/1802/10/12/pdfs/GMD-1802-83.pdf#page=13","Abrir facsímil")</f>
        <v>Abrir facsímil</v>
      </c>
      <c r="K5939" s="15" t="s">
        <v>23</v>
      </c>
    </row>
    <row r="5940" spans="1:11" ht="42" customHeight="1">
      <c r="A5940" s="4" t="s">
        <v>14524</v>
      </c>
      <c r="B5940" s="5" t="s">
        <v>14525</v>
      </c>
      <c r="C5940" s="5" t="s">
        <v>18</v>
      </c>
      <c r="D5940" s="5" t="s">
        <v>19</v>
      </c>
      <c r="E5940" s="5" t="s">
        <v>49</v>
      </c>
      <c r="F5940" s="9">
        <v>83</v>
      </c>
      <c r="G5940" s="9">
        <v>1024</v>
      </c>
      <c r="H5940" s="5" t="s">
        <v>21</v>
      </c>
      <c r="I5940" s="5" t="s">
        <v>14526</v>
      </c>
      <c r="J5940" s="12" t="str">
        <f>HYPERLINK("https://www.boe.es/gazeta/dias/1802/10/12/pdfs/GMD-1802-83.pdf#page=12","Abrir facsímil")</f>
        <v>Abrir facsímil</v>
      </c>
      <c r="K5940" s="15" t="s">
        <v>23</v>
      </c>
    </row>
    <row r="5941" spans="1:11" ht="42" customHeight="1">
      <c r="A5941" s="4" t="s">
        <v>14527</v>
      </c>
      <c r="B5941" s="5" t="s">
        <v>14528</v>
      </c>
      <c r="C5941" s="5" t="s">
        <v>18</v>
      </c>
      <c r="D5941" s="5" t="s">
        <v>19</v>
      </c>
      <c r="E5941" s="5" t="s">
        <v>146</v>
      </c>
      <c r="F5941" s="9">
        <v>42</v>
      </c>
      <c r="G5941" s="9">
        <v>505</v>
      </c>
      <c r="H5941" s="5" t="s">
        <v>21</v>
      </c>
      <c r="I5941" s="5" t="s">
        <v>14529</v>
      </c>
      <c r="J5941" s="12" t="str">
        <f>HYPERLINK("https://www.boe.es/gazeta/dias/1802/05/25/pdfs/GMD-1802-42.pdf#page=9","Abrir facsímil")</f>
        <v>Abrir facsímil</v>
      </c>
      <c r="K5941" s="15" t="s">
        <v>23</v>
      </c>
    </row>
    <row r="5942" spans="1:11" ht="42" customHeight="1">
      <c r="A5942" s="4" t="s">
        <v>14530</v>
      </c>
      <c r="B5942" s="5" t="s">
        <v>14531</v>
      </c>
      <c r="C5942" s="5" t="s">
        <v>18</v>
      </c>
      <c r="D5942" s="5" t="s">
        <v>19</v>
      </c>
      <c r="E5942" s="5" t="s">
        <v>152</v>
      </c>
      <c r="F5942" s="9">
        <v>25</v>
      </c>
      <c r="G5942" s="9">
        <v>285</v>
      </c>
      <c r="H5942" s="5" t="s">
        <v>21</v>
      </c>
      <c r="I5942" s="5" t="s">
        <v>14532</v>
      </c>
      <c r="J5942" s="12" t="str">
        <f>HYPERLINK("https://www.boe.es/gazeta/dias/1802/03/26/pdfs/GMD-1802-25.pdf#page=9","Abrir facsímil")</f>
        <v>Abrir facsímil</v>
      </c>
      <c r="K5942" s="15" t="s">
        <v>23</v>
      </c>
    </row>
    <row r="5943" spans="1:11" ht="42" customHeight="1">
      <c r="A5943" s="4" t="s">
        <v>14530</v>
      </c>
      <c r="B5943" s="5" t="s">
        <v>14531</v>
      </c>
      <c r="C5943" s="5" t="s">
        <v>29</v>
      </c>
      <c r="D5943" s="5" t="s">
        <v>30</v>
      </c>
      <c r="E5943" s="5" t="s">
        <v>604</v>
      </c>
      <c r="F5943" s="9">
        <v>100</v>
      </c>
      <c r="G5943" s="9">
        <v>1235</v>
      </c>
      <c r="H5943" s="5" t="s">
        <v>21</v>
      </c>
      <c r="I5943" s="5" t="s">
        <v>14533</v>
      </c>
      <c r="J5943" s="12" t="str">
        <f>HYPERLINK("https://www.boe.es/gazeta/dias/1802/12/10/pdfs/GMD-1802-100.pdf#page=7","Abrir facsímil")</f>
        <v>Abrir facsímil</v>
      </c>
      <c r="K5943" s="15" t="s">
        <v>23</v>
      </c>
    </row>
    <row r="5944" spans="1:11" ht="42" customHeight="1">
      <c r="A5944" s="4" t="s">
        <v>14534</v>
      </c>
      <c r="B5944" s="5" t="s">
        <v>14535</v>
      </c>
      <c r="C5944" s="5" t="s">
        <v>55</v>
      </c>
      <c r="D5944" s="5" t="s">
        <v>56</v>
      </c>
      <c r="E5944" s="5" t="s">
        <v>655</v>
      </c>
      <c r="F5944" s="9">
        <v>46</v>
      </c>
      <c r="G5944" s="9">
        <v>562</v>
      </c>
      <c r="H5944" s="5" t="s">
        <v>21</v>
      </c>
      <c r="I5944" s="5" t="s">
        <v>14536</v>
      </c>
      <c r="J5944" s="12" t="str">
        <f>HYPERLINK("https://www.boe.es/gazeta/dias/1802/06/08/pdfs/GMD-1802-46.pdf#page=14","Abrir facsímil")</f>
        <v>Abrir facsímil</v>
      </c>
      <c r="K5944" s="15" t="s">
        <v>23</v>
      </c>
    </row>
    <row r="5945" spans="1:11" ht="42" customHeight="1">
      <c r="A5945" s="4" t="s">
        <v>14537</v>
      </c>
      <c r="B5945" s="5" t="s">
        <v>14538</v>
      </c>
      <c r="C5945" s="5" t="s">
        <v>29</v>
      </c>
      <c r="D5945" s="5" t="s">
        <v>30</v>
      </c>
      <c r="E5945" s="5" t="s">
        <v>146</v>
      </c>
      <c r="F5945" s="9">
        <v>42</v>
      </c>
      <c r="G5945" s="9">
        <v>504</v>
      </c>
      <c r="H5945" s="5" t="s">
        <v>21</v>
      </c>
      <c r="I5945" s="5" t="s">
        <v>14539</v>
      </c>
      <c r="J5945" s="12" t="str">
        <f>HYPERLINK("https://www.boe.es/gazeta/dias/1802/05/25/pdfs/GMD-1802-42.pdf#page=8","Abrir facsímil")</f>
        <v>Abrir facsímil</v>
      </c>
      <c r="K5945" s="15" t="s">
        <v>23</v>
      </c>
    </row>
    <row r="5946" spans="1:11" ht="42" customHeight="1">
      <c r="A5946" s="4" t="s">
        <v>14540</v>
      </c>
      <c r="B5946" s="5" t="s">
        <v>14541</v>
      </c>
      <c r="C5946" s="5" t="s">
        <v>29</v>
      </c>
      <c r="D5946" s="5" t="s">
        <v>30</v>
      </c>
      <c r="E5946" s="5" t="s">
        <v>175</v>
      </c>
      <c r="F5946" s="9">
        <v>37</v>
      </c>
      <c r="G5946" s="9">
        <v>442</v>
      </c>
      <c r="H5946" s="5" t="s">
        <v>21</v>
      </c>
      <c r="I5946" s="5" t="s">
        <v>14542</v>
      </c>
      <c r="J5946" s="12" t="str">
        <f>HYPERLINK("https://www.boe.es/gazeta/dias/1802/05/07/pdfs/GMD-1802-37.pdf#page=10","Abrir facsímil")</f>
        <v>Abrir facsímil</v>
      </c>
      <c r="K5946" s="15" t="s">
        <v>23</v>
      </c>
    </row>
    <row r="5947" spans="1:11" ht="42" customHeight="1">
      <c r="A5947" s="4" t="s">
        <v>14543</v>
      </c>
      <c r="B5947" s="5" t="s">
        <v>14544</v>
      </c>
      <c r="C5947" s="5" t="s">
        <v>90</v>
      </c>
      <c r="D5947" s="5" t="s">
        <v>91</v>
      </c>
      <c r="E5947" s="5" t="s">
        <v>635</v>
      </c>
      <c r="F5947" s="9">
        <v>47</v>
      </c>
      <c r="G5947" s="9">
        <v>573</v>
      </c>
      <c r="H5947" s="5" t="s">
        <v>21</v>
      </c>
      <c r="I5947" s="5" t="s">
        <v>14545</v>
      </c>
      <c r="J5947" s="12" t="str">
        <f>HYPERLINK("https://www.boe.es/gazeta/dias/1802/06/11/pdfs/GMD-1802-47.pdf#page=9","Abrir facsímil")</f>
        <v>Abrir facsímil</v>
      </c>
      <c r="K5947" s="15" t="s">
        <v>23</v>
      </c>
    </row>
    <row r="5948" spans="1:11" ht="42" customHeight="1">
      <c r="A5948" s="4" t="s">
        <v>14546</v>
      </c>
      <c r="B5948" s="5" t="s">
        <v>14547</v>
      </c>
      <c r="C5948" s="5" t="s">
        <v>18</v>
      </c>
      <c r="D5948" s="5" t="s">
        <v>19</v>
      </c>
      <c r="E5948" s="5" t="s">
        <v>49</v>
      </c>
      <c r="F5948" s="9">
        <v>83</v>
      </c>
      <c r="G5948" s="9">
        <v>1025</v>
      </c>
      <c r="H5948" s="5" t="s">
        <v>21</v>
      </c>
      <c r="I5948" s="5" t="s">
        <v>14548</v>
      </c>
      <c r="J5948" s="12" t="str">
        <f>HYPERLINK("https://www.boe.es/gazeta/dias/1802/10/12/pdfs/GMD-1802-83.pdf#page=13","Abrir facsímil")</f>
        <v>Abrir facsímil</v>
      </c>
      <c r="K5948" s="15" t="s">
        <v>23</v>
      </c>
    </row>
    <row r="5949" spans="1:11" ht="42" customHeight="1">
      <c r="A5949" s="4" t="s">
        <v>14549</v>
      </c>
      <c r="B5949" s="5" t="s">
        <v>14550</v>
      </c>
      <c r="C5949" s="5" t="s">
        <v>29</v>
      </c>
      <c r="D5949" s="5" t="s">
        <v>30</v>
      </c>
      <c r="E5949" s="5" t="s">
        <v>86</v>
      </c>
      <c r="F5949" s="9">
        <v>26</v>
      </c>
      <c r="G5949" s="9">
        <v>298</v>
      </c>
      <c r="H5949" s="5" t="s">
        <v>21</v>
      </c>
      <c r="I5949" s="5" t="s">
        <v>14551</v>
      </c>
      <c r="J5949" s="12" t="str">
        <f>HYPERLINK("https://www.boe.es/gazeta/dias/1802/03/30/pdfs/GMD-1802-26.pdf#page=10","Abrir facsímil")</f>
        <v>Abrir facsímil</v>
      </c>
      <c r="K5949" s="15" t="s">
        <v>23</v>
      </c>
    </row>
    <row r="5950" spans="1:11" ht="42" customHeight="1">
      <c r="A5950" s="4" t="s">
        <v>14549</v>
      </c>
      <c r="B5950" s="5" t="s">
        <v>14550</v>
      </c>
      <c r="C5950" s="5" t="s">
        <v>29</v>
      </c>
      <c r="D5950" s="5" t="s">
        <v>30</v>
      </c>
      <c r="E5950" s="5" t="s">
        <v>192</v>
      </c>
      <c r="F5950" s="9">
        <v>53</v>
      </c>
      <c r="G5950" s="9">
        <v>642</v>
      </c>
      <c r="H5950" s="5" t="s">
        <v>21</v>
      </c>
      <c r="I5950" s="5" t="s">
        <v>14552</v>
      </c>
      <c r="J5950" s="12" t="str">
        <f>HYPERLINK("https://www.boe.es/gazeta/dias/1802/07/02/pdfs/GMD-1802-53.pdf#page=10","Abrir facsímil")</f>
        <v>Abrir facsímil</v>
      </c>
      <c r="K5950" s="15" t="s">
        <v>23</v>
      </c>
    </row>
    <row r="5951" spans="1:11" ht="42" customHeight="1">
      <c r="A5951" s="4" t="s">
        <v>14553</v>
      </c>
      <c r="B5951" s="5" t="s">
        <v>14554</v>
      </c>
      <c r="C5951" s="5" t="s">
        <v>35</v>
      </c>
      <c r="D5951" s="5" t="s">
        <v>36</v>
      </c>
      <c r="E5951" s="5" t="s">
        <v>142</v>
      </c>
      <c r="F5951" s="9">
        <v>64</v>
      </c>
      <c r="G5951" s="9">
        <v>781</v>
      </c>
      <c r="H5951" s="5" t="s">
        <v>21</v>
      </c>
      <c r="I5951" s="5" t="s">
        <v>14555</v>
      </c>
      <c r="J5951" s="12" t="str">
        <f>HYPERLINK("https://www.boe.es/gazeta/dias/1802/08/06/pdfs/GMD-1802-64.pdf#page=9","Abrir facsímil")</f>
        <v>Abrir facsímil</v>
      </c>
      <c r="K5951" s="15" t="s">
        <v>23</v>
      </c>
    </row>
    <row r="5952" spans="1:11" ht="42" customHeight="1">
      <c r="A5952" s="4" t="s">
        <v>14556</v>
      </c>
      <c r="B5952" s="5" t="s">
        <v>14557</v>
      </c>
      <c r="C5952" s="5" t="s">
        <v>42</v>
      </c>
      <c r="D5952" s="5" t="s">
        <v>43</v>
      </c>
      <c r="E5952" s="5" t="s">
        <v>44</v>
      </c>
      <c r="F5952" s="9">
        <v>99</v>
      </c>
      <c r="G5952" s="9" t="s">
        <v>272</v>
      </c>
      <c r="H5952" s="5" t="s">
        <v>21</v>
      </c>
      <c r="I5952" s="5" t="s">
        <v>14558</v>
      </c>
      <c r="J5952" s="12" t="str">
        <f>HYPERLINK("https://www.boe.es/gazeta/dias/1802/12/07/pdfs/GMD-D-1802-99.pdf#page=3","Abrir facsímil")</f>
        <v>Abrir facsímil</v>
      </c>
      <c r="K5952" s="15" t="s">
        <v>23</v>
      </c>
    </row>
    <row r="5953" spans="1:11" ht="42" customHeight="1">
      <c r="A5953" s="4" t="s">
        <v>14559</v>
      </c>
      <c r="B5953" s="5" t="s">
        <v>14560</v>
      </c>
      <c r="C5953" s="5" t="s">
        <v>29</v>
      </c>
      <c r="D5953" s="5" t="s">
        <v>30</v>
      </c>
      <c r="E5953" s="5" t="s">
        <v>31</v>
      </c>
      <c r="F5953" s="9">
        <v>27</v>
      </c>
      <c r="G5953" s="9">
        <v>318</v>
      </c>
      <c r="H5953" s="5" t="s">
        <v>21</v>
      </c>
      <c r="I5953" s="5" t="s">
        <v>14561</v>
      </c>
      <c r="J5953" s="12" t="str">
        <f>HYPERLINK("https://www.boe.es/gazeta/dias/1802/04/02/pdfs/GMD-1802-27.pdf#page=14","Abrir facsímil")</f>
        <v>Abrir facsímil</v>
      </c>
      <c r="K5953" s="15" t="s">
        <v>23</v>
      </c>
    </row>
    <row r="5954" spans="1:11" ht="42" customHeight="1">
      <c r="A5954" s="4" t="s">
        <v>14562</v>
      </c>
      <c r="B5954" s="5" t="s">
        <v>14562</v>
      </c>
      <c r="C5954" s="5" t="s">
        <v>160</v>
      </c>
      <c r="D5954" s="5" t="s">
        <v>91</v>
      </c>
      <c r="E5954" s="5" t="s">
        <v>128</v>
      </c>
      <c r="F5954" s="9">
        <v>9</v>
      </c>
      <c r="G5954" s="9">
        <v>92</v>
      </c>
      <c r="H5954" s="5" t="s">
        <v>21</v>
      </c>
      <c r="I5954" s="5" t="s">
        <v>14563</v>
      </c>
      <c r="J5954" s="12" t="str">
        <f>HYPERLINK("https://www.boe.es/gazeta/dias/1802/01/29/pdfs/GMD-1802-9.pdf#page=12","Abrir facsímil")</f>
        <v>Abrir facsímil</v>
      </c>
      <c r="K5954" s="15" t="s">
        <v>23</v>
      </c>
    </row>
    <row r="5955" spans="1:11" ht="42" customHeight="1">
      <c r="A5955" s="4" t="s">
        <v>14564</v>
      </c>
      <c r="B5955" s="5" t="s">
        <v>14565</v>
      </c>
      <c r="C5955" s="5" t="s">
        <v>18</v>
      </c>
      <c r="D5955" s="5" t="s">
        <v>19</v>
      </c>
      <c r="E5955" s="5" t="s">
        <v>881</v>
      </c>
      <c r="F5955" s="9">
        <v>65</v>
      </c>
      <c r="G5955" s="9">
        <v>794</v>
      </c>
      <c r="H5955" s="5" t="s">
        <v>21</v>
      </c>
      <c r="I5955" s="5" t="s">
        <v>14566</v>
      </c>
      <c r="J5955" s="12" t="str">
        <f>HYPERLINK("https://www.boe.es/gazeta/dias/1802/08/10/pdfs/GMD-1802-65.pdf#page=10","Abrir facsímil")</f>
        <v>Abrir facsímil</v>
      </c>
      <c r="K5955" s="15" t="s">
        <v>23</v>
      </c>
    </row>
    <row r="5956" spans="1:11" ht="42" customHeight="1">
      <c r="A5956" s="4" t="s">
        <v>14567</v>
      </c>
      <c r="B5956" s="5" t="s">
        <v>14567</v>
      </c>
      <c r="C5956" s="5" t="s">
        <v>35</v>
      </c>
      <c r="D5956" s="5" t="s">
        <v>36</v>
      </c>
      <c r="E5956" s="5" t="s">
        <v>823</v>
      </c>
      <c r="F5956" s="9">
        <v>94</v>
      </c>
      <c r="G5956" s="9">
        <v>1155</v>
      </c>
      <c r="H5956" s="5" t="s">
        <v>21</v>
      </c>
      <c r="I5956" s="5" t="s">
        <v>14568</v>
      </c>
      <c r="J5956" s="12" t="str">
        <f>HYPERLINK("https://www.boe.es/gazeta/dias/1802/11/19/pdfs/GMD-1802-94.pdf#page=3","Abrir facsímil")</f>
        <v>Abrir facsímil</v>
      </c>
      <c r="K5956" s="15" t="s">
        <v>23</v>
      </c>
    </row>
    <row r="5957" spans="1:11" ht="42" customHeight="1">
      <c r="A5957" s="4" t="s">
        <v>14569</v>
      </c>
      <c r="B5957" s="5" t="s">
        <v>14569</v>
      </c>
      <c r="C5957" s="5" t="s">
        <v>55</v>
      </c>
      <c r="D5957" s="5" t="s">
        <v>56</v>
      </c>
      <c r="E5957" s="5" t="s">
        <v>1959</v>
      </c>
      <c r="F5957" s="9">
        <v>34</v>
      </c>
      <c r="G5957" s="9">
        <v>390</v>
      </c>
      <c r="H5957" s="5" t="s">
        <v>21</v>
      </c>
      <c r="I5957" s="5" t="s">
        <v>14570</v>
      </c>
      <c r="J5957" s="12" t="str">
        <f>HYPERLINK("https://www.boe.es/gazeta/dias/1802/04/27/pdfs/GMD-1802-34.pdf#page=2","Abrir facsímil")</f>
        <v>Abrir facsímil</v>
      </c>
      <c r="K5957" s="15" t="s">
        <v>23</v>
      </c>
    </row>
    <row r="5958" spans="1:11" ht="42" customHeight="1">
      <c r="A5958" s="4" t="s">
        <v>14571</v>
      </c>
      <c r="B5958" s="5" t="s">
        <v>14572</v>
      </c>
      <c r="C5958" s="5" t="s">
        <v>55</v>
      </c>
      <c r="D5958" s="5" t="s">
        <v>56</v>
      </c>
      <c r="E5958" s="5" t="s">
        <v>631</v>
      </c>
      <c r="F5958" s="9">
        <v>36</v>
      </c>
      <c r="G5958" s="9">
        <v>432</v>
      </c>
      <c r="H5958" s="5" t="s">
        <v>21</v>
      </c>
      <c r="I5958" s="5" t="s">
        <v>14573</v>
      </c>
      <c r="J5958" s="12" t="str">
        <f>HYPERLINK("https://www.boe.es/gazeta/dias/1802/05/04/pdfs/GMD-1802-36.pdf#page=12","Abrir facsímil")</f>
        <v>Abrir facsímil</v>
      </c>
      <c r="K5958" s="15" t="s">
        <v>23</v>
      </c>
    </row>
    <row r="5959" spans="1:11" ht="42" customHeight="1">
      <c r="A5959" s="4" t="s">
        <v>14574</v>
      </c>
      <c r="B5959" s="5" t="s">
        <v>14575</v>
      </c>
      <c r="C5959" s="5" t="s">
        <v>18</v>
      </c>
      <c r="D5959" s="5" t="s">
        <v>19</v>
      </c>
      <c r="E5959" s="5" t="s">
        <v>49</v>
      </c>
      <c r="F5959" s="9">
        <v>83</v>
      </c>
      <c r="G5959" s="9">
        <v>1022</v>
      </c>
      <c r="H5959" s="5" t="s">
        <v>21</v>
      </c>
      <c r="I5959" s="5" t="s">
        <v>14576</v>
      </c>
      <c r="J5959" s="12" t="str">
        <f>HYPERLINK("https://www.boe.es/gazeta/dias/1802/10/12/pdfs/GMD-1802-83.pdf#page=10","Abrir facsímil")</f>
        <v>Abrir facsímil</v>
      </c>
      <c r="K5959" s="15" t="s">
        <v>23</v>
      </c>
    </row>
    <row r="5960" spans="1:11" ht="42" customHeight="1">
      <c r="A5960" s="4" t="s">
        <v>14577</v>
      </c>
      <c r="B5960" s="5" t="s">
        <v>14577</v>
      </c>
      <c r="C5960" s="5" t="s">
        <v>35</v>
      </c>
      <c r="D5960" s="5" t="s">
        <v>36</v>
      </c>
      <c r="E5960" s="5" t="s">
        <v>167</v>
      </c>
      <c r="F5960" s="9">
        <v>23</v>
      </c>
      <c r="G5960" s="9">
        <v>253</v>
      </c>
      <c r="H5960" s="5" t="s">
        <v>21</v>
      </c>
      <c r="I5960" s="5" t="s">
        <v>14578</v>
      </c>
      <c r="J5960" s="12" t="str">
        <f>HYPERLINK("https://www.boe.es/gazeta/dias/1802/03/19/pdfs/GMD-1802-23.pdf#page=1","Abrir facsímil")</f>
        <v>Abrir facsímil</v>
      </c>
      <c r="K5960" s="15" t="s">
        <v>23</v>
      </c>
    </row>
    <row r="5961" spans="1:11" ht="42" customHeight="1">
      <c r="A5961" s="4" t="s">
        <v>14579</v>
      </c>
      <c r="B5961" s="5" t="s">
        <v>14579</v>
      </c>
      <c r="C5961" s="5" t="s">
        <v>18</v>
      </c>
      <c r="D5961" s="5" t="s">
        <v>19</v>
      </c>
      <c r="E5961" s="5" t="s">
        <v>20</v>
      </c>
      <c r="F5961" s="9">
        <v>84</v>
      </c>
      <c r="G5961" s="9">
        <v>1042</v>
      </c>
      <c r="H5961" s="5" t="s">
        <v>21</v>
      </c>
      <c r="I5961" s="5" t="s">
        <v>14580</v>
      </c>
      <c r="J5961" s="12" t="str">
        <f>HYPERLINK("https://www.boe.es/gazeta/dias/1802/10/15/pdfs/GMD-1802-84.pdf#page=10","Abrir facsímil")</f>
        <v>Abrir facsímil</v>
      </c>
      <c r="K5961" s="15" t="s">
        <v>23</v>
      </c>
    </row>
    <row r="5962" spans="1:11" ht="42" customHeight="1">
      <c r="A5962" s="4" t="s">
        <v>14581</v>
      </c>
      <c r="B5962" s="5" t="s">
        <v>14582</v>
      </c>
      <c r="C5962" s="5" t="s">
        <v>18</v>
      </c>
      <c r="D5962" s="5" t="s">
        <v>19</v>
      </c>
      <c r="E5962" s="5" t="s">
        <v>20</v>
      </c>
      <c r="F5962" s="9">
        <v>84</v>
      </c>
      <c r="G5962" s="9">
        <v>1042</v>
      </c>
      <c r="H5962" s="5" t="s">
        <v>21</v>
      </c>
      <c r="I5962" s="5" t="s">
        <v>14583</v>
      </c>
      <c r="J5962" s="12" t="str">
        <f>HYPERLINK("https://www.boe.es/gazeta/dias/1802/10/15/pdfs/GMD-1802-84.pdf#page=10","Abrir facsímil")</f>
        <v>Abrir facsímil</v>
      </c>
      <c r="K5962" s="15" t="s">
        <v>23</v>
      </c>
    </row>
    <row r="5963" spans="1:11" ht="42" customHeight="1">
      <c r="A5963" s="4" t="s">
        <v>14584</v>
      </c>
      <c r="B5963" s="5" t="s">
        <v>14585</v>
      </c>
      <c r="C5963" s="5" t="s">
        <v>18</v>
      </c>
      <c r="D5963" s="5" t="s">
        <v>19</v>
      </c>
      <c r="E5963" s="5" t="s">
        <v>49</v>
      </c>
      <c r="F5963" s="9">
        <v>83</v>
      </c>
      <c r="G5963" s="9">
        <v>1025</v>
      </c>
      <c r="H5963" s="5" t="s">
        <v>21</v>
      </c>
      <c r="I5963" s="5" t="s">
        <v>14586</v>
      </c>
      <c r="J5963" s="12" t="str">
        <f>HYPERLINK("https://www.boe.es/gazeta/dias/1802/10/12/pdfs/GMD-1802-83.pdf#page=13","Abrir facsímil")</f>
        <v>Abrir facsímil</v>
      </c>
      <c r="K5963" s="15" t="s">
        <v>23</v>
      </c>
    </row>
    <row r="5964" spans="1:11" ht="42" customHeight="1">
      <c r="A5964" s="4" t="s">
        <v>14587</v>
      </c>
      <c r="B5964" s="5" t="s">
        <v>14588</v>
      </c>
      <c r="C5964" s="5" t="s">
        <v>29</v>
      </c>
      <c r="D5964" s="5" t="s">
        <v>30</v>
      </c>
      <c r="E5964" s="5" t="s">
        <v>381</v>
      </c>
      <c r="F5964" s="9">
        <v>13</v>
      </c>
      <c r="G5964" s="9">
        <v>130</v>
      </c>
      <c r="H5964" s="5" t="s">
        <v>21</v>
      </c>
      <c r="I5964" s="5" t="s">
        <v>14589</v>
      </c>
      <c r="J5964" s="12" t="str">
        <f>HYPERLINK("https://www.boe.es/gazeta/dias/1802/02/12/pdfs/GMD-1802-13.pdf#page=6","Abrir facsímil")</f>
        <v>Abrir facsímil</v>
      </c>
      <c r="K5964" s="15" t="s">
        <v>23</v>
      </c>
    </row>
    <row r="5965" spans="1:11" ht="42" customHeight="1">
      <c r="A5965" s="4" t="s">
        <v>14587</v>
      </c>
      <c r="B5965" s="5" t="s">
        <v>14588</v>
      </c>
      <c r="C5965" s="5" t="s">
        <v>29</v>
      </c>
      <c r="D5965" s="5" t="s">
        <v>30</v>
      </c>
      <c r="E5965" s="5" t="s">
        <v>814</v>
      </c>
      <c r="F5965" s="9">
        <v>41</v>
      </c>
      <c r="G5965" s="9">
        <v>493</v>
      </c>
      <c r="H5965" s="5" t="s">
        <v>21</v>
      </c>
      <c r="I5965" s="5" t="s">
        <v>14590</v>
      </c>
      <c r="J5965" s="12" t="str">
        <f>HYPERLINK("https://www.boe.es/gazeta/dias/1802/05/21/pdfs/GMD-1802-41.pdf#page=9","Abrir facsímil")</f>
        <v>Abrir facsímil</v>
      </c>
      <c r="K5965" s="15" t="s">
        <v>23</v>
      </c>
    </row>
    <row r="5966" spans="1:11" ht="42" customHeight="1">
      <c r="A5966" s="4" t="s">
        <v>14591</v>
      </c>
      <c r="B5966" s="5" t="s">
        <v>14592</v>
      </c>
      <c r="C5966" s="5" t="s">
        <v>29</v>
      </c>
      <c r="D5966" s="5" t="s">
        <v>30</v>
      </c>
      <c r="E5966" s="5" t="s">
        <v>31</v>
      </c>
      <c r="F5966" s="9">
        <v>27</v>
      </c>
      <c r="G5966" s="9">
        <v>317</v>
      </c>
      <c r="H5966" s="5" t="s">
        <v>21</v>
      </c>
      <c r="I5966" s="5" t="s">
        <v>14593</v>
      </c>
      <c r="J5966" s="12" t="str">
        <f>HYPERLINK("https://www.boe.es/gazeta/dias/1802/04/02/pdfs/GMD-1802-27.pdf#page=13","Abrir facsímil")</f>
        <v>Abrir facsímil</v>
      </c>
      <c r="K5966" s="15" t="s">
        <v>23</v>
      </c>
    </row>
    <row r="5967" spans="1:11" ht="42" customHeight="1">
      <c r="A5967" s="4" t="s">
        <v>14594</v>
      </c>
      <c r="B5967" s="5" t="s">
        <v>14594</v>
      </c>
      <c r="C5967" s="5" t="s">
        <v>29</v>
      </c>
      <c r="D5967" s="5" t="s">
        <v>30</v>
      </c>
      <c r="E5967" s="5" t="s">
        <v>75</v>
      </c>
      <c r="F5967" s="9">
        <v>103</v>
      </c>
      <c r="G5967" s="9">
        <v>1264</v>
      </c>
      <c r="H5967" s="5" t="s">
        <v>21</v>
      </c>
      <c r="I5967" s="5" t="s">
        <v>14595</v>
      </c>
      <c r="J5967" s="12" t="str">
        <f>HYPERLINK("https://www.boe.es/gazeta/dias/1802/12/21/pdfs/GMD-1802-103.pdf#page=8","Abrir facsímil")</f>
        <v>Abrir facsímil</v>
      </c>
      <c r="K5967" s="15" t="s">
        <v>23</v>
      </c>
    </row>
    <row r="5968" spans="1:11" ht="42" customHeight="1">
      <c r="A5968" s="4" t="s">
        <v>14596</v>
      </c>
      <c r="B5968" s="5" t="s">
        <v>14597</v>
      </c>
      <c r="C5968" s="5" t="s">
        <v>2417</v>
      </c>
      <c r="D5968" s="5" t="s">
        <v>2418</v>
      </c>
      <c r="E5968" s="5" t="s">
        <v>206</v>
      </c>
      <c r="F5968" s="9">
        <v>22</v>
      </c>
      <c r="G5968" s="9">
        <v>246</v>
      </c>
      <c r="H5968" s="5" t="s">
        <v>21</v>
      </c>
      <c r="I5968" s="5" t="s">
        <v>14598</v>
      </c>
      <c r="J5968" s="12" t="str">
        <f>HYPERLINK("https://www.boe.es/gazeta/dias/1802/03/16/pdfs/GMD-C-1802-22.pdf#page=2","Abrir facsímil")</f>
        <v>Abrir facsímil</v>
      </c>
      <c r="K5968" s="15" t="s">
        <v>23</v>
      </c>
    </row>
    <row r="5969" spans="1:11" ht="42" customHeight="1">
      <c r="A5969" s="4" t="s">
        <v>14596</v>
      </c>
      <c r="B5969" s="5" t="s">
        <v>14597</v>
      </c>
      <c r="C5969" s="5" t="s">
        <v>18</v>
      </c>
      <c r="D5969" s="5" t="s">
        <v>19</v>
      </c>
      <c r="E5969" s="5" t="s">
        <v>167</v>
      </c>
      <c r="F5969" s="9">
        <v>23</v>
      </c>
      <c r="G5969" s="9">
        <v>260</v>
      </c>
      <c r="H5969" s="5" t="s">
        <v>21</v>
      </c>
      <c r="I5969" s="5" t="s">
        <v>14599</v>
      </c>
      <c r="J5969" s="12" t="str">
        <f>HYPERLINK("https://www.boe.es/gazeta/dias/1802/03/19/pdfs/GMD-1802-23.pdf#page=8","Abrir facsímil")</f>
        <v>Abrir facsímil</v>
      </c>
      <c r="K5969" s="15" t="s">
        <v>23</v>
      </c>
    </row>
    <row r="5970" spans="1:11" ht="42" customHeight="1">
      <c r="A5970" s="4" t="s">
        <v>14596</v>
      </c>
      <c r="B5970" s="5" t="s">
        <v>14597</v>
      </c>
      <c r="C5970" s="5" t="s">
        <v>18</v>
      </c>
      <c r="D5970" s="5" t="s">
        <v>19</v>
      </c>
      <c r="E5970" s="5" t="s">
        <v>332</v>
      </c>
      <c r="F5970" s="9">
        <v>24</v>
      </c>
      <c r="G5970" s="9">
        <v>273</v>
      </c>
      <c r="H5970" s="5" t="s">
        <v>21</v>
      </c>
      <c r="I5970" s="5" t="s">
        <v>14600</v>
      </c>
      <c r="J5970" s="12" t="str">
        <f>HYPERLINK("https://www.boe.es/gazeta/dias/1802/03/23/pdfs/GMD-1802-24.pdf#page=9","Abrir facsímil")</f>
        <v>Abrir facsímil</v>
      </c>
      <c r="K5970" s="15" t="s">
        <v>23</v>
      </c>
    </row>
    <row r="5971" spans="1:11" ht="42" customHeight="1">
      <c r="A5971" s="4" t="s">
        <v>14596</v>
      </c>
      <c r="B5971" s="5" t="s">
        <v>14597</v>
      </c>
      <c r="C5971" s="5" t="s">
        <v>18</v>
      </c>
      <c r="D5971" s="5" t="s">
        <v>19</v>
      </c>
      <c r="E5971" s="5" t="s">
        <v>1749</v>
      </c>
      <c r="F5971" s="9">
        <v>60</v>
      </c>
      <c r="G5971" s="9">
        <v>730</v>
      </c>
      <c r="H5971" s="5" t="s">
        <v>21</v>
      </c>
      <c r="I5971" s="5" t="s">
        <v>14601</v>
      </c>
      <c r="J5971" s="12" t="str">
        <f>HYPERLINK("https://www.boe.es/gazeta/dias/1802/07/23/pdfs/GMD-1802-60.pdf#page=14","Abrir facsímil")</f>
        <v>Abrir facsímil</v>
      </c>
      <c r="K5971" s="15" t="s">
        <v>23</v>
      </c>
    </row>
    <row r="5972" spans="1:11" ht="42" customHeight="1">
      <c r="A5972" s="4" t="s">
        <v>14596</v>
      </c>
      <c r="B5972" s="5" t="s">
        <v>14597</v>
      </c>
      <c r="C5972" s="5" t="s">
        <v>18</v>
      </c>
      <c r="D5972" s="5" t="s">
        <v>19</v>
      </c>
      <c r="E5972" s="5" t="s">
        <v>517</v>
      </c>
      <c r="F5972" s="9">
        <v>61</v>
      </c>
      <c r="G5972" s="9">
        <v>742</v>
      </c>
      <c r="H5972" s="5" t="s">
        <v>21</v>
      </c>
      <c r="I5972" s="5" t="s">
        <v>14602</v>
      </c>
      <c r="J5972" s="12" t="str">
        <f>HYPERLINK("https://www.boe.es/gazeta/dias/1802/07/27/pdfs/GMD-1802-61.pdf#page=10","Abrir facsímil")</f>
        <v>Abrir facsímil</v>
      </c>
      <c r="K5972" s="15" t="s">
        <v>23</v>
      </c>
    </row>
    <row r="5973" spans="1:11" ht="42" customHeight="1">
      <c r="A5973" s="4" t="s">
        <v>14596</v>
      </c>
      <c r="B5973" s="5" t="s">
        <v>14597</v>
      </c>
      <c r="C5973" s="5" t="s">
        <v>18</v>
      </c>
      <c r="D5973" s="5" t="s">
        <v>19</v>
      </c>
      <c r="E5973" s="5" t="s">
        <v>1185</v>
      </c>
      <c r="F5973" s="9">
        <v>93</v>
      </c>
      <c r="G5973" s="9">
        <v>1151</v>
      </c>
      <c r="H5973" s="5" t="s">
        <v>21</v>
      </c>
      <c r="I5973" s="5" t="s">
        <v>14603</v>
      </c>
      <c r="J5973" s="12" t="str">
        <f>HYPERLINK("https://www.boe.es/gazeta/dias/1802/11/16/pdfs/GMD-1802-93.pdf#page=11","Abrir facsímil")</f>
        <v>Abrir facsímil</v>
      </c>
      <c r="K5973" s="15" t="s">
        <v>23</v>
      </c>
    </row>
    <row r="5974" spans="1:11" ht="42" customHeight="1">
      <c r="A5974" s="4" t="s">
        <v>14604</v>
      </c>
      <c r="B5974" s="5" t="s">
        <v>14605</v>
      </c>
      <c r="C5974" s="5" t="s">
        <v>29</v>
      </c>
      <c r="D5974" s="5" t="s">
        <v>30</v>
      </c>
      <c r="E5974" s="5" t="s">
        <v>1618</v>
      </c>
      <c r="F5974" s="9">
        <v>31</v>
      </c>
      <c r="G5974" s="9">
        <v>367</v>
      </c>
      <c r="H5974" s="5" t="s">
        <v>21</v>
      </c>
      <c r="I5974" s="5" t="s">
        <v>14606</v>
      </c>
      <c r="J5974" s="12" t="str">
        <f>HYPERLINK("https://www.boe.es/gazeta/dias/1802/04/16/pdfs/GMD-1802-31.pdf#page=11","Abrir facsímil")</f>
        <v>Abrir facsímil</v>
      </c>
      <c r="K5974" s="15" t="s">
        <v>23</v>
      </c>
    </row>
    <row r="5975" spans="1:11" ht="42" customHeight="1">
      <c r="A5975" s="4" t="s">
        <v>14607</v>
      </c>
      <c r="B5975" s="5" t="s">
        <v>14607</v>
      </c>
      <c r="C5975" s="5" t="s">
        <v>35</v>
      </c>
      <c r="D5975" s="5" t="s">
        <v>36</v>
      </c>
      <c r="E5975" s="5" t="s">
        <v>385</v>
      </c>
      <c r="F5975" s="9">
        <v>70</v>
      </c>
      <c r="G5975" s="9">
        <v>861</v>
      </c>
      <c r="H5975" s="5" t="s">
        <v>21</v>
      </c>
      <c r="I5975" s="5" t="s">
        <v>14608</v>
      </c>
      <c r="J5975" s="12" t="str">
        <f>HYPERLINK("https://www.boe.es/gazeta/dias/1802/08/27/pdfs/GMD-1802-70.pdf#page=9","Abrir facsímil")</f>
        <v>Abrir facsímil</v>
      </c>
      <c r="K5975" s="15" t="s">
        <v>23</v>
      </c>
    </row>
    <row r="5976" spans="1:11" ht="42" customHeight="1">
      <c r="A5976" s="4" t="s">
        <v>14607</v>
      </c>
      <c r="B5976" s="5" t="s">
        <v>14607</v>
      </c>
      <c r="C5976" s="5" t="s">
        <v>35</v>
      </c>
      <c r="D5976" s="5" t="s">
        <v>36</v>
      </c>
      <c r="E5976" s="5" t="s">
        <v>385</v>
      </c>
      <c r="F5976" s="9">
        <v>70</v>
      </c>
      <c r="G5976" s="9">
        <v>862</v>
      </c>
      <c r="H5976" s="5" t="s">
        <v>21</v>
      </c>
      <c r="I5976" s="5" t="s">
        <v>14609</v>
      </c>
      <c r="J5976" s="12" t="str">
        <f>HYPERLINK("https://www.boe.es/gazeta/dias/1802/08/27/pdfs/GMD-1802-70.pdf#page=10","Abrir facsímil")</f>
        <v>Abrir facsímil</v>
      </c>
      <c r="K5976" s="15" t="s">
        <v>23</v>
      </c>
    </row>
    <row r="5977" spans="1:11" ht="42" customHeight="1">
      <c r="A5977" s="4" t="s">
        <v>14610</v>
      </c>
      <c r="B5977" s="5" t="s">
        <v>14610</v>
      </c>
      <c r="C5977" s="5" t="s">
        <v>18</v>
      </c>
      <c r="D5977" s="5" t="s">
        <v>19</v>
      </c>
      <c r="E5977" s="5" t="s">
        <v>206</v>
      </c>
      <c r="F5977" s="9">
        <v>22</v>
      </c>
      <c r="G5977" s="9">
        <v>242</v>
      </c>
      <c r="H5977" s="5" t="s">
        <v>21</v>
      </c>
      <c r="I5977" s="5" t="s">
        <v>14611</v>
      </c>
      <c r="J5977" s="12" t="str">
        <f>HYPERLINK("https://www.boe.es/gazeta/dias/1802/03/16/pdfs/GMD-1802-22.pdf#page=10","Abrir facsímil")</f>
        <v>Abrir facsímil</v>
      </c>
      <c r="K5977" s="15" t="s">
        <v>23</v>
      </c>
    </row>
    <row r="5978" spans="1:11" ht="42" customHeight="1">
      <c r="A5978" s="4" t="s">
        <v>14612</v>
      </c>
      <c r="B5978" s="5" t="s">
        <v>14612</v>
      </c>
      <c r="C5978" s="5" t="s">
        <v>18</v>
      </c>
      <c r="D5978" s="5" t="s">
        <v>19</v>
      </c>
      <c r="E5978" s="5" t="s">
        <v>332</v>
      </c>
      <c r="F5978" s="9">
        <v>24</v>
      </c>
      <c r="G5978" s="9">
        <v>273</v>
      </c>
      <c r="H5978" s="5" t="s">
        <v>21</v>
      </c>
      <c r="I5978" s="5" t="s">
        <v>14613</v>
      </c>
      <c r="J5978" s="12" t="str">
        <f>HYPERLINK("https://www.boe.es/gazeta/dias/1802/03/23/pdfs/GMD-1802-24.pdf#page=9","Abrir facsímil")</f>
        <v>Abrir facsímil</v>
      </c>
      <c r="K5978" s="15" t="s">
        <v>23</v>
      </c>
    </row>
    <row r="5979" spans="1:11" ht="42" customHeight="1">
      <c r="A5979" s="4" t="s">
        <v>14614</v>
      </c>
      <c r="B5979" s="5" t="s">
        <v>14614</v>
      </c>
      <c r="C5979" s="5" t="s">
        <v>29</v>
      </c>
      <c r="D5979" s="5" t="s">
        <v>30</v>
      </c>
      <c r="E5979" s="5" t="s">
        <v>604</v>
      </c>
      <c r="F5979" s="9">
        <v>100</v>
      </c>
      <c r="G5979" s="9">
        <v>1235</v>
      </c>
      <c r="H5979" s="5" t="s">
        <v>21</v>
      </c>
      <c r="I5979" s="5" t="s">
        <v>14615</v>
      </c>
      <c r="J5979" s="12" t="str">
        <f>HYPERLINK("https://www.boe.es/gazeta/dias/1802/12/10/pdfs/GMD-1802-100.pdf#page=7","Abrir facsímil")</f>
        <v>Abrir facsímil</v>
      </c>
      <c r="K5979" s="15" t="s">
        <v>23</v>
      </c>
    </row>
    <row r="5980" spans="1:11" ht="42" customHeight="1">
      <c r="A5980" s="4" t="s">
        <v>14616</v>
      </c>
      <c r="B5980" s="5" t="s">
        <v>14617</v>
      </c>
      <c r="C5980" s="5" t="s">
        <v>90</v>
      </c>
      <c r="D5980" s="5" t="s">
        <v>91</v>
      </c>
      <c r="E5980" s="5" t="s">
        <v>389</v>
      </c>
      <c r="F5980" s="9">
        <v>96</v>
      </c>
      <c r="G5980" s="9">
        <v>1189</v>
      </c>
      <c r="H5980" s="5" t="s">
        <v>21</v>
      </c>
      <c r="I5980" s="5" t="s">
        <v>14618</v>
      </c>
      <c r="J5980" s="12" t="str">
        <f>HYPERLINK("https://www.boe.es/gazeta/dias/1802/11/26/pdfs/GMD-1802-96.pdf#page=9","Abrir facsímil")</f>
        <v>Abrir facsímil</v>
      </c>
      <c r="K5980" s="15" t="s">
        <v>23</v>
      </c>
    </row>
    <row r="5981" spans="1:11" ht="42" customHeight="1">
      <c r="A5981" s="4" t="s">
        <v>14616</v>
      </c>
      <c r="B5981" s="5" t="s">
        <v>14617</v>
      </c>
      <c r="C5981" s="5" t="s">
        <v>29</v>
      </c>
      <c r="D5981" s="5" t="s">
        <v>30</v>
      </c>
      <c r="E5981" s="5" t="s">
        <v>749</v>
      </c>
      <c r="F5981" s="9">
        <v>97</v>
      </c>
      <c r="G5981" s="9">
        <v>1203</v>
      </c>
      <c r="H5981" s="5" t="s">
        <v>21</v>
      </c>
      <c r="I5981" s="5" t="s">
        <v>14619</v>
      </c>
      <c r="J5981" s="12" t="str">
        <f>HYPERLINK("https://www.boe.es/gazeta/dias/1802/11/30/pdfs/GMD-1802-97.pdf#page=11","Abrir facsímil")</f>
        <v>Abrir facsímil</v>
      </c>
      <c r="K5981" s="15" t="s">
        <v>23</v>
      </c>
    </row>
    <row r="5982" spans="1:11" ht="42" customHeight="1">
      <c r="A5982" s="4" t="s">
        <v>14616</v>
      </c>
      <c r="B5982" s="5" t="s">
        <v>14617</v>
      </c>
      <c r="C5982" s="5" t="s">
        <v>42</v>
      </c>
      <c r="D5982" s="5" t="s">
        <v>43</v>
      </c>
      <c r="E5982" s="5" t="s">
        <v>44</v>
      </c>
      <c r="F5982" s="9">
        <v>99</v>
      </c>
      <c r="G5982" s="9" t="s">
        <v>314</v>
      </c>
      <c r="H5982" s="5" t="s">
        <v>21</v>
      </c>
      <c r="I5982" s="5" t="s">
        <v>14620</v>
      </c>
      <c r="J5982" s="12" t="str">
        <f>HYPERLINK("https://www.boe.es/gazeta/dias/1802/12/07/pdfs/GMD-D-1802-99.pdf#page=2","Abrir facsímil")</f>
        <v>Abrir facsímil</v>
      </c>
      <c r="K5982" s="15" t="s">
        <v>23</v>
      </c>
    </row>
    <row r="5983" spans="1:11" ht="42" customHeight="1">
      <c r="A5983" s="4" t="s">
        <v>14621</v>
      </c>
      <c r="B5983" s="5" t="s">
        <v>14622</v>
      </c>
      <c r="C5983" s="5" t="s">
        <v>42</v>
      </c>
      <c r="D5983" s="5" t="s">
        <v>43</v>
      </c>
      <c r="E5983" s="5" t="s">
        <v>44</v>
      </c>
      <c r="F5983" s="9">
        <v>99</v>
      </c>
      <c r="G5983" s="9" t="s">
        <v>322</v>
      </c>
      <c r="H5983" s="5" t="s">
        <v>21</v>
      </c>
      <c r="I5983" s="5" t="s">
        <v>14623</v>
      </c>
      <c r="J5983" s="12" t="str">
        <f>HYPERLINK("https://www.boe.es/gazeta/dias/1802/12/07/pdfs/GMD-D-1802-99.pdf#page=10","Abrir facsímil")</f>
        <v>Abrir facsímil</v>
      </c>
      <c r="K5983" s="15" t="s">
        <v>23</v>
      </c>
    </row>
    <row r="5984" spans="1:11" ht="42" customHeight="1">
      <c r="A5984" s="4" t="s">
        <v>14624</v>
      </c>
      <c r="B5984" s="5" t="s">
        <v>14625</v>
      </c>
      <c r="C5984" s="5" t="s">
        <v>42</v>
      </c>
      <c r="D5984" s="5" t="s">
        <v>43</v>
      </c>
      <c r="E5984" s="5" t="s">
        <v>44</v>
      </c>
      <c r="F5984" s="9">
        <v>99</v>
      </c>
      <c r="G5984" s="9" t="s">
        <v>272</v>
      </c>
      <c r="H5984" s="5" t="s">
        <v>21</v>
      </c>
      <c r="I5984" s="5" t="s">
        <v>14626</v>
      </c>
      <c r="J5984" s="12" t="str">
        <f>HYPERLINK("https://www.boe.es/gazeta/dias/1802/12/07/pdfs/GMD-D-1802-99.pdf#page=3","Abrir facsímil")</f>
        <v>Abrir facsímil</v>
      </c>
      <c r="K5984" s="15" t="s">
        <v>23</v>
      </c>
    </row>
    <row r="5985" spans="1:11" ht="42" customHeight="1">
      <c r="A5985" s="4" t="s">
        <v>14627</v>
      </c>
      <c r="B5985" s="5" t="s">
        <v>14628</v>
      </c>
      <c r="C5985" s="5" t="s">
        <v>29</v>
      </c>
      <c r="D5985" s="5" t="s">
        <v>30</v>
      </c>
      <c r="E5985" s="5" t="s">
        <v>175</v>
      </c>
      <c r="F5985" s="9">
        <v>37</v>
      </c>
      <c r="G5985" s="9">
        <v>442</v>
      </c>
      <c r="H5985" s="5" t="s">
        <v>21</v>
      </c>
      <c r="I5985" s="5" t="s">
        <v>14629</v>
      </c>
      <c r="J5985" s="12" t="str">
        <f>HYPERLINK("https://www.boe.es/gazeta/dias/1802/05/07/pdfs/GMD-1802-37.pdf#page=10","Abrir facsímil")</f>
        <v>Abrir facsímil</v>
      </c>
      <c r="K5985" s="15" t="s">
        <v>23</v>
      </c>
    </row>
    <row r="5986" spans="1:11" ht="42" customHeight="1">
      <c r="A5986" s="4" t="s">
        <v>14630</v>
      </c>
      <c r="B5986" s="5" t="s">
        <v>14631</v>
      </c>
      <c r="C5986" s="5" t="s">
        <v>18</v>
      </c>
      <c r="D5986" s="5" t="s">
        <v>19</v>
      </c>
      <c r="E5986" s="5" t="s">
        <v>49</v>
      </c>
      <c r="F5986" s="9">
        <v>83</v>
      </c>
      <c r="G5986" s="9">
        <v>1023</v>
      </c>
      <c r="H5986" s="5" t="s">
        <v>21</v>
      </c>
      <c r="I5986" s="5" t="s">
        <v>14632</v>
      </c>
      <c r="J5986" s="12" t="str">
        <f>HYPERLINK("https://www.boe.es/gazeta/dias/1802/10/12/pdfs/GMD-1802-83.pdf#page=11","Abrir facsímil")</f>
        <v>Abrir facsímil</v>
      </c>
      <c r="K5986" s="15" t="s">
        <v>23</v>
      </c>
    </row>
    <row r="5987" spans="1:11" ht="42" customHeight="1">
      <c r="A5987" s="4" t="s">
        <v>14633</v>
      </c>
      <c r="B5987" s="5" t="s">
        <v>14634</v>
      </c>
      <c r="C5987" s="5" t="s">
        <v>29</v>
      </c>
      <c r="D5987" s="5" t="s">
        <v>30</v>
      </c>
      <c r="E5987" s="5" t="s">
        <v>710</v>
      </c>
      <c r="F5987" s="9">
        <v>85</v>
      </c>
      <c r="G5987" s="9">
        <v>1058</v>
      </c>
      <c r="H5987" s="5" t="s">
        <v>21</v>
      </c>
      <c r="I5987" s="5" t="s">
        <v>14635</v>
      </c>
      <c r="J5987" s="12" t="str">
        <f>HYPERLINK("https://www.boe.es/gazeta/dias/1802/10/19/pdfs/GMD-1802-85.pdf#page=10","Abrir facsímil")</f>
        <v>Abrir facsímil</v>
      </c>
      <c r="K5987" s="15" t="s">
        <v>23</v>
      </c>
    </row>
    <row r="5988" spans="1:11" ht="42" customHeight="1">
      <c r="A5988" s="4" t="s">
        <v>14636</v>
      </c>
      <c r="B5988" s="5" t="s">
        <v>14636</v>
      </c>
      <c r="C5988" s="5" t="s">
        <v>35</v>
      </c>
      <c r="D5988" s="5" t="s">
        <v>36</v>
      </c>
      <c r="E5988" s="5" t="s">
        <v>714</v>
      </c>
      <c r="F5988" s="9">
        <v>89</v>
      </c>
      <c r="G5988" s="9">
        <v>1101</v>
      </c>
      <c r="H5988" s="5" t="s">
        <v>21</v>
      </c>
      <c r="I5988" s="5" t="s">
        <v>14637</v>
      </c>
      <c r="J5988" s="12" t="str">
        <f>HYPERLINK("https://www.boe.es/gazeta/dias/1802/11/02/pdfs/GMD-1802-89.pdf#page=5","Abrir facsímil")</f>
        <v>Abrir facsímil</v>
      </c>
      <c r="K5988" s="15" t="s">
        <v>23</v>
      </c>
    </row>
    <row r="5989" spans="1:11" ht="42" customHeight="1">
      <c r="A5989" s="4" t="s">
        <v>14636</v>
      </c>
      <c r="B5989" s="5" t="s">
        <v>14636</v>
      </c>
      <c r="C5989" s="5" t="s">
        <v>35</v>
      </c>
      <c r="D5989" s="5" t="s">
        <v>36</v>
      </c>
      <c r="E5989" s="5" t="s">
        <v>429</v>
      </c>
      <c r="F5989" s="9">
        <v>91</v>
      </c>
      <c r="G5989" s="9">
        <v>1125</v>
      </c>
      <c r="H5989" s="5" t="s">
        <v>21</v>
      </c>
      <c r="I5989" s="5" t="s">
        <v>14638</v>
      </c>
      <c r="J5989" s="12" t="str">
        <f>HYPERLINK("https://www.boe.es/gazeta/dias/1802/11/09/pdfs/GMD-1802-91.pdf#page=5","Abrir facsímil")</f>
        <v>Abrir facsímil</v>
      </c>
      <c r="K5989" s="15" t="s">
        <v>23</v>
      </c>
    </row>
    <row r="5990" spans="1:11" ht="42" customHeight="1">
      <c r="A5990" s="4" t="s">
        <v>14636</v>
      </c>
      <c r="B5990" s="5" t="s">
        <v>14636</v>
      </c>
      <c r="C5990" s="5" t="s">
        <v>35</v>
      </c>
      <c r="D5990" s="5" t="s">
        <v>36</v>
      </c>
      <c r="E5990" s="5" t="s">
        <v>1185</v>
      </c>
      <c r="F5990" s="9">
        <v>93</v>
      </c>
      <c r="G5990" s="9">
        <v>1145</v>
      </c>
      <c r="H5990" s="5" t="s">
        <v>21</v>
      </c>
      <c r="I5990" s="5" t="s">
        <v>14639</v>
      </c>
      <c r="J5990" s="12" t="str">
        <f>HYPERLINK("https://www.boe.es/gazeta/dias/1802/11/16/pdfs/GMD-1802-93.pdf#page=5","Abrir facsímil")</f>
        <v>Abrir facsímil</v>
      </c>
      <c r="K5990" s="15" t="s">
        <v>23</v>
      </c>
    </row>
    <row r="5991" spans="1:11" ht="42" customHeight="1">
      <c r="A5991" s="4" t="s">
        <v>14640</v>
      </c>
      <c r="B5991" s="5" t="s">
        <v>14641</v>
      </c>
      <c r="C5991" s="5" t="s">
        <v>35</v>
      </c>
      <c r="D5991" s="5" t="s">
        <v>36</v>
      </c>
      <c r="E5991" s="5" t="s">
        <v>1185</v>
      </c>
      <c r="F5991" s="9">
        <v>93</v>
      </c>
      <c r="G5991" s="9">
        <v>1145</v>
      </c>
      <c r="H5991" s="5" t="s">
        <v>21</v>
      </c>
      <c r="I5991" s="5" t="s">
        <v>14642</v>
      </c>
      <c r="J5991" s="12" t="str">
        <f>HYPERLINK("https://www.boe.es/gazeta/dias/1802/11/16/pdfs/GMD-1802-93.pdf#page=5","Abrir facsímil")</f>
        <v>Abrir facsímil</v>
      </c>
      <c r="K5991" s="15" t="s">
        <v>23</v>
      </c>
    </row>
    <row r="5992" spans="1:11" ht="42" customHeight="1">
      <c r="A5992" s="4" t="s">
        <v>14640</v>
      </c>
      <c r="B5992" s="5" t="s">
        <v>14641</v>
      </c>
      <c r="C5992" s="5" t="s">
        <v>29</v>
      </c>
      <c r="D5992" s="5" t="s">
        <v>30</v>
      </c>
      <c r="E5992" s="5" t="s">
        <v>389</v>
      </c>
      <c r="F5992" s="9">
        <v>96</v>
      </c>
      <c r="G5992" s="9">
        <v>1185</v>
      </c>
      <c r="H5992" s="5" t="s">
        <v>21</v>
      </c>
      <c r="I5992" s="5" t="s">
        <v>14643</v>
      </c>
      <c r="J5992" s="12" t="str">
        <f>HYPERLINK("https://www.boe.es/gazeta/dias/1802/11/26/pdfs/GMD-1802-96.pdf#page=5","Abrir facsímil")</f>
        <v>Abrir facsímil</v>
      </c>
      <c r="K5992" s="15" t="s">
        <v>23</v>
      </c>
    </row>
    <row r="5993" spans="1:11" ht="42" customHeight="1">
      <c r="A5993" s="4" t="s">
        <v>14644</v>
      </c>
      <c r="B5993" s="5" t="s">
        <v>14644</v>
      </c>
      <c r="C5993" s="5" t="s">
        <v>18</v>
      </c>
      <c r="D5993" s="5" t="s">
        <v>19</v>
      </c>
      <c r="E5993" s="5" t="s">
        <v>20</v>
      </c>
      <c r="F5993" s="9">
        <v>84</v>
      </c>
      <c r="G5993" s="9">
        <v>1045</v>
      </c>
      <c r="H5993" s="5" t="s">
        <v>21</v>
      </c>
      <c r="I5993" s="5" t="s">
        <v>14645</v>
      </c>
      <c r="J5993" s="12" t="str">
        <f>HYPERLINK("https://www.boe.es/gazeta/dias/1802/10/15/pdfs/GMD-1802-84.pdf#page=13","Abrir facsímil")</f>
        <v>Abrir facsímil</v>
      </c>
      <c r="K5993" s="15" t="s">
        <v>23</v>
      </c>
    </row>
    <row r="5994" spans="1:11" ht="42" customHeight="1">
      <c r="A5994" s="4" t="s">
        <v>14646</v>
      </c>
      <c r="B5994" s="5" t="s">
        <v>14646</v>
      </c>
      <c r="C5994" s="5" t="s">
        <v>18</v>
      </c>
      <c r="D5994" s="5" t="s">
        <v>19</v>
      </c>
      <c r="E5994" s="5" t="s">
        <v>826</v>
      </c>
      <c r="F5994" s="9">
        <v>67</v>
      </c>
      <c r="G5994" s="9">
        <v>820</v>
      </c>
      <c r="H5994" s="5" t="s">
        <v>21</v>
      </c>
      <c r="I5994" s="5" t="s">
        <v>14647</v>
      </c>
      <c r="J5994" s="12" t="str">
        <f>HYPERLINK("https://www.boe.es/gazeta/dias/1802/08/17/pdfs/GMD-1802-67.pdf#page=8","Abrir facsímil")</f>
        <v>Abrir facsímil</v>
      </c>
      <c r="K5994" s="15" t="s">
        <v>23</v>
      </c>
    </row>
    <row r="5995" spans="1:11" ht="42" customHeight="1">
      <c r="A5995" s="4" t="s">
        <v>14648</v>
      </c>
      <c r="B5995" s="5" t="s">
        <v>14649</v>
      </c>
      <c r="C5995" s="5" t="s">
        <v>29</v>
      </c>
      <c r="D5995" s="5" t="s">
        <v>30</v>
      </c>
      <c r="E5995" s="5" t="s">
        <v>148</v>
      </c>
      <c r="F5995" s="9">
        <v>66</v>
      </c>
      <c r="G5995" s="9">
        <v>809</v>
      </c>
      <c r="H5995" s="5" t="s">
        <v>21</v>
      </c>
      <c r="I5995" s="5" t="s">
        <v>14650</v>
      </c>
      <c r="J5995" s="12" t="str">
        <f>HYPERLINK("https://www.boe.es/gazeta/dias/1802/08/13/pdfs/GMD-1802-66.pdf#page=13","Abrir facsímil")</f>
        <v>Abrir facsímil</v>
      </c>
      <c r="K5995" s="15" t="s">
        <v>23</v>
      </c>
    </row>
    <row r="5996" spans="1:11" ht="42" customHeight="1">
      <c r="A5996" s="4" t="s">
        <v>14651</v>
      </c>
      <c r="B5996" s="5" t="s">
        <v>14651</v>
      </c>
      <c r="C5996" s="5" t="s">
        <v>35</v>
      </c>
      <c r="D5996" s="5" t="s">
        <v>36</v>
      </c>
      <c r="E5996" s="5" t="s">
        <v>1588</v>
      </c>
      <c r="F5996" s="9">
        <v>18</v>
      </c>
      <c r="G5996" s="9">
        <v>193</v>
      </c>
      <c r="H5996" s="5" t="s">
        <v>21</v>
      </c>
      <c r="I5996" s="5" t="s">
        <v>14652</v>
      </c>
      <c r="J5996" s="12" t="str">
        <f>HYPERLINK("https://www.boe.es/gazeta/dias/1802/03/02/pdfs/GMD-1802-18.pdf#page=5","Abrir facsímil")</f>
        <v>Abrir facsímil</v>
      </c>
      <c r="K5996" s="15" t="s">
        <v>23</v>
      </c>
    </row>
    <row r="5997" spans="1:11" ht="42" customHeight="1">
      <c r="A5997" s="4" t="s">
        <v>14653</v>
      </c>
      <c r="B5997" s="5" t="s">
        <v>14654</v>
      </c>
      <c r="C5997" s="5" t="s">
        <v>29</v>
      </c>
      <c r="D5997" s="5" t="s">
        <v>30</v>
      </c>
      <c r="E5997" s="5" t="s">
        <v>1051</v>
      </c>
      <c r="F5997" s="9">
        <v>43</v>
      </c>
      <c r="G5997" s="9">
        <v>512</v>
      </c>
      <c r="H5997" s="5" t="s">
        <v>21</v>
      </c>
      <c r="I5997" s="5" t="s">
        <v>14655</v>
      </c>
      <c r="J5997" s="12" t="str">
        <f>HYPERLINK("https://www.boe.es/gazeta/dias/1802/05/28/pdfs/GMD-1802-43.pdf#page=4","Abrir facsímil")</f>
        <v>Abrir facsímil</v>
      </c>
      <c r="K5997" s="15" t="s">
        <v>23</v>
      </c>
    </row>
    <row r="5998" spans="1:11" ht="42" customHeight="1">
      <c r="A5998" s="4" t="s">
        <v>14656</v>
      </c>
      <c r="B5998" s="5" t="s">
        <v>14657</v>
      </c>
      <c r="C5998" s="5" t="s">
        <v>18</v>
      </c>
      <c r="D5998" s="5" t="s">
        <v>19</v>
      </c>
      <c r="E5998" s="5" t="s">
        <v>20</v>
      </c>
      <c r="F5998" s="9">
        <v>84</v>
      </c>
      <c r="G5998" s="9">
        <v>1044</v>
      </c>
      <c r="H5998" s="5" t="s">
        <v>21</v>
      </c>
      <c r="I5998" s="5" t="s">
        <v>14658</v>
      </c>
      <c r="J5998" s="12" t="str">
        <f>HYPERLINK("https://www.boe.es/gazeta/dias/1802/10/15/pdfs/GMD-1802-84.pdf#page=12","Abrir facsímil")</f>
        <v>Abrir facsímil</v>
      </c>
      <c r="K5998" s="15" t="s">
        <v>23</v>
      </c>
    </row>
    <row r="5999" spans="1:11" ht="42" customHeight="1">
      <c r="A5999" s="4" t="s">
        <v>14659</v>
      </c>
      <c r="B5999" s="5" t="s">
        <v>14659</v>
      </c>
      <c r="C5999" s="5" t="s">
        <v>18</v>
      </c>
      <c r="D5999" s="5" t="s">
        <v>19</v>
      </c>
      <c r="E5999" s="5" t="s">
        <v>114</v>
      </c>
      <c r="F5999" s="9">
        <v>82</v>
      </c>
      <c r="G5999" s="9">
        <v>1012</v>
      </c>
      <c r="H5999" s="5" t="s">
        <v>21</v>
      </c>
      <c r="I5999" s="5" t="s">
        <v>14660</v>
      </c>
      <c r="J5999" s="12" t="str">
        <f>HYPERLINK("https://www.boe.es/gazeta/dias/1802/10/08/pdfs/GMD-1802-82.pdf#page=12","Abrir facsímil")</f>
        <v>Abrir facsímil</v>
      </c>
      <c r="K5999" s="15" t="s">
        <v>23</v>
      </c>
    </row>
    <row r="6000" spans="1:11" ht="42" customHeight="1">
      <c r="A6000" s="4" t="s">
        <v>14661</v>
      </c>
      <c r="B6000" s="5" t="s">
        <v>14662</v>
      </c>
      <c r="C6000" s="5" t="s">
        <v>42</v>
      </c>
      <c r="D6000" s="5" t="s">
        <v>43</v>
      </c>
      <c r="E6000" s="5" t="s">
        <v>44</v>
      </c>
      <c r="F6000" s="9">
        <v>99</v>
      </c>
      <c r="G6000" s="9" t="s">
        <v>537</v>
      </c>
      <c r="H6000" s="5" t="s">
        <v>21</v>
      </c>
      <c r="I6000" s="5" t="s">
        <v>14663</v>
      </c>
      <c r="J6000" s="12" t="str">
        <f>HYPERLINK("https://www.boe.es/gazeta/dias/1802/12/07/pdfs/GMD-D-1802-99.pdf#page=9","Abrir facsímil")</f>
        <v>Abrir facsímil</v>
      </c>
      <c r="K6000" s="15" t="s">
        <v>23</v>
      </c>
    </row>
    <row r="6001" spans="1:11" ht="42" customHeight="1">
      <c r="A6001" s="4" t="s">
        <v>14664</v>
      </c>
      <c r="B6001" s="5" t="s">
        <v>14664</v>
      </c>
      <c r="C6001" s="5" t="s">
        <v>29</v>
      </c>
      <c r="D6001" s="5" t="s">
        <v>30</v>
      </c>
      <c r="E6001" s="5" t="s">
        <v>328</v>
      </c>
      <c r="F6001" s="9">
        <v>45</v>
      </c>
      <c r="G6001" s="9">
        <v>545</v>
      </c>
      <c r="H6001" s="5" t="s">
        <v>21</v>
      </c>
      <c r="I6001" s="5" t="s">
        <v>14665</v>
      </c>
      <c r="J6001" s="12" t="str">
        <f>HYPERLINK("https://www.boe.es/gazeta/dias/1802/06/04/pdfs/GMD-1802-45.pdf#page=9","Abrir facsímil")</f>
        <v>Abrir facsímil</v>
      </c>
      <c r="K6001" s="15" t="s">
        <v>23</v>
      </c>
    </row>
    <row r="6002" spans="1:11" ht="42" customHeight="1">
      <c r="A6002" s="4" t="s">
        <v>14666</v>
      </c>
      <c r="B6002" s="5" t="s">
        <v>14666</v>
      </c>
      <c r="C6002" s="5" t="s">
        <v>29</v>
      </c>
      <c r="D6002" s="5" t="s">
        <v>30</v>
      </c>
      <c r="E6002" s="5" t="s">
        <v>757</v>
      </c>
      <c r="F6002" s="9">
        <v>104</v>
      </c>
      <c r="G6002" s="9">
        <v>1271</v>
      </c>
      <c r="H6002" s="5" t="s">
        <v>21</v>
      </c>
      <c r="I6002" s="5" t="s">
        <v>14667</v>
      </c>
      <c r="J6002" s="12" t="str">
        <f>HYPERLINK("https://www.boe.es/gazeta/dias/1802/12/24/pdfs/GMD-1802-104.pdf#page=7","Abrir facsímil")</f>
        <v>Abrir facsímil</v>
      </c>
      <c r="K6002" s="15" t="s">
        <v>23</v>
      </c>
    </row>
    <row r="6003" spans="1:11" ht="42" customHeight="1">
      <c r="A6003" s="4" t="s">
        <v>14668</v>
      </c>
      <c r="B6003" s="5" t="s">
        <v>14668</v>
      </c>
      <c r="C6003" s="5" t="s">
        <v>42</v>
      </c>
      <c r="D6003" s="5" t="s">
        <v>43</v>
      </c>
      <c r="E6003" s="5" t="s">
        <v>44</v>
      </c>
      <c r="F6003" s="9">
        <v>99</v>
      </c>
      <c r="G6003" s="9" t="s">
        <v>322</v>
      </c>
      <c r="H6003" s="5" t="s">
        <v>21</v>
      </c>
      <c r="I6003" s="5" t="s">
        <v>14669</v>
      </c>
      <c r="J6003" s="12" t="str">
        <f>HYPERLINK("https://www.boe.es/gazeta/dias/1802/12/07/pdfs/GMD-D-1802-99.pdf#page=10","Abrir facsímil")</f>
        <v>Abrir facsímil</v>
      </c>
      <c r="K6003" s="15" t="s">
        <v>23</v>
      </c>
    </row>
    <row r="6004" spans="1:11" ht="42" customHeight="1">
      <c r="A6004" s="4" t="s">
        <v>14670</v>
      </c>
      <c r="B6004" s="5" t="s">
        <v>14670</v>
      </c>
      <c r="C6004" s="5" t="s">
        <v>29</v>
      </c>
      <c r="D6004" s="5" t="s">
        <v>30</v>
      </c>
      <c r="E6004" s="5" t="s">
        <v>678</v>
      </c>
      <c r="F6004" s="9">
        <v>15</v>
      </c>
      <c r="G6004" s="9">
        <v>158</v>
      </c>
      <c r="H6004" s="5" t="s">
        <v>21</v>
      </c>
      <c r="I6004" s="5" t="s">
        <v>14671</v>
      </c>
      <c r="J6004" s="12" t="str">
        <f>HYPERLINK("https://www.boe.es/gazeta/dias/1802/02/19/pdfs/GMD-1802-15.pdf#page=10","Abrir facsímil")</f>
        <v>Abrir facsímil</v>
      </c>
      <c r="K6004" s="15" t="s">
        <v>23</v>
      </c>
    </row>
    <row r="6005" spans="1:11" ht="42" customHeight="1">
      <c r="A6005" s="4" t="s">
        <v>14672</v>
      </c>
      <c r="B6005" s="5" t="s">
        <v>14673</v>
      </c>
      <c r="C6005" s="5" t="s">
        <v>18</v>
      </c>
      <c r="D6005" s="5" t="s">
        <v>19</v>
      </c>
      <c r="E6005" s="5" t="s">
        <v>1749</v>
      </c>
      <c r="F6005" s="9">
        <v>60</v>
      </c>
      <c r="G6005" s="9">
        <v>719</v>
      </c>
      <c r="H6005" s="5" t="s">
        <v>21</v>
      </c>
      <c r="I6005" s="5" t="s">
        <v>14674</v>
      </c>
      <c r="J6005" s="12" t="str">
        <f>HYPERLINK("https://www.boe.es/gazeta/dias/1802/07/23/pdfs/GMD-1802-60.pdf#page=3","Abrir facsímil")</f>
        <v>Abrir facsímil</v>
      </c>
      <c r="K6005" s="15" t="s">
        <v>23</v>
      </c>
    </row>
    <row r="6006" spans="1:11" ht="42" customHeight="1">
      <c r="A6006" s="4" t="s">
        <v>14675</v>
      </c>
      <c r="B6006" s="5" t="s">
        <v>14676</v>
      </c>
      <c r="C6006" s="5" t="s">
        <v>29</v>
      </c>
      <c r="D6006" s="5" t="s">
        <v>30</v>
      </c>
      <c r="E6006" s="5" t="s">
        <v>710</v>
      </c>
      <c r="F6006" s="9">
        <v>85</v>
      </c>
      <c r="G6006" s="9">
        <v>1056</v>
      </c>
      <c r="H6006" s="5" t="s">
        <v>21</v>
      </c>
      <c r="I6006" s="5" t="s">
        <v>14677</v>
      </c>
      <c r="J6006" s="12" t="str">
        <f>HYPERLINK("https://www.boe.es/gazeta/dias/1802/10/19/pdfs/GMD-1802-85.pdf#page=8","Abrir facsímil")</f>
        <v>Abrir facsímil</v>
      </c>
      <c r="K6006" s="15" t="s">
        <v>23</v>
      </c>
    </row>
    <row r="6007" spans="1:11" ht="42" customHeight="1">
      <c r="A6007" s="4" t="s">
        <v>14678</v>
      </c>
      <c r="B6007" s="5" t="s">
        <v>14679</v>
      </c>
      <c r="C6007" s="5" t="s">
        <v>18</v>
      </c>
      <c r="D6007" s="5" t="s">
        <v>19</v>
      </c>
      <c r="E6007" s="5" t="s">
        <v>114</v>
      </c>
      <c r="F6007" s="9">
        <v>82</v>
      </c>
      <c r="G6007" s="9">
        <v>1010</v>
      </c>
      <c r="H6007" s="5" t="s">
        <v>21</v>
      </c>
      <c r="I6007" s="5" t="s">
        <v>14680</v>
      </c>
      <c r="J6007" s="12" t="str">
        <f>HYPERLINK("https://www.boe.es/gazeta/dias/1802/10/08/pdfs/GMD-1802-82.pdf#page=10","Abrir facsímil")</f>
        <v>Abrir facsímil</v>
      </c>
      <c r="K6007" s="15" t="s">
        <v>23</v>
      </c>
    </row>
    <row r="6008" spans="1:11" ht="42" customHeight="1">
      <c r="A6008" s="4" t="s">
        <v>14678</v>
      </c>
      <c r="B6008" s="5" t="s">
        <v>14679</v>
      </c>
      <c r="C6008" s="5" t="s">
        <v>18</v>
      </c>
      <c r="D6008" s="5" t="s">
        <v>19</v>
      </c>
      <c r="E6008" s="5" t="s">
        <v>114</v>
      </c>
      <c r="F6008" s="9">
        <v>82</v>
      </c>
      <c r="G6008" s="9">
        <v>1011</v>
      </c>
      <c r="H6008" s="5" t="s">
        <v>21</v>
      </c>
      <c r="I6008" s="5" t="s">
        <v>14681</v>
      </c>
      <c r="J6008" s="12" t="str">
        <f>HYPERLINK("https://www.boe.es/gazeta/dias/1802/10/08/pdfs/GMD-1802-82.pdf#page=11","Abrir facsímil")</f>
        <v>Abrir facsímil</v>
      </c>
      <c r="K6008" s="15" t="s">
        <v>23</v>
      </c>
    </row>
    <row r="6009" spans="1:11" ht="42" customHeight="1">
      <c r="A6009" s="4" t="s">
        <v>14682</v>
      </c>
      <c r="B6009" s="5" t="s">
        <v>14683</v>
      </c>
      <c r="C6009" s="5" t="s">
        <v>18</v>
      </c>
      <c r="D6009" s="5" t="s">
        <v>19</v>
      </c>
      <c r="E6009" s="5" t="s">
        <v>1113</v>
      </c>
      <c r="F6009" s="9">
        <v>6</v>
      </c>
      <c r="G6009" s="9">
        <v>57</v>
      </c>
      <c r="H6009" s="5" t="s">
        <v>21</v>
      </c>
      <c r="I6009" s="5" t="s">
        <v>14684</v>
      </c>
      <c r="J6009" s="12" t="str">
        <f>HYPERLINK("https://www.boe.es/gazeta/dias/1802/01/19/pdfs/GMD-1802-6.pdf#page=5","Abrir facsímil")</f>
        <v>Abrir facsímil</v>
      </c>
      <c r="K6009" s="15" t="s">
        <v>23</v>
      </c>
    </row>
    <row r="6010" spans="1:11" ht="42" customHeight="1">
      <c r="A6010" s="4" t="s">
        <v>14685</v>
      </c>
      <c r="B6010" s="5" t="s">
        <v>14686</v>
      </c>
      <c r="C6010" s="5" t="s">
        <v>35</v>
      </c>
      <c r="D6010" s="5" t="s">
        <v>36</v>
      </c>
      <c r="E6010" s="5" t="s">
        <v>491</v>
      </c>
      <c r="F6010" s="9">
        <v>57</v>
      </c>
      <c r="G6010" s="9">
        <v>682</v>
      </c>
      <c r="H6010" s="5" t="s">
        <v>21</v>
      </c>
      <c r="I6010" s="5" t="s">
        <v>14687</v>
      </c>
      <c r="J6010" s="12" t="str">
        <f>HYPERLINK("https://www.boe.es/gazeta/dias/1802/07/16/pdfs/GMD-1802-57.pdf#page=2","Abrir facsímil")</f>
        <v>Abrir facsímil</v>
      </c>
      <c r="K6010" s="15" t="s">
        <v>23</v>
      </c>
    </row>
    <row r="6011" spans="1:11" ht="42" customHeight="1">
      <c r="A6011" s="4" t="s">
        <v>14688</v>
      </c>
      <c r="B6011" s="5" t="s">
        <v>14689</v>
      </c>
      <c r="C6011" s="5" t="s">
        <v>18</v>
      </c>
      <c r="D6011" s="5" t="s">
        <v>19</v>
      </c>
      <c r="E6011" s="5" t="s">
        <v>49</v>
      </c>
      <c r="F6011" s="9">
        <v>83</v>
      </c>
      <c r="G6011" s="9">
        <v>1025</v>
      </c>
      <c r="H6011" s="5" t="s">
        <v>21</v>
      </c>
      <c r="I6011" s="5" t="s">
        <v>14690</v>
      </c>
      <c r="J6011" s="12" t="str">
        <f>HYPERLINK("https://www.boe.es/gazeta/dias/1802/10/12/pdfs/GMD-1802-83.pdf#page=13","Abrir facsímil")</f>
        <v>Abrir facsímil</v>
      </c>
      <c r="K6011" s="15" t="s">
        <v>23</v>
      </c>
    </row>
    <row r="6012" spans="1:11" ht="42" customHeight="1">
      <c r="A6012" s="4" t="s">
        <v>14691</v>
      </c>
      <c r="B6012" s="5" t="s">
        <v>14692</v>
      </c>
      <c r="C6012" s="5" t="s">
        <v>42</v>
      </c>
      <c r="D6012" s="5" t="s">
        <v>43</v>
      </c>
      <c r="E6012" s="5" t="s">
        <v>44</v>
      </c>
      <c r="F6012" s="9">
        <v>99</v>
      </c>
      <c r="G6012" s="9" t="s">
        <v>272</v>
      </c>
      <c r="H6012" s="5" t="s">
        <v>21</v>
      </c>
      <c r="I6012" s="5" t="s">
        <v>14693</v>
      </c>
      <c r="J6012" s="12" t="str">
        <f>HYPERLINK("https://www.boe.es/gazeta/dias/1802/12/07/pdfs/GMD-D-1802-99.pdf#page=3","Abrir facsímil")</f>
        <v>Abrir facsímil</v>
      </c>
      <c r="K6012" s="15" t="s">
        <v>23</v>
      </c>
    </row>
    <row r="6013" spans="1:11" ht="42" customHeight="1">
      <c r="A6013" s="4" t="s">
        <v>14694</v>
      </c>
      <c r="B6013" s="5" t="s">
        <v>14695</v>
      </c>
      <c r="C6013" s="5" t="s">
        <v>90</v>
      </c>
      <c r="D6013" s="5" t="s">
        <v>91</v>
      </c>
      <c r="E6013" s="5" t="s">
        <v>1051</v>
      </c>
      <c r="F6013" s="9">
        <v>43</v>
      </c>
      <c r="G6013" s="9">
        <v>517</v>
      </c>
      <c r="H6013" s="5" t="s">
        <v>21</v>
      </c>
      <c r="I6013" s="5" t="s">
        <v>14696</v>
      </c>
      <c r="J6013" s="12" t="str">
        <f>HYPERLINK("https://www.boe.es/gazeta/dias/1802/05/28/pdfs/GMD-1802-43.pdf#page=9","Abrir facsímil")</f>
        <v>Abrir facsímil</v>
      </c>
      <c r="K6013" s="15" t="s">
        <v>23</v>
      </c>
    </row>
    <row r="6014" spans="1:11" ht="42" customHeight="1">
      <c r="A6014" s="4" t="s">
        <v>14697</v>
      </c>
      <c r="B6014" s="5" t="s">
        <v>14698</v>
      </c>
      <c r="C6014" s="5" t="s">
        <v>29</v>
      </c>
      <c r="D6014" s="5" t="s">
        <v>30</v>
      </c>
      <c r="E6014" s="5" t="s">
        <v>299</v>
      </c>
      <c r="F6014" s="9">
        <v>19</v>
      </c>
      <c r="G6014" s="9">
        <v>210</v>
      </c>
      <c r="H6014" s="5" t="s">
        <v>21</v>
      </c>
      <c r="I6014" s="5" t="s">
        <v>14699</v>
      </c>
      <c r="J6014" s="12" t="str">
        <f>HYPERLINK("https://www.boe.es/gazeta/dias/1802/03/05/pdfs/GMD-1802-19.pdf#page=10","Abrir facsímil")</f>
        <v>Abrir facsímil</v>
      </c>
      <c r="K6014" s="15" t="s">
        <v>23</v>
      </c>
    </row>
    <row r="6015" spans="1:11" ht="42" customHeight="1">
      <c r="A6015" s="4" t="s">
        <v>14700</v>
      </c>
      <c r="B6015" s="5" t="s">
        <v>14700</v>
      </c>
      <c r="C6015" s="5" t="s">
        <v>35</v>
      </c>
      <c r="D6015" s="5" t="s">
        <v>36</v>
      </c>
      <c r="E6015" s="5" t="s">
        <v>311</v>
      </c>
      <c r="F6015" s="9">
        <v>88</v>
      </c>
      <c r="G6015" s="9">
        <v>1091</v>
      </c>
      <c r="H6015" s="5" t="s">
        <v>21</v>
      </c>
      <c r="I6015" s="5" t="s">
        <v>14701</v>
      </c>
      <c r="J6015" s="12" t="str">
        <f>HYPERLINK("https://www.boe.es/gazeta/dias/1802/10/29/pdfs/GMD-1802-88.pdf#page=7","Abrir facsímil")</f>
        <v>Abrir facsímil</v>
      </c>
      <c r="K6015" s="15" t="s">
        <v>23</v>
      </c>
    </row>
    <row r="6016" spans="1:11" ht="42" customHeight="1">
      <c r="A6016" s="4" t="s">
        <v>14702</v>
      </c>
      <c r="B6016" s="5" t="s">
        <v>14702</v>
      </c>
      <c r="C6016" s="5" t="s">
        <v>18</v>
      </c>
      <c r="D6016" s="5" t="s">
        <v>19</v>
      </c>
      <c r="E6016" s="5" t="s">
        <v>886</v>
      </c>
      <c r="F6016" s="9">
        <v>7</v>
      </c>
      <c r="G6016" s="9">
        <v>64</v>
      </c>
      <c r="H6016" s="5" t="s">
        <v>21</v>
      </c>
      <c r="I6016" s="5" t="s">
        <v>14703</v>
      </c>
      <c r="J6016" s="12" t="str">
        <f>HYPERLINK("https://www.boe.es/gazeta/dias/1802/01/22/pdfs/GMD-1802-7.pdf#page=4","Abrir facsímil")</f>
        <v>Abrir facsímil</v>
      </c>
      <c r="K6016" s="15" t="s">
        <v>23</v>
      </c>
    </row>
    <row r="6017" spans="1:11" ht="42" customHeight="1">
      <c r="A6017" s="4" t="s">
        <v>14702</v>
      </c>
      <c r="B6017" s="5" t="s">
        <v>14702</v>
      </c>
      <c r="C6017" s="5" t="s">
        <v>35</v>
      </c>
      <c r="D6017" s="5" t="s">
        <v>36</v>
      </c>
      <c r="E6017" s="5" t="s">
        <v>109</v>
      </c>
      <c r="F6017" s="9">
        <v>10</v>
      </c>
      <c r="G6017" s="9">
        <v>97</v>
      </c>
      <c r="H6017" s="5" t="s">
        <v>21</v>
      </c>
      <c r="I6017" s="5" t="s">
        <v>14704</v>
      </c>
      <c r="J6017" s="12" t="str">
        <f>HYPERLINK("https://www.boe.es/gazeta/dias/1802/02/02/pdfs/GMD-1802-10.pdf#page=5","Abrir facsímil")</f>
        <v>Abrir facsímil</v>
      </c>
      <c r="K6017" s="15" t="s">
        <v>23</v>
      </c>
    </row>
    <row r="6018" spans="1:11" ht="42" customHeight="1">
      <c r="A6018" s="4" t="s">
        <v>14705</v>
      </c>
      <c r="B6018" s="5" t="s">
        <v>14705</v>
      </c>
      <c r="C6018" s="5" t="s">
        <v>35</v>
      </c>
      <c r="D6018" s="5" t="s">
        <v>36</v>
      </c>
      <c r="E6018" s="5" t="s">
        <v>900</v>
      </c>
      <c r="F6018" s="9">
        <v>16</v>
      </c>
      <c r="G6018" s="9">
        <v>164</v>
      </c>
      <c r="H6018" s="5" t="s">
        <v>21</v>
      </c>
      <c r="I6018" s="5" t="s">
        <v>14706</v>
      </c>
      <c r="J6018" s="12" t="str">
        <f>HYPERLINK("https://www.boe.es/gazeta/dias/1802/02/23/pdfs/GMD-1802-16.pdf#page=4","Abrir facsímil")</f>
        <v>Abrir facsímil</v>
      </c>
      <c r="K6018" s="15" t="s">
        <v>23</v>
      </c>
    </row>
    <row r="6019" spans="1:11" ht="42" customHeight="1">
      <c r="A6019" s="4" t="s">
        <v>14702</v>
      </c>
      <c r="B6019" s="5" t="s">
        <v>14702</v>
      </c>
      <c r="C6019" s="5" t="s">
        <v>35</v>
      </c>
      <c r="D6019" s="5" t="s">
        <v>36</v>
      </c>
      <c r="E6019" s="5" t="s">
        <v>71</v>
      </c>
      <c r="F6019" s="9">
        <v>21</v>
      </c>
      <c r="G6019" s="9">
        <v>227</v>
      </c>
      <c r="H6019" s="5" t="s">
        <v>21</v>
      </c>
      <c r="I6019" s="5" t="s">
        <v>14707</v>
      </c>
      <c r="J6019" s="12" t="str">
        <f>HYPERLINK("https://www.boe.es/gazeta/dias/1802/03/12/pdfs/GMD-1802-21.pdf#page=3","Abrir facsímil")</f>
        <v>Abrir facsímil</v>
      </c>
      <c r="K6019" s="15" t="s">
        <v>23</v>
      </c>
    </row>
    <row r="6020" spans="1:11" ht="42" customHeight="1">
      <c r="A6020" s="4" t="s">
        <v>14702</v>
      </c>
      <c r="B6020" s="5" t="s">
        <v>14702</v>
      </c>
      <c r="C6020" s="5" t="s">
        <v>18</v>
      </c>
      <c r="D6020" s="5" t="s">
        <v>19</v>
      </c>
      <c r="E6020" s="5" t="s">
        <v>814</v>
      </c>
      <c r="F6020" s="9">
        <v>41</v>
      </c>
      <c r="G6020" s="9">
        <v>488</v>
      </c>
      <c r="H6020" s="5" t="s">
        <v>21</v>
      </c>
      <c r="I6020" s="5" t="s">
        <v>14708</v>
      </c>
      <c r="J6020" s="12" t="str">
        <f>HYPERLINK("https://www.boe.es/gazeta/dias/1802/05/21/pdfs/GMD-1802-41.pdf#page=4","Abrir facsímil")</f>
        <v>Abrir facsímil</v>
      </c>
      <c r="K6020" s="15" t="s">
        <v>23</v>
      </c>
    </row>
    <row r="6021" spans="1:11" ht="42" customHeight="1">
      <c r="A6021" s="4" t="s">
        <v>14702</v>
      </c>
      <c r="B6021" s="5" t="s">
        <v>14702</v>
      </c>
      <c r="C6021" s="5" t="s">
        <v>35</v>
      </c>
      <c r="D6021" s="5" t="s">
        <v>36</v>
      </c>
      <c r="E6021" s="5" t="s">
        <v>146</v>
      </c>
      <c r="F6021" s="9">
        <v>42</v>
      </c>
      <c r="G6021" s="9">
        <v>501</v>
      </c>
      <c r="H6021" s="5" t="s">
        <v>21</v>
      </c>
      <c r="I6021" s="5" t="s">
        <v>14709</v>
      </c>
      <c r="J6021" s="12" t="str">
        <f>HYPERLINK("https://www.boe.es/gazeta/dias/1802/05/25/pdfs/GMD-1802-42.pdf#page=5","Abrir facsímil")</f>
        <v>Abrir facsímil</v>
      </c>
      <c r="K6021" s="15" t="s">
        <v>23</v>
      </c>
    </row>
    <row r="6022" spans="1:11" ht="42" customHeight="1">
      <c r="A6022" s="4" t="s">
        <v>14710</v>
      </c>
      <c r="B6022" s="5" t="s">
        <v>14711</v>
      </c>
      <c r="C6022" s="5" t="s">
        <v>29</v>
      </c>
      <c r="D6022" s="5" t="s">
        <v>30</v>
      </c>
      <c r="E6022" s="5" t="s">
        <v>114</v>
      </c>
      <c r="F6022" s="9">
        <v>82</v>
      </c>
      <c r="G6022" s="9">
        <v>1011</v>
      </c>
      <c r="H6022" s="5" t="s">
        <v>21</v>
      </c>
      <c r="I6022" s="5" t="s">
        <v>14712</v>
      </c>
      <c r="J6022" s="12" t="str">
        <f>HYPERLINK("https://www.boe.es/gazeta/dias/1802/10/08/pdfs/GMD-1802-82.pdf#page=11","Abrir facsímil")</f>
        <v>Abrir facsímil</v>
      </c>
      <c r="K6022" s="15" t="s">
        <v>23</v>
      </c>
    </row>
    <row r="6023" spans="1:11" ht="42" customHeight="1">
      <c r="A6023" s="4" t="s">
        <v>14713</v>
      </c>
      <c r="B6023" s="5" t="s">
        <v>14714</v>
      </c>
      <c r="C6023" s="5" t="s">
        <v>29</v>
      </c>
      <c r="D6023" s="5" t="s">
        <v>30</v>
      </c>
      <c r="E6023" s="5" t="s">
        <v>146</v>
      </c>
      <c r="F6023" s="9">
        <v>42</v>
      </c>
      <c r="G6023" s="9">
        <v>506</v>
      </c>
      <c r="H6023" s="5" t="s">
        <v>21</v>
      </c>
      <c r="I6023" s="5" t="s">
        <v>14715</v>
      </c>
      <c r="J6023" s="12" t="str">
        <f>HYPERLINK("https://www.boe.es/gazeta/dias/1802/05/25/pdfs/GMD-1802-42.pdf#page=10","Abrir facsímil")</f>
        <v>Abrir facsímil</v>
      </c>
      <c r="K6023" s="15" t="s">
        <v>23</v>
      </c>
    </row>
    <row r="6024" spans="1:11" ht="42" customHeight="1">
      <c r="A6024" s="4" t="s">
        <v>14716</v>
      </c>
      <c r="B6024" s="5" t="s">
        <v>14717</v>
      </c>
      <c r="C6024" s="5" t="s">
        <v>90</v>
      </c>
      <c r="D6024" s="5" t="s">
        <v>91</v>
      </c>
      <c r="E6024" s="5" t="s">
        <v>1588</v>
      </c>
      <c r="F6024" s="9">
        <v>18</v>
      </c>
      <c r="G6024" s="9">
        <v>199</v>
      </c>
      <c r="H6024" s="5" t="s">
        <v>21</v>
      </c>
      <c r="I6024" s="5" t="s">
        <v>14718</v>
      </c>
      <c r="J6024" s="12" t="str">
        <f>HYPERLINK("https://www.boe.es/gazeta/dias/1802/03/02/pdfs/GMD-1802-18.pdf#page=11","Abrir facsímil")</f>
        <v>Abrir facsímil</v>
      </c>
      <c r="K6024" s="15" t="s">
        <v>23</v>
      </c>
    </row>
    <row r="6025" spans="1:11" ht="42" customHeight="1">
      <c r="A6025" s="4" t="s">
        <v>14719</v>
      </c>
      <c r="B6025" s="5" t="s">
        <v>14720</v>
      </c>
      <c r="C6025" s="5" t="s">
        <v>18</v>
      </c>
      <c r="D6025" s="5" t="s">
        <v>19</v>
      </c>
      <c r="E6025" s="5" t="s">
        <v>49</v>
      </c>
      <c r="F6025" s="9">
        <v>83</v>
      </c>
      <c r="G6025" s="9">
        <v>1024</v>
      </c>
      <c r="H6025" s="5" t="s">
        <v>21</v>
      </c>
      <c r="I6025" s="5" t="s">
        <v>14721</v>
      </c>
      <c r="J6025" s="12" t="str">
        <f>HYPERLINK("https://www.boe.es/gazeta/dias/1802/10/12/pdfs/GMD-1802-83.pdf#page=12","Abrir facsímil")</f>
        <v>Abrir facsímil</v>
      </c>
      <c r="K6025" s="15" t="s">
        <v>23</v>
      </c>
    </row>
    <row r="6026" spans="1:11" ht="42" customHeight="1">
      <c r="A6026" s="4" t="s">
        <v>14722</v>
      </c>
      <c r="B6026" s="5" t="s">
        <v>14722</v>
      </c>
      <c r="C6026" s="5" t="s">
        <v>29</v>
      </c>
      <c r="D6026" s="5" t="s">
        <v>30</v>
      </c>
      <c r="E6026" s="5" t="s">
        <v>114</v>
      </c>
      <c r="F6026" s="9">
        <v>82</v>
      </c>
      <c r="G6026" s="9">
        <v>1008</v>
      </c>
      <c r="H6026" s="5" t="s">
        <v>21</v>
      </c>
      <c r="I6026" s="5" t="s">
        <v>14723</v>
      </c>
      <c r="J6026" s="12" t="str">
        <f>HYPERLINK("https://www.boe.es/gazeta/dias/1802/10/08/pdfs/GMD-1802-82.pdf#page=8","Abrir facsímil")</f>
        <v>Abrir facsímil</v>
      </c>
      <c r="K6026" s="15" t="s">
        <v>23</v>
      </c>
    </row>
    <row r="6027" spans="1:11" ht="42" customHeight="1">
      <c r="A6027" s="4" t="s">
        <v>14724</v>
      </c>
      <c r="B6027" s="5" t="s">
        <v>14724</v>
      </c>
      <c r="C6027" s="5" t="s">
        <v>29</v>
      </c>
      <c r="D6027" s="5" t="s">
        <v>30</v>
      </c>
      <c r="E6027" s="5" t="s">
        <v>219</v>
      </c>
      <c r="F6027" s="9">
        <v>81</v>
      </c>
      <c r="G6027" s="9">
        <v>993</v>
      </c>
      <c r="H6027" s="5" t="s">
        <v>21</v>
      </c>
      <c r="I6027" s="5" t="s">
        <v>14725</v>
      </c>
      <c r="J6027" s="12" t="str">
        <f>HYPERLINK("https://www.boe.es/gazeta/dias/1802/10/05/pdfs/GMD-1802-81.pdf#page=5","Abrir facsímil")</f>
        <v>Abrir facsímil</v>
      </c>
      <c r="K6027" s="15" t="s">
        <v>23</v>
      </c>
    </row>
    <row r="6028" spans="1:11" ht="42" customHeight="1">
      <c r="A6028" s="4" t="s">
        <v>14726</v>
      </c>
      <c r="B6028" s="5" t="s">
        <v>14726</v>
      </c>
      <c r="C6028" s="5" t="s">
        <v>35</v>
      </c>
      <c r="D6028" s="5" t="s">
        <v>36</v>
      </c>
      <c r="E6028" s="5" t="s">
        <v>590</v>
      </c>
      <c r="F6028" s="9">
        <v>38</v>
      </c>
      <c r="G6028" s="9">
        <v>449</v>
      </c>
      <c r="H6028" s="5" t="s">
        <v>21</v>
      </c>
      <c r="I6028" s="5" t="s">
        <v>10640</v>
      </c>
      <c r="J6028" s="12" t="str">
        <f>HYPERLINK("https://www.boe.es/gazeta/dias/1802/05/11/pdfs/GMD-1802-38.pdf#page=5","Abrir facsímil")</f>
        <v>Abrir facsímil</v>
      </c>
      <c r="K6028" s="15" t="s">
        <v>23</v>
      </c>
    </row>
    <row r="6029" spans="1:11" ht="42" customHeight="1">
      <c r="A6029" s="4" t="s">
        <v>14726</v>
      </c>
      <c r="B6029" s="5" t="s">
        <v>14726</v>
      </c>
      <c r="C6029" s="5" t="s">
        <v>18</v>
      </c>
      <c r="D6029" s="5" t="s">
        <v>19</v>
      </c>
      <c r="E6029" s="5" t="s">
        <v>25</v>
      </c>
      <c r="F6029" s="9">
        <v>44</v>
      </c>
      <c r="G6029" s="9">
        <v>529</v>
      </c>
      <c r="H6029" s="5" t="s">
        <v>21</v>
      </c>
      <c r="I6029" s="5" t="s">
        <v>14727</v>
      </c>
      <c r="J6029" s="12" t="str">
        <f>HYPERLINK("https://www.boe.es/gazeta/dias/1802/06/01/pdfs/GMD-1802-44.pdf#page=5","Abrir facsímil")</f>
        <v>Abrir facsímil</v>
      </c>
      <c r="K6029" s="15" t="s">
        <v>23</v>
      </c>
    </row>
    <row r="6030" spans="1:11" ht="42" customHeight="1">
      <c r="A6030" s="4" t="s">
        <v>14728</v>
      </c>
      <c r="B6030" s="5" t="s">
        <v>14728</v>
      </c>
      <c r="C6030" s="5" t="s">
        <v>35</v>
      </c>
      <c r="D6030" s="5" t="s">
        <v>36</v>
      </c>
      <c r="E6030" s="5" t="s">
        <v>192</v>
      </c>
      <c r="F6030" s="9">
        <v>53</v>
      </c>
      <c r="G6030" s="9">
        <v>640</v>
      </c>
      <c r="H6030" s="5" t="s">
        <v>21</v>
      </c>
      <c r="I6030" s="5" t="s">
        <v>14729</v>
      </c>
      <c r="J6030" s="12" t="str">
        <f>HYPERLINK("https://www.boe.es/gazeta/dias/1802/07/02/pdfs/GMD-1802-53.pdf#page=8","Abrir facsímil")</f>
        <v>Abrir facsímil</v>
      </c>
      <c r="K6030" s="15" t="s">
        <v>23</v>
      </c>
    </row>
    <row r="6031" spans="1:11" ht="42" customHeight="1">
      <c r="A6031" s="4" t="s">
        <v>14730</v>
      </c>
      <c r="B6031" s="5" t="s">
        <v>14730</v>
      </c>
      <c r="C6031" s="5" t="s">
        <v>18</v>
      </c>
      <c r="D6031" s="5" t="s">
        <v>19</v>
      </c>
      <c r="E6031" s="5" t="s">
        <v>25</v>
      </c>
      <c r="F6031" s="9">
        <v>44</v>
      </c>
      <c r="G6031" s="9">
        <v>531</v>
      </c>
      <c r="H6031" s="5" t="s">
        <v>21</v>
      </c>
      <c r="I6031" s="5" t="s">
        <v>14731</v>
      </c>
      <c r="J6031" s="12" t="str">
        <f>HYPERLINK("https://www.boe.es/gazeta/dias/1802/06/01/pdfs/GMD-1802-44.pdf#page=7","Abrir facsímil")</f>
        <v>Abrir facsímil</v>
      </c>
      <c r="K6031" s="15" t="s">
        <v>23</v>
      </c>
    </row>
    <row r="6032" spans="1:11" ht="42" customHeight="1">
      <c r="A6032" s="4" t="s">
        <v>14732</v>
      </c>
      <c r="B6032" s="5" t="s">
        <v>14733</v>
      </c>
      <c r="C6032" s="5" t="s">
        <v>90</v>
      </c>
      <c r="D6032" s="5" t="s">
        <v>91</v>
      </c>
      <c r="E6032" s="5" t="s">
        <v>754</v>
      </c>
      <c r="F6032" s="9">
        <v>101</v>
      </c>
      <c r="G6032" s="9">
        <v>1241</v>
      </c>
      <c r="H6032" s="5" t="s">
        <v>21</v>
      </c>
      <c r="I6032" s="5" t="s">
        <v>14734</v>
      </c>
      <c r="J6032" s="12" t="str">
        <f>HYPERLINK("https://www.boe.es/gazeta/dias/1802/12/14/pdfs/GMD-1802-101.pdf#page=5","Abrir facsímil")</f>
        <v>Abrir facsímil</v>
      </c>
      <c r="K6032" s="15" t="s">
        <v>23</v>
      </c>
    </row>
    <row r="6033" spans="1:11" ht="42" customHeight="1">
      <c r="A6033" s="4" t="s">
        <v>14735</v>
      </c>
      <c r="B6033" s="5" t="s">
        <v>14735</v>
      </c>
      <c r="C6033" s="5" t="s">
        <v>18</v>
      </c>
      <c r="D6033" s="5" t="s">
        <v>19</v>
      </c>
      <c r="E6033" s="5" t="s">
        <v>678</v>
      </c>
      <c r="F6033" s="9">
        <v>15</v>
      </c>
      <c r="G6033" s="9">
        <v>154</v>
      </c>
      <c r="H6033" s="5" t="s">
        <v>21</v>
      </c>
      <c r="I6033" s="5" t="s">
        <v>14736</v>
      </c>
      <c r="J6033" s="12" t="str">
        <f>HYPERLINK("https://www.boe.es/gazeta/dias/1802/02/19/pdfs/GMD-1802-15.pdf#page=6","Abrir facsímil")</f>
        <v>Abrir facsímil</v>
      </c>
      <c r="K6033" s="15" t="s">
        <v>23</v>
      </c>
    </row>
    <row r="6034" spans="1:11" ht="42" customHeight="1">
      <c r="A6034" s="4" t="s">
        <v>14737</v>
      </c>
      <c r="B6034" s="5" t="s">
        <v>14738</v>
      </c>
      <c r="C6034" s="5" t="s">
        <v>29</v>
      </c>
      <c r="D6034" s="5" t="s">
        <v>30</v>
      </c>
      <c r="E6034" s="5" t="s">
        <v>146</v>
      </c>
      <c r="F6034" s="9">
        <v>42</v>
      </c>
      <c r="G6034" s="9">
        <v>505</v>
      </c>
      <c r="H6034" s="5" t="s">
        <v>21</v>
      </c>
      <c r="I6034" s="5" t="s">
        <v>14739</v>
      </c>
      <c r="J6034" s="12" t="str">
        <f>HYPERLINK("https://www.boe.es/gazeta/dias/1802/05/25/pdfs/GMD-1802-42.pdf#page=9","Abrir facsímil")</f>
        <v>Abrir facsímil</v>
      </c>
      <c r="K6034" s="15" t="s">
        <v>23</v>
      </c>
    </row>
    <row r="6035" spans="1:11" ht="42" customHeight="1">
      <c r="A6035" s="4" t="s">
        <v>14740</v>
      </c>
      <c r="B6035" s="5" t="s">
        <v>14741</v>
      </c>
      <c r="C6035" s="5" t="s">
        <v>29</v>
      </c>
      <c r="D6035" s="5" t="s">
        <v>30</v>
      </c>
      <c r="E6035" s="5" t="s">
        <v>1051</v>
      </c>
      <c r="F6035" s="9">
        <v>43</v>
      </c>
      <c r="G6035" s="9">
        <v>518</v>
      </c>
      <c r="H6035" s="5" t="s">
        <v>21</v>
      </c>
      <c r="I6035" s="5" t="s">
        <v>14742</v>
      </c>
      <c r="J6035" s="12" t="str">
        <f>HYPERLINK("https://www.boe.es/gazeta/dias/1802/05/28/pdfs/GMD-1802-43.pdf#page=10","Abrir facsímil")</f>
        <v>Abrir facsímil</v>
      </c>
      <c r="K6035" s="15" t="s">
        <v>23</v>
      </c>
    </row>
    <row r="6036" spans="1:11" ht="42" customHeight="1">
      <c r="A6036" s="4" t="s">
        <v>14743</v>
      </c>
      <c r="B6036" s="5" t="s">
        <v>14744</v>
      </c>
      <c r="C6036" s="5" t="s">
        <v>29</v>
      </c>
      <c r="D6036" s="5" t="s">
        <v>30</v>
      </c>
      <c r="E6036" s="5" t="s">
        <v>152</v>
      </c>
      <c r="F6036" s="9">
        <v>25</v>
      </c>
      <c r="G6036" s="9">
        <v>286</v>
      </c>
      <c r="H6036" s="5" t="s">
        <v>21</v>
      </c>
      <c r="I6036" s="5" t="s">
        <v>14745</v>
      </c>
      <c r="J6036" s="12" t="str">
        <f>HYPERLINK("https://www.boe.es/gazeta/dias/1802/03/26/pdfs/GMD-1802-25.pdf#page=10","Abrir facsímil")</f>
        <v>Abrir facsímil</v>
      </c>
      <c r="K6036" s="15" t="s">
        <v>23</v>
      </c>
    </row>
    <row r="6037" spans="1:11" ht="42" customHeight="1">
      <c r="A6037" s="4" t="s">
        <v>14746</v>
      </c>
      <c r="B6037" s="5" t="s">
        <v>14746</v>
      </c>
      <c r="C6037" s="5" t="s">
        <v>18</v>
      </c>
      <c r="D6037" s="5" t="s">
        <v>19</v>
      </c>
      <c r="E6037" s="5" t="s">
        <v>49</v>
      </c>
      <c r="F6037" s="9">
        <v>83</v>
      </c>
      <c r="G6037" s="9">
        <v>1016</v>
      </c>
      <c r="H6037" s="5" t="s">
        <v>21</v>
      </c>
      <c r="I6037" s="5" t="s">
        <v>14747</v>
      </c>
      <c r="J6037" s="12" t="str">
        <f>HYPERLINK("https://www.boe.es/gazeta/dias/1802/10/12/pdfs/GMD-1802-83.pdf#page=4","Abrir facsímil")</f>
        <v>Abrir facsímil</v>
      </c>
      <c r="K6037" s="15" t="s">
        <v>23</v>
      </c>
    </row>
    <row r="6038" spans="1:11" ht="42" customHeight="1">
      <c r="A6038" s="4" t="s">
        <v>14748</v>
      </c>
      <c r="B6038" s="5" t="s">
        <v>14749</v>
      </c>
      <c r="C6038" s="5" t="s">
        <v>29</v>
      </c>
      <c r="D6038" s="5" t="s">
        <v>30</v>
      </c>
      <c r="E6038" s="5" t="s">
        <v>31</v>
      </c>
      <c r="F6038" s="9">
        <v>27</v>
      </c>
      <c r="G6038" s="9">
        <v>308</v>
      </c>
      <c r="H6038" s="5" t="s">
        <v>21</v>
      </c>
      <c r="I6038" s="5" t="s">
        <v>14750</v>
      </c>
      <c r="J6038" s="12" t="str">
        <f>HYPERLINK("https://www.boe.es/gazeta/dias/1802/04/02/pdfs/GMD-1802-27.pdf#page=4","Abrir facsímil")</f>
        <v>Abrir facsímil</v>
      </c>
      <c r="K6038" s="15" t="s">
        <v>23</v>
      </c>
    </row>
    <row r="6039" spans="1:11" ht="42" customHeight="1">
      <c r="A6039" s="4" t="s">
        <v>14751</v>
      </c>
      <c r="B6039" s="5" t="s">
        <v>14751</v>
      </c>
      <c r="C6039" s="5" t="s">
        <v>55</v>
      </c>
      <c r="D6039" s="5" t="s">
        <v>56</v>
      </c>
      <c r="E6039" s="5" t="s">
        <v>92</v>
      </c>
      <c r="F6039" s="9">
        <v>29</v>
      </c>
      <c r="G6039" s="9">
        <v>344</v>
      </c>
      <c r="H6039" s="5" t="s">
        <v>21</v>
      </c>
      <c r="I6039" s="5" t="s">
        <v>14752</v>
      </c>
      <c r="J6039" s="12" t="str">
        <f>HYPERLINK("https://www.boe.es/gazeta/dias/1802/04/09/pdfs/GMD-1802-29.pdf#page=12","Abrir facsímil")</f>
        <v>Abrir facsímil</v>
      </c>
      <c r="K6039" s="15" t="s">
        <v>23</v>
      </c>
    </row>
    <row r="6040" spans="1:11" ht="42" customHeight="1">
      <c r="A6040" s="4" t="s">
        <v>14753</v>
      </c>
      <c r="B6040" s="5" t="s">
        <v>14754</v>
      </c>
      <c r="C6040" s="5" t="s">
        <v>42</v>
      </c>
      <c r="D6040" s="5" t="s">
        <v>43</v>
      </c>
      <c r="E6040" s="5" t="s">
        <v>44</v>
      </c>
      <c r="F6040" s="9">
        <v>99</v>
      </c>
      <c r="G6040" s="9" t="s">
        <v>548</v>
      </c>
      <c r="H6040" s="5" t="s">
        <v>21</v>
      </c>
      <c r="I6040" s="5" t="s">
        <v>14755</v>
      </c>
      <c r="J6040" s="12" t="str">
        <f>HYPERLINK("https://www.boe.es/gazeta/dias/1802/12/07/pdfs/GMD-D-1802-99.pdf#page=12","Abrir facsímil")</f>
        <v>Abrir facsímil</v>
      </c>
      <c r="K6040" s="15" t="s">
        <v>23</v>
      </c>
    </row>
    <row r="6041" spans="1:11" ht="42" customHeight="1">
      <c r="A6041" s="4" t="s">
        <v>14756</v>
      </c>
      <c r="B6041" s="5" t="s">
        <v>14757</v>
      </c>
      <c r="C6041" s="5" t="s">
        <v>18</v>
      </c>
      <c r="D6041" s="5" t="s">
        <v>19</v>
      </c>
      <c r="E6041" s="5" t="s">
        <v>49</v>
      </c>
      <c r="F6041" s="9">
        <v>83</v>
      </c>
      <c r="G6041" s="9">
        <v>1022</v>
      </c>
      <c r="H6041" s="5" t="s">
        <v>21</v>
      </c>
      <c r="I6041" s="5" t="s">
        <v>14758</v>
      </c>
      <c r="J6041" s="12" t="str">
        <f>HYPERLINK("https://www.boe.es/gazeta/dias/1802/10/12/pdfs/GMD-1802-83.pdf#page=10","Abrir facsímil")</f>
        <v>Abrir facsímil</v>
      </c>
      <c r="K6041" s="15" t="s">
        <v>23</v>
      </c>
    </row>
    <row r="6042" spans="1:11" ht="42" customHeight="1">
      <c r="A6042" s="4" t="s">
        <v>14759</v>
      </c>
      <c r="B6042" s="5" t="s">
        <v>14760</v>
      </c>
      <c r="C6042" s="5" t="s">
        <v>42</v>
      </c>
      <c r="D6042" s="5" t="s">
        <v>43</v>
      </c>
      <c r="E6042" s="5" t="s">
        <v>44</v>
      </c>
      <c r="F6042" s="9">
        <v>99</v>
      </c>
      <c r="G6042" s="9" t="s">
        <v>295</v>
      </c>
      <c r="H6042" s="5" t="s">
        <v>21</v>
      </c>
      <c r="I6042" s="5" t="s">
        <v>14761</v>
      </c>
      <c r="J6042" s="12" t="str">
        <f>HYPERLINK("https://www.boe.es/gazeta/dias/1802/12/07/pdfs/GMD-D-1802-99.pdf#page=7","Abrir facsímil")</f>
        <v>Abrir facsímil</v>
      </c>
      <c r="K6042" s="15" t="s">
        <v>23</v>
      </c>
    </row>
    <row r="6043" spans="1:11" ht="42" customHeight="1">
      <c r="A6043" s="4" t="s">
        <v>14762</v>
      </c>
      <c r="B6043" s="5" t="s">
        <v>14763</v>
      </c>
      <c r="C6043" s="5" t="s">
        <v>18</v>
      </c>
      <c r="D6043" s="5" t="s">
        <v>19</v>
      </c>
      <c r="E6043" s="5" t="s">
        <v>49</v>
      </c>
      <c r="F6043" s="9">
        <v>83</v>
      </c>
      <c r="G6043" s="9">
        <v>1025</v>
      </c>
      <c r="H6043" s="5" t="s">
        <v>21</v>
      </c>
      <c r="I6043" s="5" t="s">
        <v>14764</v>
      </c>
      <c r="J6043" s="12" t="str">
        <f>HYPERLINK("https://www.boe.es/gazeta/dias/1802/10/12/pdfs/GMD-1802-83.pdf#page=13","Abrir facsímil")</f>
        <v>Abrir facsímil</v>
      </c>
      <c r="K6043" s="15" t="s">
        <v>23</v>
      </c>
    </row>
    <row r="6044" spans="1:11" ht="42" customHeight="1">
      <c r="A6044" s="4" t="s">
        <v>14765</v>
      </c>
      <c r="B6044" s="5" t="s">
        <v>14766</v>
      </c>
      <c r="C6044" s="5" t="s">
        <v>42</v>
      </c>
      <c r="D6044" s="5" t="s">
        <v>43</v>
      </c>
      <c r="E6044" s="5" t="s">
        <v>44</v>
      </c>
      <c r="F6044" s="9">
        <v>99</v>
      </c>
      <c r="G6044" s="9" t="s">
        <v>251</v>
      </c>
      <c r="H6044" s="5" t="s">
        <v>21</v>
      </c>
      <c r="I6044" s="5" t="s">
        <v>14767</v>
      </c>
      <c r="J6044" s="12" t="str">
        <f>HYPERLINK("https://www.boe.es/gazeta/dias/1802/12/07/pdfs/GMD-D-1802-99.pdf#page=6","Abrir facsímil")</f>
        <v>Abrir facsímil</v>
      </c>
      <c r="K6044" s="15" t="s">
        <v>23</v>
      </c>
    </row>
    <row r="6045" spans="1:11" ht="42" customHeight="1">
      <c r="A6045" s="4" t="s">
        <v>14768</v>
      </c>
      <c r="B6045" s="5" t="s">
        <v>14769</v>
      </c>
      <c r="C6045" s="5" t="s">
        <v>42</v>
      </c>
      <c r="D6045" s="5" t="s">
        <v>43</v>
      </c>
      <c r="E6045" s="5" t="s">
        <v>44</v>
      </c>
      <c r="F6045" s="9">
        <v>99</v>
      </c>
      <c r="G6045" s="9" t="s">
        <v>314</v>
      </c>
      <c r="H6045" s="5" t="s">
        <v>21</v>
      </c>
      <c r="I6045" s="5" t="s">
        <v>14770</v>
      </c>
      <c r="J6045" s="12" t="str">
        <f>HYPERLINK("https://www.boe.es/gazeta/dias/1802/12/07/pdfs/GMD-D-1802-99.pdf#page=2","Abrir facsímil")</f>
        <v>Abrir facsímil</v>
      </c>
      <c r="K6045" s="15" t="s">
        <v>23</v>
      </c>
    </row>
    <row r="6046" spans="1:11" ht="42" customHeight="1">
      <c r="A6046" s="4" t="s">
        <v>14771</v>
      </c>
      <c r="B6046" s="5" t="s">
        <v>14772</v>
      </c>
      <c r="C6046" s="5" t="s">
        <v>35</v>
      </c>
      <c r="D6046" s="5" t="s">
        <v>36</v>
      </c>
      <c r="E6046" s="5" t="s">
        <v>429</v>
      </c>
      <c r="F6046" s="9">
        <v>91</v>
      </c>
      <c r="G6046" s="9">
        <v>1126</v>
      </c>
      <c r="H6046" s="5" t="s">
        <v>21</v>
      </c>
      <c r="I6046" s="5" t="s">
        <v>14773</v>
      </c>
      <c r="J6046" s="12" t="str">
        <f>HYPERLINK("https://www.boe.es/gazeta/dias/1802/11/09/pdfs/GMD-1802-91.pdf#page=6","Abrir facsímil")</f>
        <v>Abrir facsímil</v>
      </c>
      <c r="K6046" s="15" t="s">
        <v>23</v>
      </c>
    </row>
    <row r="6047" spans="1:11" ht="42" customHeight="1">
      <c r="A6047" s="4" t="s">
        <v>14774</v>
      </c>
      <c r="B6047" s="5" t="s">
        <v>14775</v>
      </c>
      <c r="C6047" s="5" t="s">
        <v>29</v>
      </c>
      <c r="D6047" s="5" t="s">
        <v>30</v>
      </c>
      <c r="E6047" s="5" t="s">
        <v>1618</v>
      </c>
      <c r="F6047" s="9">
        <v>31</v>
      </c>
      <c r="G6047" s="9">
        <v>366</v>
      </c>
      <c r="H6047" s="5" t="s">
        <v>21</v>
      </c>
      <c r="I6047" s="5" t="s">
        <v>14776</v>
      </c>
      <c r="J6047" s="12" t="str">
        <f>HYPERLINK("https://www.boe.es/gazeta/dias/1802/04/16/pdfs/GMD-1802-31.pdf#page=10","Abrir facsímil")</f>
        <v>Abrir facsímil</v>
      </c>
      <c r="K6047" s="15" t="s">
        <v>23</v>
      </c>
    </row>
    <row r="6048" spans="1:11" ht="42" customHeight="1">
      <c r="A6048" s="4" t="s">
        <v>14777</v>
      </c>
      <c r="B6048" s="5" t="s">
        <v>14778</v>
      </c>
      <c r="C6048" s="5" t="s">
        <v>18</v>
      </c>
      <c r="D6048" s="5" t="s">
        <v>19</v>
      </c>
      <c r="E6048" s="5" t="s">
        <v>20</v>
      </c>
      <c r="F6048" s="9">
        <v>84</v>
      </c>
      <c r="G6048" s="9">
        <v>1043</v>
      </c>
      <c r="H6048" s="5" t="s">
        <v>21</v>
      </c>
      <c r="I6048" s="5" t="s">
        <v>14779</v>
      </c>
      <c r="J6048" s="12" t="str">
        <f>HYPERLINK("https://www.boe.es/gazeta/dias/1802/10/15/pdfs/GMD-1802-84.pdf#page=11","Abrir facsímil")</f>
        <v>Abrir facsímil</v>
      </c>
      <c r="K6048" s="15" t="s">
        <v>23</v>
      </c>
    </row>
    <row r="6049" spans="1:11" ht="42" customHeight="1">
      <c r="A6049" s="4" t="s">
        <v>14780</v>
      </c>
      <c r="B6049" s="5" t="s">
        <v>14781</v>
      </c>
      <c r="C6049" s="5" t="s">
        <v>55</v>
      </c>
      <c r="D6049" s="5" t="s">
        <v>56</v>
      </c>
      <c r="E6049" s="5" t="s">
        <v>49</v>
      </c>
      <c r="F6049" s="9">
        <v>83</v>
      </c>
      <c r="G6049" s="9">
        <v>1024</v>
      </c>
      <c r="H6049" s="5" t="s">
        <v>21</v>
      </c>
      <c r="I6049" s="5" t="s">
        <v>14782</v>
      </c>
      <c r="J6049" s="12" t="str">
        <f>HYPERLINK("https://www.boe.es/gazeta/dias/1802/10/12/pdfs/GMD-1802-83.pdf#page=12","Abrir facsímil")</f>
        <v>Abrir facsímil</v>
      </c>
      <c r="K6049" s="15" t="s">
        <v>23</v>
      </c>
    </row>
    <row r="6050" spans="1:11" ht="42" customHeight="1">
      <c r="A6050" s="4" t="s">
        <v>14783</v>
      </c>
      <c r="B6050" s="5" t="s">
        <v>14784</v>
      </c>
      <c r="C6050" s="5" t="s">
        <v>55</v>
      </c>
      <c r="D6050" s="5" t="s">
        <v>56</v>
      </c>
      <c r="E6050" s="5" t="s">
        <v>49</v>
      </c>
      <c r="F6050" s="9">
        <v>83</v>
      </c>
      <c r="G6050" s="9">
        <v>1024</v>
      </c>
      <c r="H6050" s="5" t="s">
        <v>21</v>
      </c>
      <c r="I6050" s="5" t="s">
        <v>14785</v>
      </c>
      <c r="J6050" s="12" t="str">
        <f>HYPERLINK("https://www.boe.es/gazeta/dias/1802/10/12/pdfs/GMD-1802-83.pdf#page=12","Abrir facsímil")</f>
        <v>Abrir facsímil</v>
      </c>
      <c r="K6050" s="15" t="s">
        <v>23</v>
      </c>
    </row>
    <row r="6051" spans="1:11" ht="42" customHeight="1">
      <c r="A6051" s="4" t="s">
        <v>14786</v>
      </c>
      <c r="B6051" s="5" t="s">
        <v>14787</v>
      </c>
      <c r="C6051" s="5" t="s">
        <v>18</v>
      </c>
      <c r="D6051" s="5" t="s">
        <v>19</v>
      </c>
      <c r="E6051" s="5" t="s">
        <v>49</v>
      </c>
      <c r="F6051" s="9">
        <v>83</v>
      </c>
      <c r="G6051" s="9">
        <v>1023</v>
      </c>
      <c r="H6051" s="5" t="s">
        <v>21</v>
      </c>
      <c r="I6051" s="5" t="s">
        <v>14788</v>
      </c>
      <c r="J6051" s="12" t="str">
        <f>HYPERLINK("https://www.boe.es/gazeta/dias/1802/10/12/pdfs/GMD-1802-83.pdf#page=11","Abrir facsímil")</f>
        <v>Abrir facsímil</v>
      </c>
      <c r="K6051" s="15" t="s">
        <v>23</v>
      </c>
    </row>
    <row r="6052" spans="1:11" ht="42" customHeight="1">
      <c r="A6052" s="4" t="s">
        <v>14789</v>
      </c>
      <c r="B6052" s="5" t="s">
        <v>14789</v>
      </c>
      <c r="C6052" s="5" t="s">
        <v>35</v>
      </c>
      <c r="D6052" s="5" t="s">
        <v>36</v>
      </c>
      <c r="E6052" s="5" t="s">
        <v>1829</v>
      </c>
      <c r="F6052" s="9">
        <v>32</v>
      </c>
      <c r="G6052" s="9">
        <v>371</v>
      </c>
      <c r="H6052" s="5" t="s">
        <v>21</v>
      </c>
      <c r="I6052" s="5" t="s">
        <v>14790</v>
      </c>
      <c r="J6052" s="12" t="str">
        <f>HYPERLINK("https://www.boe.es/gazeta/dias/1802/04/20/pdfs/GMD-1802-32.pdf#page=3","Abrir facsímil")</f>
        <v>Abrir facsímil</v>
      </c>
      <c r="K6052" s="15" t="s">
        <v>23</v>
      </c>
    </row>
    <row r="6053" spans="1:11" ht="42" customHeight="1">
      <c r="A6053" s="4" t="s">
        <v>14791</v>
      </c>
      <c r="B6053" s="5" t="s">
        <v>14792</v>
      </c>
      <c r="C6053" s="5" t="s">
        <v>29</v>
      </c>
      <c r="D6053" s="5" t="s">
        <v>30</v>
      </c>
      <c r="E6053" s="5" t="s">
        <v>900</v>
      </c>
      <c r="F6053" s="9">
        <v>16</v>
      </c>
      <c r="G6053" s="9">
        <v>169</v>
      </c>
      <c r="H6053" s="5" t="s">
        <v>21</v>
      </c>
      <c r="I6053" s="5" t="s">
        <v>14793</v>
      </c>
      <c r="J6053" s="12" t="str">
        <f>HYPERLINK("https://www.boe.es/gazeta/dias/1802/02/23/pdfs/GMD-1802-16.pdf#page=9","Abrir facsímil")</f>
        <v>Abrir facsímil</v>
      </c>
      <c r="K6053" s="15" t="s">
        <v>23</v>
      </c>
    </row>
    <row r="6054" spans="1:11" ht="42" customHeight="1">
      <c r="A6054" s="4" t="s">
        <v>14794</v>
      </c>
      <c r="B6054" s="5" t="s">
        <v>14795</v>
      </c>
      <c r="C6054" s="5" t="s">
        <v>35</v>
      </c>
      <c r="D6054" s="5" t="s">
        <v>36</v>
      </c>
      <c r="E6054" s="5" t="s">
        <v>165</v>
      </c>
      <c r="F6054" s="9">
        <v>3</v>
      </c>
      <c r="G6054" s="9">
        <v>24</v>
      </c>
      <c r="H6054" s="5" t="s">
        <v>21</v>
      </c>
      <c r="I6054" s="5" t="s">
        <v>14796</v>
      </c>
      <c r="J6054" s="12" t="str">
        <f>HYPERLINK("https://www.boe.es/gazeta/dias/1802/01/08/pdfs/GMD-1802-3.pdf#page=4","Abrir facsímil")</f>
        <v>Abrir facsímil</v>
      </c>
      <c r="K6054" s="15" t="s">
        <v>23</v>
      </c>
    </row>
    <row r="6055" spans="1:11" ht="42" customHeight="1">
      <c r="A6055" s="4" t="s">
        <v>14797</v>
      </c>
      <c r="B6055" s="5" t="s">
        <v>14798</v>
      </c>
      <c r="C6055" s="5" t="s">
        <v>18</v>
      </c>
      <c r="D6055" s="5" t="s">
        <v>19</v>
      </c>
      <c r="E6055" s="5" t="s">
        <v>128</v>
      </c>
      <c r="F6055" s="9">
        <v>9</v>
      </c>
      <c r="G6055" s="9">
        <v>88</v>
      </c>
      <c r="H6055" s="5" t="s">
        <v>21</v>
      </c>
      <c r="I6055" s="5" t="s">
        <v>14799</v>
      </c>
      <c r="J6055" s="12" t="str">
        <f>HYPERLINK("https://www.boe.es/gazeta/dias/1802/01/29/pdfs/GMD-1802-9.pdf#page=8","Abrir facsímil")</f>
        <v>Abrir facsímil</v>
      </c>
      <c r="K6055" s="15" t="s">
        <v>23</v>
      </c>
    </row>
    <row r="6056" spans="1:11" ht="42" customHeight="1">
      <c r="A6056" s="4" t="s">
        <v>14800</v>
      </c>
      <c r="B6056" s="5" t="s">
        <v>14801</v>
      </c>
      <c r="C6056" s="5" t="s">
        <v>18</v>
      </c>
      <c r="D6056" s="5" t="s">
        <v>19</v>
      </c>
      <c r="E6056" s="5" t="s">
        <v>31</v>
      </c>
      <c r="F6056" s="9">
        <v>27</v>
      </c>
      <c r="G6056" s="9">
        <v>317</v>
      </c>
      <c r="H6056" s="5" t="s">
        <v>21</v>
      </c>
      <c r="I6056" s="5" t="s">
        <v>14802</v>
      </c>
      <c r="J6056" s="12" t="str">
        <f>HYPERLINK("https://www.boe.es/gazeta/dias/1802/04/02/pdfs/GMD-1802-27.pdf#page=13","Abrir facsímil")</f>
        <v>Abrir facsímil</v>
      </c>
      <c r="K6056" s="15" t="s">
        <v>23</v>
      </c>
    </row>
    <row r="6057" spans="1:11" ht="42" customHeight="1">
      <c r="A6057" s="4" t="s">
        <v>14803</v>
      </c>
      <c r="B6057" s="5" t="s">
        <v>14804</v>
      </c>
      <c r="C6057" s="5" t="s">
        <v>29</v>
      </c>
      <c r="D6057" s="5" t="s">
        <v>30</v>
      </c>
      <c r="E6057" s="5" t="s">
        <v>491</v>
      </c>
      <c r="F6057" s="9">
        <v>57</v>
      </c>
      <c r="G6057" s="9">
        <v>689</v>
      </c>
      <c r="H6057" s="5" t="s">
        <v>21</v>
      </c>
      <c r="I6057" s="5" t="s">
        <v>14805</v>
      </c>
      <c r="J6057" s="12" t="str">
        <f>HYPERLINK("https://www.boe.es/gazeta/dias/1802/07/16/pdfs/GMD-1802-57.pdf#page=9","Abrir facsímil")</f>
        <v>Abrir facsímil</v>
      </c>
      <c r="K6057" s="15" t="s">
        <v>23</v>
      </c>
    </row>
    <row r="6058" spans="1:11" ht="42" customHeight="1">
      <c r="A6058" s="4" t="s">
        <v>14806</v>
      </c>
      <c r="B6058" s="5" t="s">
        <v>14807</v>
      </c>
      <c r="C6058" s="5" t="s">
        <v>35</v>
      </c>
      <c r="D6058" s="5" t="s">
        <v>36</v>
      </c>
      <c r="E6058" s="5" t="s">
        <v>170</v>
      </c>
      <c r="F6058" s="9">
        <v>28</v>
      </c>
      <c r="G6058" s="9">
        <v>324</v>
      </c>
      <c r="H6058" s="5" t="s">
        <v>21</v>
      </c>
      <c r="I6058" s="5" t="s">
        <v>14808</v>
      </c>
      <c r="J6058" s="12" t="str">
        <f>HYPERLINK("https://www.boe.es/gazeta/dias/1802/04/06/pdfs/GMD-1802-28.pdf#page=4","Abrir facsímil")</f>
        <v>Abrir facsímil</v>
      </c>
      <c r="K6058" s="15" t="s">
        <v>23</v>
      </c>
    </row>
    <row r="6059" spans="1:11" ht="42" customHeight="1">
      <c r="A6059" s="4" t="s">
        <v>14809</v>
      </c>
      <c r="B6059" s="5" t="s">
        <v>14809</v>
      </c>
      <c r="C6059" s="5" t="s">
        <v>18</v>
      </c>
      <c r="D6059" s="5" t="s">
        <v>19</v>
      </c>
      <c r="E6059" s="5" t="s">
        <v>152</v>
      </c>
      <c r="F6059" s="9">
        <v>25</v>
      </c>
      <c r="G6059" s="9">
        <v>282</v>
      </c>
      <c r="H6059" s="5" t="s">
        <v>21</v>
      </c>
      <c r="I6059" s="5" t="s">
        <v>14810</v>
      </c>
      <c r="J6059" s="12" t="str">
        <f>HYPERLINK("https://www.boe.es/gazeta/dias/1802/03/26/pdfs/GMD-1802-25.pdf#page=6","Abrir facsímil")</f>
        <v>Abrir facsímil</v>
      </c>
      <c r="K6059" s="15" t="s">
        <v>23</v>
      </c>
    </row>
    <row r="6060" spans="1:11" ht="42" customHeight="1">
      <c r="A6060" s="4" t="s">
        <v>14811</v>
      </c>
      <c r="B6060" s="5" t="s">
        <v>14811</v>
      </c>
      <c r="C6060" s="5" t="s">
        <v>35</v>
      </c>
      <c r="D6060" s="5" t="s">
        <v>36</v>
      </c>
      <c r="E6060" s="5" t="s">
        <v>142</v>
      </c>
      <c r="F6060" s="9">
        <v>64</v>
      </c>
      <c r="G6060" s="9">
        <v>774</v>
      </c>
      <c r="H6060" s="5" t="s">
        <v>21</v>
      </c>
      <c r="I6060" s="5" t="s">
        <v>14812</v>
      </c>
      <c r="J6060" s="12" t="str">
        <f>HYPERLINK("https://www.boe.es/gazeta/dias/1802/08/06/pdfs/GMD-1802-64.pdf#page=2","Abrir facsímil")</f>
        <v>Abrir facsímil</v>
      </c>
      <c r="K6060" s="15" t="s">
        <v>23</v>
      </c>
    </row>
    <row r="6061" spans="1:11" ht="42" customHeight="1">
      <c r="A6061" s="4" t="s">
        <v>14813</v>
      </c>
      <c r="B6061" s="5" t="s">
        <v>14813</v>
      </c>
      <c r="C6061" s="5" t="s">
        <v>55</v>
      </c>
      <c r="D6061" s="5" t="s">
        <v>56</v>
      </c>
      <c r="E6061" s="5" t="s">
        <v>631</v>
      </c>
      <c r="F6061" s="9">
        <v>36</v>
      </c>
      <c r="G6061" s="9">
        <v>422</v>
      </c>
      <c r="H6061" s="5" t="s">
        <v>21</v>
      </c>
      <c r="I6061" s="5" t="s">
        <v>14814</v>
      </c>
      <c r="J6061" s="12" t="str">
        <f>HYPERLINK("https://www.boe.es/gazeta/dias/1802/05/04/pdfs/GMD-1802-36.pdf#page=2","Abrir facsímil")</f>
        <v>Abrir facsímil</v>
      </c>
      <c r="K6061" s="15" t="s">
        <v>23</v>
      </c>
    </row>
    <row r="6062" spans="1:11" ht="42" customHeight="1">
      <c r="A6062" s="4" t="s">
        <v>14813</v>
      </c>
      <c r="B6062" s="5" t="s">
        <v>14813</v>
      </c>
      <c r="C6062" s="5" t="s">
        <v>29</v>
      </c>
      <c r="D6062" s="5" t="s">
        <v>30</v>
      </c>
      <c r="E6062" s="5" t="s">
        <v>146</v>
      </c>
      <c r="F6062" s="9">
        <v>42</v>
      </c>
      <c r="G6062" s="9">
        <v>497</v>
      </c>
      <c r="H6062" s="5" t="s">
        <v>21</v>
      </c>
      <c r="I6062" s="5" t="s">
        <v>14815</v>
      </c>
      <c r="J6062" s="12" t="str">
        <f>HYPERLINK("https://www.boe.es/gazeta/dias/1802/05/25/pdfs/GMD-1802-42.pdf#page=1","Abrir facsímil")</f>
        <v>Abrir facsímil</v>
      </c>
      <c r="K6062" s="15" t="s">
        <v>23</v>
      </c>
    </row>
    <row r="6063" spans="1:11" ht="42" customHeight="1">
      <c r="A6063" s="4" t="s">
        <v>14816</v>
      </c>
      <c r="B6063" s="5" t="s">
        <v>14817</v>
      </c>
      <c r="C6063" s="5" t="s">
        <v>29</v>
      </c>
      <c r="D6063" s="5" t="s">
        <v>30</v>
      </c>
      <c r="E6063" s="5" t="s">
        <v>299</v>
      </c>
      <c r="F6063" s="9">
        <v>19</v>
      </c>
      <c r="G6063" s="9">
        <v>209</v>
      </c>
      <c r="H6063" s="5" t="s">
        <v>21</v>
      </c>
      <c r="I6063" s="5" t="s">
        <v>14818</v>
      </c>
      <c r="J6063" s="12" t="str">
        <f>HYPERLINK("https://www.boe.es/gazeta/dias/1802/03/05/pdfs/GMD-1802-19.pdf#page=9","Abrir facsímil")</f>
        <v>Abrir facsímil</v>
      </c>
      <c r="K6063" s="15" t="s">
        <v>23</v>
      </c>
    </row>
    <row r="6064" spans="1:11" ht="42" customHeight="1">
      <c r="A6064" s="4" t="s">
        <v>14819</v>
      </c>
      <c r="B6064" s="5" t="s">
        <v>14820</v>
      </c>
      <c r="C6064" s="5" t="s">
        <v>18</v>
      </c>
      <c r="D6064" s="5" t="s">
        <v>19</v>
      </c>
      <c r="E6064" s="5" t="s">
        <v>49</v>
      </c>
      <c r="F6064" s="9">
        <v>83</v>
      </c>
      <c r="G6064" s="9">
        <v>1024</v>
      </c>
      <c r="H6064" s="5" t="s">
        <v>21</v>
      </c>
      <c r="I6064" s="5" t="s">
        <v>14821</v>
      </c>
      <c r="J6064" s="12" t="str">
        <f>HYPERLINK("https://www.boe.es/gazeta/dias/1802/10/12/pdfs/GMD-1802-83.pdf#page=12","Abrir facsímil")</f>
        <v>Abrir facsímil</v>
      </c>
      <c r="K6064" s="15" t="s">
        <v>23</v>
      </c>
    </row>
    <row r="6065" spans="1:11" ht="42" customHeight="1">
      <c r="A6065" s="4" t="s">
        <v>14822</v>
      </c>
      <c r="B6065" s="5" t="s">
        <v>14823</v>
      </c>
      <c r="C6065" s="5" t="s">
        <v>35</v>
      </c>
      <c r="D6065" s="5" t="s">
        <v>36</v>
      </c>
      <c r="E6065" s="5" t="s">
        <v>921</v>
      </c>
      <c r="F6065" s="9">
        <v>50</v>
      </c>
      <c r="G6065" s="9">
        <v>604</v>
      </c>
      <c r="H6065" s="5" t="s">
        <v>21</v>
      </c>
      <c r="I6065" s="5" t="s">
        <v>14824</v>
      </c>
      <c r="J6065" s="12" t="str">
        <f>HYPERLINK("https://www.boe.es/gazeta/dias/1802/06/22/pdfs/GMD-1802-50.pdf#page=4","Abrir facsímil")</f>
        <v>Abrir facsímil</v>
      </c>
      <c r="K6065" s="15" t="s">
        <v>23</v>
      </c>
    </row>
    <row r="6066" spans="1:11" ht="42" customHeight="1">
      <c r="A6066" s="4" t="s">
        <v>14825</v>
      </c>
      <c r="B6066" s="5" t="s">
        <v>14826</v>
      </c>
      <c r="C6066" s="5" t="s">
        <v>90</v>
      </c>
      <c r="D6066" s="5" t="s">
        <v>91</v>
      </c>
      <c r="E6066" s="5" t="s">
        <v>900</v>
      </c>
      <c r="F6066" s="9">
        <v>16</v>
      </c>
      <c r="G6066" s="9">
        <v>169</v>
      </c>
      <c r="H6066" s="5" t="s">
        <v>21</v>
      </c>
      <c r="I6066" s="5" t="s">
        <v>14827</v>
      </c>
      <c r="J6066" s="12" t="str">
        <f>HYPERLINK("https://www.boe.es/gazeta/dias/1802/02/23/pdfs/GMD-1802-16.pdf#page=9","Abrir facsímil")</f>
        <v>Abrir facsímil</v>
      </c>
      <c r="K6066" s="15" t="s">
        <v>23</v>
      </c>
    </row>
    <row r="6067" spans="1:11" ht="42" customHeight="1">
      <c r="A6067" s="4" t="s">
        <v>14828</v>
      </c>
      <c r="B6067" s="5" t="s">
        <v>14829</v>
      </c>
      <c r="C6067" s="5" t="s">
        <v>18</v>
      </c>
      <c r="D6067" s="5" t="s">
        <v>19</v>
      </c>
      <c r="E6067" s="5" t="s">
        <v>49</v>
      </c>
      <c r="F6067" s="9">
        <v>83</v>
      </c>
      <c r="G6067" s="9">
        <v>1025</v>
      </c>
      <c r="H6067" s="5" t="s">
        <v>21</v>
      </c>
      <c r="I6067" s="5" t="s">
        <v>14830</v>
      </c>
      <c r="J6067" s="12" t="str">
        <f>HYPERLINK("https://www.boe.es/gazeta/dias/1802/10/12/pdfs/GMD-1802-83.pdf#page=13","Abrir facsímil")</f>
        <v>Abrir facsímil</v>
      </c>
      <c r="K6067" s="15" t="s">
        <v>23</v>
      </c>
    </row>
    <row r="6068" spans="1:11" ht="42" customHeight="1">
      <c r="A6068" s="4" t="s">
        <v>14831</v>
      </c>
      <c r="B6068" s="5" t="s">
        <v>14831</v>
      </c>
      <c r="C6068" s="5" t="s">
        <v>29</v>
      </c>
      <c r="D6068" s="5" t="s">
        <v>30</v>
      </c>
      <c r="E6068" s="5" t="s">
        <v>128</v>
      </c>
      <c r="F6068" s="9">
        <v>9</v>
      </c>
      <c r="G6068" s="9">
        <v>86</v>
      </c>
      <c r="H6068" s="5" t="s">
        <v>21</v>
      </c>
      <c r="I6068" s="5" t="s">
        <v>14832</v>
      </c>
      <c r="J6068" s="12" t="str">
        <f>HYPERLINK("https://www.boe.es/gazeta/dias/1802/01/29/pdfs/GMD-1802-9.pdf#page=6","Abrir facsímil")</f>
        <v>Abrir facsímil</v>
      </c>
      <c r="K6068" s="15" t="s">
        <v>23</v>
      </c>
    </row>
    <row r="6069" spans="1:11" ht="42" customHeight="1">
      <c r="A6069" s="4" t="s">
        <v>14833</v>
      </c>
      <c r="B6069" s="5" t="s">
        <v>14834</v>
      </c>
      <c r="C6069" s="5" t="s">
        <v>29</v>
      </c>
      <c r="D6069" s="5" t="s">
        <v>30</v>
      </c>
      <c r="E6069" s="5" t="s">
        <v>133</v>
      </c>
      <c r="F6069" s="9">
        <v>33</v>
      </c>
      <c r="G6069" s="9">
        <v>385</v>
      </c>
      <c r="H6069" s="5" t="s">
        <v>21</v>
      </c>
      <c r="I6069" s="5" t="s">
        <v>14835</v>
      </c>
      <c r="J6069" s="12" t="str">
        <f>HYPERLINK("https://www.boe.es/gazeta/dias/1802/04/23/pdfs/GMD-1802-33.pdf#page=5","Abrir facsímil")</f>
        <v>Abrir facsímil</v>
      </c>
      <c r="K6069" s="15" t="s">
        <v>23</v>
      </c>
    </row>
    <row r="6070" spans="1:11" ht="42" customHeight="1">
      <c r="A6070" s="4" t="s">
        <v>14833</v>
      </c>
      <c r="B6070" s="5" t="s">
        <v>14834</v>
      </c>
      <c r="C6070" s="5" t="s">
        <v>35</v>
      </c>
      <c r="D6070" s="5" t="s">
        <v>36</v>
      </c>
      <c r="E6070" s="5" t="s">
        <v>436</v>
      </c>
      <c r="F6070" s="9">
        <v>58</v>
      </c>
      <c r="G6070" s="9">
        <v>698</v>
      </c>
      <c r="H6070" s="5" t="s">
        <v>21</v>
      </c>
      <c r="I6070" s="5" t="s">
        <v>14836</v>
      </c>
      <c r="J6070" s="12" t="str">
        <f>HYPERLINK("https://www.boe.es/gazeta/dias/1802/07/20/pdfs/GMD-1802-58.pdf#page=6","Abrir facsímil")</f>
        <v>Abrir facsímil</v>
      </c>
      <c r="K6070" s="15" t="s">
        <v>23</v>
      </c>
    </row>
    <row r="6071" spans="1:11" ht="42" customHeight="1">
      <c r="A6071" s="4" t="s">
        <v>14833</v>
      </c>
      <c r="B6071" s="5" t="s">
        <v>14834</v>
      </c>
      <c r="C6071" s="5" t="s">
        <v>160</v>
      </c>
      <c r="D6071" s="5" t="s">
        <v>91</v>
      </c>
      <c r="E6071" s="5" t="s">
        <v>436</v>
      </c>
      <c r="F6071" s="9">
        <v>58</v>
      </c>
      <c r="G6071" s="9">
        <v>699</v>
      </c>
      <c r="H6071" s="5" t="s">
        <v>21</v>
      </c>
      <c r="I6071" s="5" t="s">
        <v>14837</v>
      </c>
      <c r="J6071" s="12" t="str">
        <f>HYPERLINK("https://www.boe.es/gazeta/dias/1802/07/20/pdfs/GMD-1802-58.pdf#page=7","Abrir facsímil")</f>
        <v>Abrir facsímil</v>
      </c>
      <c r="K6071" s="15" t="s">
        <v>23</v>
      </c>
    </row>
    <row r="6072" spans="1:11" ht="42" customHeight="1">
      <c r="A6072" s="4" t="s">
        <v>14833</v>
      </c>
      <c r="B6072" s="5" t="s">
        <v>14834</v>
      </c>
      <c r="C6072" s="5" t="s">
        <v>35</v>
      </c>
      <c r="D6072" s="5" t="s">
        <v>36</v>
      </c>
      <c r="E6072" s="5" t="s">
        <v>148</v>
      </c>
      <c r="F6072" s="9">
        <v>66</v>
      </c>
      <c r="G6072" s="9">
        <v>805</v>
      </c>
      <c r="H6072" s="5" t="s">
        <v>21</v>
      </c>
      <c r="I6072" s="5" t="s">
        <v>14838</v>
      </c>
      <c r="J6072" s="12" t="str">
        <f>HYPERLINK("https://www.boe.es/gazeta/dias/1802/08/13/pdfs/GMD-1802-66.pdf#page=9","Abrir facsímil")</f>
        <v>Abrir facsímil</v>
      </c>
      <c r="K6072" s="15" t="s">
        <v>23</v>
      </c>
    </row>
    <row r="6073" spans="1:11" ht="42" customHeight="1">
      <c r="A6073" s="4" t="s">
        <v>14833</v>
      </c>
      <c r="B6073" s="5" t="s">
        <v>14834</v>
      </c>
      <c r="C6073" s="5" t="s">
        <v>18</v>
      </c>
      <c r="D6073" s="5" t="s">
        <v>19</v>
      </c>
      <c r="E6073" s="5" t="s">
        <v>114</v>
      </c>
      <c r="F6073" s="9">
        <v>82</v>
      </c>
      <c r="G6073" s="9">
        <v>1009</v>
      </c>
      <c r="H6073" s="5" t="s">
        <v>21</v>
      </c>
      <c r="I6073" s="5" t="s">
        <v>14839</v>
      </c>
      <c r="J6073" s="12" t="str">
        <f>HYPERLINK("https://www.boe.es/gazeta/dias/1802/10/08/pdfs/GMD-1802-82.pdf#page=9","Abrir facsímil")</f>
        <v>Abrir facsímil</v>
      </c>
      <c r="K6073" s="15" t="s">
        <v>23</v>
      </c>
    </row>
    <row r="6074" spans="1:11" ht="42" customHeight="1">
      <c r="A6074" s="4" t="s">
        <v>14840</v>
      </c>
      <c r="B6074" s="5" t="s">
        <v>14841</v>
      </c>
      <c r="C6074" s="5" t="s">
        <v>55</v>
      </c>
      <c r="D6074" s="5" t="s">
        <v>56</v>
      </c>
      <c r="E6074" s="5" t="s">
        <v>73</v>
      </c>
      <c r="F6074" s="9">
        <v>102</v>
      </c>
      <c r="G6074" s="9">
        <v>1256</v>
      </c>
      <c r="H6074" s="5" t="s">
        <v>21</v>
      </c>
      <c r="I6074" s="5" t="s">
        <v>14842</v>
      </c>
      <c r="J6074" s="12" t="str">
        <f>HYPERLINK("https://www.boe.es/gazeta/dias/1802/12/17/pdfs/GMD-1802-102.pdf#page=12","Abrir facsímil")</f>
        <v>Abrir facsímil</v>
      </c>
      <c r="K6074" s="15" t="s">
        <v>23</v>
      </c>
    </row>
    <row r="6075" spans="1:11" ht="42" customHeight="1">
      <c r="A6075" s="4" t="s">
        <v>14843</v>
      </c>
      <c r="B6075" s="5" t="s">
        <v>14844</v>
      </c>
      <c r="C6075" s="5" t="s">
        <v>29</v>
      </c>
      <c r="D6075" s="5" t="s">
        <v>30</v>
      </c>
      <c r="E6075" s="5" t="s">
        <v>170</v>
      </c>
      <c r="F6075" s="9">
        <v>28</v>
      </c>
      <c r="G6075" s="9">
        <v>330</v>
      </c>
      <c r="H6075" s="5" t="s">
        <v>21</v>
      </c>
      <c r="I6075" s="5" t="s">
        <v>14845</v>
      </c>
      <c r="J6075" s="12" t="str">
        <f>HYPERLINK("https://www.boe.es/gazeta/dias/1802/04/06/pdfs/GMD-1802-28.pdf#page=10","Abrir facsímil")</f>
        <v>Abrir facsímil</v>
      </c>
      <c r="K6075" s="15" t="s">
        <v>23</v>
      </c>
    </row>
    <row r="6076" spans="1:11" ht="42" customHeight="1">
      <c r="A6076" s="4" t="s">
        <v>14846</v>
      </c>
      <c r="B6076" s="5" t="s">
        <v>14847</v>
      </c>
      <c r="C6076" s="5" t="s">
        <v>18</v>
      </c>
      <c r="D6076" s="5" t="s">
        <v>19</v>
      </c>
      <c r="E6076" s="5" t="s">
        <v>196</v>
      </c>
      <c r="F6076" s="9">
        <v>2</v>
      </c>
      <c r="G6076" s="9">
        <v>17</v>
      </c>
      <c r="H6076" s="5" t="s">
        <v>21</v>
      </c>
      <c r="I6076" s="5" t="s">
        <v>14848</v>
      </c>
      <c r="J6076" s="12" t="str">
        <f>HYPERLINK("https://www.boe.es/gazeta/dias/1802/01/05/pdfs/GMD-1802-2.pdf#page=9","Abrir facsímil")</f>
        <v>Abrir facsímil</v>
      </c>
      <c r="K6076" s="15" t="s">
        <v>23</v>
      </c>
    </row>
    <row r="6077" spans="1:11" ht="42" customHeight="1">
      <c r="A6077" s="4" t="s">
        <v>14849</v>
      </c>
      <c r="B6077" s="5" t="s">
        <v>14850</v>
      </c>
      <c r="C6077" s="5" t="s">
        <v>90</v>
      </c>
      <c r="D6077" s="5" t="s">
        <v>91</v>
      </c>
      <c r="E6077" s="5" t="s">
        <v>745</v>
      </c>
      <c r="F6077" s="9">
        <v>92</v>
      </c>
      <c r="G6077" s="9">
        <v>1137</v>
      </c>
      <c r="H6077" s="5" t="s">
        <v>21</v>
      </c>
      <c r="I6077" s="5" t="s">
        <v>14851</v>
      </c>
      <c r="J6077" s="12" t="str">
        <f>HYPERLINK("https://www.boe.es/gazeta/dias/1802/11/12/pdfs/GMD-1802-92.pdf#page=5","Abrir facsímil")</f>
        <v>Abrir facsímil</v>
      </c>
      <c r="K6077" s="15" t="s">
        <v>23</v>
      </c>
    </row>
    <row r="6078" spans="1:11" ht="42" customHeight="1">
      <c r="A6078" s="4" t="s">
        <v>14852</v>
      </c>
      <c r="B6078" s="5" t="s">
        <v>14853</v>
      </c>
      <c r="C6078" s="5" t="s">
        <v>42</v>
      </c>
      <c r="D6078" s="5" t="s">
        <v>43</v>
      </c>
      <c r="E6078" s="5" t="s">
        <v>44</v>
      </c>
      <c r="F6078" s="9">
        <v>99</v>
      </c>
      <c r="G6078" s="9" t="s">
        <v>544</v>
      </c>
      <c r="H6078" s="5" t="s">
        <v>21</v>
      </c>
      <c r="I6078" s="5" t="s">
        <v>14854</v>
      </c>
      <c r="J6078" s="12" t="str">
        <f>HYPERLINK("https://www.boe.es/gazeta/dias/1802/12/07/pdfs/GMD-D-1802-99.pdf#page=11","Abrir facsímil")</f>
        <v>Abrir facsímil</v>
      </c>
      <c r="K6078" s="15" t="s">
        <v>23</v>
      </c>
    </row>
    <row r="6079" spans="1:11" ht="42" customHeight="1">
      <c r="A6079" s="4" t="s">
        <v>14855</v>
      </c>
      <c r="B6079" s="5" t="s">
        <v>14856</v>
      </c>
      <c r="C6079" s="5" t="s">
        <v>42</v>
      </c>
      <c r="D6079" s="5" t="s">
        <v>43</v>
      </c>
      <c r="E6079" s="5" t="s">
        <v>44</v>
      </c>
      <c r="F6079" s="9">
        <v>99</v>
      </c>
      <c r="G6079" s="9" t="s">
        <v>554</v>
      </c>
      <c r="H6079" s="5" t="s">
        <v>21</v>
      </c>
      <c r="I6079" s="5" t="s">
        <v>14857</v>
      </c>
      <c r="J6079" s="12" t="str">
        <f>HYPERLINK("https://www.boe.es/gazeta/dias/1802/12/07/pdfs/GMD-D-1802-99.pdf#page=4","Abrir facsímil")</f>
        <v>Abrir facsímil</v>
      </c>
      <c r="K6079" s="15" t="s">
        <v>23</v>
      </c>
    </row>
    <row r="6080" spans="1:11" ht="42" customHeight="1">
      <c r="A6080" s="4" t="s">
        <v>14858</v>
      </c>
      <c r="B6080" s="5" t="s">
        <v>14859</v>
      </c>
      <c r="C6080" s="5" t="s">
        <v>55</v>
      </c>
      <c r="D6080" s="5" t="s">
        <v>56</v>
      </c>
      <c r="E6080" s="5" t="s">
        <v>152</v>
      </c>
      <c r="F6080" s="9">
        <v>25</v>
      </c>
      <c r="G6080" s="9">
        <v>287</v>
      </c>
      <c r="H6080" s="5" t="s">
        <v>21</v>
      </c>
      <c r="I6080" s="5" t="s">
        <v>14860</v>
      </c>
      <c r="J6080" s="12" t="str">
        <f>HYPERLINK("https://www.boe.es/gazeta/dias/1802/03/26/pdfs/GMD-1802-25.pdf#page=11","Abrir facsímil")</f>
        <v>Abrir facsímil</v>
      </c>
      <c r="K6080" s="15" t="s">
        <v>23</v>
      </c>
    </row>
    <row r="6081" spans="1:11" ht="42" customHeight="1">
      <c r="A6081" s="4" t="s">
        <v>14861</v>
      </c>
      <c r="B6081" s="5" t="s">
        <v>14862</v>
      </c>
      <c r="C6081" s="5" t="s">
        <v>42</v>
      </c>
      <c r="D6081" s="5" t="s">
        <v>43</v>
      </c>
      <c r="E6081" s="5" t="s">
        <v>44</v>
      </c>
      <c r="F6081" s="9">
        <v>99</v>
      </c>
      <c r="G6081" s="9" t="s">
        <v>262</v>
      </c>
      <c r="H6081" s="5" t="s">
        <v>21</v>
      </c>
      <c r="I6081" s="5" t="s">
        <v>14863</v>
      </c>
      <c r="J6081" s="12" t="str">
        <f>HYPERLINK("https://www.boe.es/gazeta/dias/1802/12/07/pdfs/GMD-D-1802-99.pdf#page=8","Abrir facsímil")</f>
        <v>Abrir facsímil</v>
      </c>
      <c r="K6081" s="15" t="s">
        <v>23</v>
      </c>
    </row>
    <row r="6082" spans="1:11" ht="42" customHeight="1">
      <c r="A6082" s="4" t="s">
        <v>14864</v>
      </c>
      <c r="B6082" s="5" t="s">
        <v>14865</v>
      </c>
      <c r="C6082" s="5" t="s">
        <v>90</v>
      </c>
      <c r="D6082" s="5" t="s">
        <v>91</v>
      </c>
      <c r="E6082" s="5" t="s">
        <v>900</v>
      </c>
      <c r="F6082" s="9">
        <v>16</v>
      </c>
      <c r="G6082" s="9">
        <v>164</v>
      </c>
      <c r="H6082" s="5" t="s">
        <v>21</v>
      </c>
      <c r="I6082" s="5" t="s">
        <v>14866</v>
      </c>
      <c r="J6082" s="12" t="str">
        <f>HYPERLINK("https://www.boe.es/gazeta/dias/1802/02/23/pdfs/GMD-1802-16.pdf#page=4","Abrir facsímil")</f>
        <v>Abrir facsímil</v>
      </c>
      <c r="K6082" s="15" t="s">
        <v>23</v>
      </c>
    </row>
    <row r="6083" spans="1:11" ht="42" customHeight="1">
      <c r="A6083" s="4" t="s">
        <v>14867</v>
      </c>
      <c r="B6083" s="5" t="s">
        <v>14868</v>
      </c>
      <c r="C6083" s="5" t="s">
        <v>18</v>
      </c>
      <c r="D6083" s="5" t="s">
        <v>19</v>
      </c>
      <c r="E6083" s="5" t="s">
        <v>764</v>
      </c>
      <c r="F6083" s="9">
        <v>69</v>
      </c>
      <c r="G6083" s="9">
        <v>849</v>
      </c>
      <c r="H6083" s="5" t="s">
        <v>21</v>
      </c>
      <c r="I6083" s="5" t="s">
        <v>14869</v>
      </c>
      <c r="J6083" s="12" t="str">
        <f>HYPERLINK("https://www.boe.es/gazeta/dias/1802/08/24/pdfs/GMD-1802-69.pdf#page=9","Abrir facsímil")</f>
        <v>Abrir facsímil</v>
      </c>
      <c r="K6083" s="15" t="s">
        <v>23</v>
      </c>
    </row>
    <row r="6084" spans="1:11" ht="42" customHeight="1">
      <c r="A6084" s="4" t="s">
        <v>14870</v>
      </c>
      <c r="B6084" s="5" t="s">
        <v>14871</v>
      </c>
      <c r="C6084" s="5" t="s">
        <v>55</v>
      </c>
      <c r="D6084" s="5" t="s">
        <v>56</v>
      </c>
      <c r="E6084" s="5" t="s">
        <v>1829</v>
      </c>
      <c r="F6084" s="9">
        <v>32</v>
      </c>
      <c r="G6084" s="9">
        <v>374</v>
      </c>
      <c r="H6084" s="5" t="s">
        <v>21</v>
      </c>
      <c r="I6084" s="5" t="s">
        <v>14872</v>
      </c>
      <c r="J6084" s="12" t="str">
        <f>HYPERLINK("https://www.boe.es/gazeta/dias/1802/04/20/pdfs/GMD-1802-32.pdf#page=6","Abrir facsímil")</f>
        <v>Abrir facsímil</v>
      </c>
      <c r="K6084" s="15" t="s">
        <v>23</v>
      </c>
    </row>
    <row r="6085" spans="1:11" ht="42" customHeight="1">
      <c r="A6085" s="4" t="s">
        <v>14873</v>
      </c>
      <c r="B6085" s="5" t="s">
        <v>14874</v>
      </c>
      <c r="C6085" s="5" t="s">
        <v>18</v>
      </c>
      <c r="D6085" s="5" t="s">
        <v>19</v>
      </c>
      <c r="E6085" s="5" t="s">
        <v>20</v>
      </c>
      <c r="F6085" s="9">
        <v>84</v>
      </c>
      <c r="G6085" s="9">
        <v>1040</v>
      </c>
      <c r="H6085" s="5" t="s">
        <v>21</v>
      </c>
      <c r="I6085" s="5" t="s">
        <v>14875</v>
      </c>
      <c r="J6085" s="12" t="str">
        <f>HYPERLINK("https://www.boe.es/gazeta/dias/1802/10/15/pdfs/GMD-1802-84.pdf#page=8","Abrir facsímil")</f>
        <v>Abrir facsímil</v>
      </c>
      <c r="K6085" s="15" t="s">
        <v>23</v>
      </c>
    </row>
    <row r="6086" spans="1:11" ht="42" customHeight="1">
      <c r="A6086" s="4" t="s">
        <v>14876</v>
      </c>
      <c r="B6086" s="5" t="s">
        <v>14877</v>
      </c>
      <c r="C6086" s="5" t="s">
        <v>90</v>
      </c>
      <c r="D6086" s="5" t="s">
        <v>91</v>
      </c>
      <c r="E6086" s="5" t="s">
        <v>678</v>
      </c>
      <c r="F6086" s="9">
        <v>15</v>
      </c>
      <c r="G6086" s="9">
        <v>158</v>
      </c>
      <c r="H6086" s="5" t="s">
        <v>21</v>
      </c>
      <c r="I6086" s="5" t="s">
        <v>14878</v>
      </c>
      <c r="J6086" s="12" t="str">
        <f>HYPERLINK("https://www.boe.es/gazeta/dias/1802/02/19/pdfs/GMD-1802-15.pdf#page=10","Abrir facsímil")</f>
        <v>Abrir facsímil</v>
      </c>
      <c r="K6086" s="15" t="s">
        <v>23</v>
      </c>
    </row>
    <row r="6087" spans="1:11" ht="42" customHeight="1">
      <c r="A6087" s="4" t="s">
        <v>14879</v>
      </c>
      <c r="B6087" s="5" t="s">
        <v>14880</v>
      </c>
      <c r="C6087" s="5" t="s">
        <v>90</v>
      </c>
      <c r="D6087" s="5" t="s">
        <v>91</v>
      </c>
      <c r="E6087" s="5" t="s">
        <v>678</v>
      </c>
      <c r="F6087" s="9">
        <v>15</v>
      </c>
      <c r="G6087" s="9">
        <v>158</v>
      </c>
      <c r="H6087" s="5" t="s">
        <v>21</v>
      </c>
      <c r="I6087" s="5" t="s">
        <v>14881</v>
      </c>
      <c r="J6087" s="12" t="str">
        <f>HYPERLINK("https://www.boe.es/gazeta/dias/1802/02/19/pdfs/GMD-1802-15.pdf#page=10","Abrir facsímil")</f>
        <v>Abrir facsímil</v>
      </c>
      <c r="K6087" s="15" t="s">
        <v>23</v>
      </c>
    </row>
    <row r="6088" spans="1:11" ht="42" customHeight="1">
      <c r="A6088" s="4" t="s">
        <v>14882</v>
      </c>
      <c r="B6088" s="5" t="s">
        <v>14883</v>
      </c>
      <c r="C6088" s="5" t="s">
        <v>29</v>
      </c>
      <c r="D6088" s="5" t="s">
        <v>30</v>
      </c>
      <c r="E6088" s="5" t="s">
        <v>754</v>
      </c>
      <c r="F6088" s="9">
        <v>101</v>
      </c>
      <c r="G6088" s="9">
        <v>1242</v>
      </c>
      <c r="H6088" s="5" t="s">
        <v>21</v>
      </c>
      <c r="I6088" s="5" t="s">
        <v>14884</v>
      </c>
      <c r="J6088" s="12" t="str">
        <f>HYPERLINK("https://www.boe.es/gazeta/dias/1802/12/14/pdfs/GMD-1802-101.pdf#page=6","Abrir facsímil")</f>
        <v>Abrir facsímil</v>
      </c>
      <c r="K6088" s="15" t="s">
        <v>23</v>
      </c>
    </row>
    <row r="6089" spans="1:11" ht="42" customHeight="1">
      <c r="A6089" s="4" t="s">
        <v>14885</v>
      </c>
      <c r="B6089" s="5" t="s">
        <v>14886</v>
      </c>
      <c r="C6089" s="5" t="s">
        <v>18</v>
      </c>
      <c r="D6089" s="5" t="s">
        <v>19</v>
      </c>
      <c r="E6089" s="5" t="s">
        <v>635</v>
      </c>
      <c r="F6089" s="9">
        <v>47</v>
      </c>
      <c r="G6089" s="9">
        <v>573</v>
      </c>
      <c r="H6089" s="5" t="s">
        <v>21</v>
      </c>
      <c r="I6089" s="5" t="s">
        <v>14887</v>
      </c>
      <c r="J6089" s="12" t="str">
        <f>HYPERLINK("https://www.boe.es/gazeta/dias/1802/06/11/pdfs/GMD-1802-47.pdf#page=9","Abrir facsímil")</f>
        <v>Abrir facsímil</v>
      </c>
      <c r="K6089" s="15" t="s">
        <v>23</v>
      </c>
    </row>
    <row r="6090" spans="1:11" ht="42" customHeight="1">
      <c r="A6090" s="4" t="s">
        <v>14888</v>
      </c>
      <c r="B6090" s="5" t="s">
        <v>14889</v>
      </c>
      <c r="C6090" s="5" t="s">
        <v>18</v>
      </c>
      <c r="D6090" s="5" t="s">
        <v>19</v>
      </c>
      <c r="E6090" s="5" t="s">
        <v>49</v>
      </c>
      <c r="F6090" s="9">
        <v>83</v>
      </c>
      <c r="G6090" s="9">
        <v>1023</v>
      </c>
      <c r="H6090" s="5" t="s">
        <v>21</v>
      </c>
      <c r="I6090" s="5" t="s">
        <v>14890</v>
      </c>
      <c r="J6090" s="12" t="str">
        <f>HYPERLINK("https://www.boe.es/gazeta/dias/1802/10/12/pdfs/GMD-1802-83.pdf#page=11","Abrir facsímil")</f>
        <v>Abrir facsímil</v>
      </c>
      <c r="K6090" s="15" t="s">
        <v>23</v>
      </c>
    </row>
    <row r="6091" spans="1:11" ht="42" customHeight="1">
      <c r="A6091" s="4" t="s">
        <v>14891</v>
      </c>
      <c r="B6091" s="5" t="s">
        <v>14892</v>
      </c>
      <c r="C6091" s="5" t="s">
        <v>90</v>
      </c>
      <c r="D6091" s="5" t="s">
        <v>91</v>
      </c>
      <c r="E6091" s="5" t="s">
        <v>655</v>
      </c>
      <c r="F6091" s="9">
        <v>46</v>
      </c>
      <c r="G6091" s="9">
        <v>559</v>
      </c>
      <c r="H6091" s="5" t="s">
        <v>21</v>
      </c>
      <c r="I6091" s="5" t="s">
        <v>14893</v>
      </c>
      <c r="J6091" s="12" t="str">
        <f>HYPERLINK("https://www.boe.es/gazeta/dias/1802/06/08/pdfs/GMD-1802-46.pdf#page=11","Abrir facsímil")</f>
        <v>Abrir facsímil</v>
      </c>
      <c r="K6091" s="15" t="s">
        <v>23</v>
      </c>
    </row>
    <row r="6092" spans="1:11" ht="42" customHeight="1">
      <c r="A6092" s="4" t="s">
        <v>14894</v>
      </c>
      <c r="B6092" s="5" t="s">
        <v>14894</v>
      </c>
      <c r="C6092" s="5" t="s">
        <v>18</v>
      </c>
      <c r="D6092" s="5" t="s">
        <v>19</v>
      </c>
      <c r="E6092" s="5" t="s">
        <v>655</v>
      </c>
      <c r="F6092" s="9">
        <v>46</v>
      </c>
      <c r="G6092" s="9">
        <v>560</v>
      </c>
      <c r="H6092" s="5" t="s">
        <v>21</v>
      </c>
      <c r="I6092" s="5" t="s">
        <v>14895</v>
      </c>
      <c r="J6092" s="12" t="str">
        <f>HYPERLINK("https://www.boe.es/gazeta/dias/1802/06/08/pdfs/GMD-1802-46.pdf#page=12","Abrir facsímil")</f>
        <v>Abrir facsímil</v>
      </c>
      <c r="K6092" s="15" t="s">
        <v>23</v>
      </c>
    </row>
    <row r="6093" spans="1:11" ht="42" customHeight="1">
      <c r="A6093" s="4" t="s">
        <v>14896</v>
      </c>
      <c r="B6093" s="5" t="s">
        <v>14896</v>
      </c>
      <c r="C6093" s="5" t="s">
        <v>29</v>
      </c>
      <c r="D6093" s="5" t="s">
        <v>30</v>
      </c>
      <c r="E6093" s="5" t="s">
        <v>1749</v>
      </c>
      <c r="F6093" s="9">
        <v>60</v>
      </c>
      <c r="G6093" s="9">
        <v>728</v>
      </c>
      <c r="H6093" s="5" t="s">
        <v>21</v>
      </c>
      <c r="I6093" s="5" t="s">
        <v>14897</v>
      </c>
      <c r="J6093" s="12" t="str">
        <f>HYPERLINK("https://www.boe.es/gazeta/dias/1802/07/23/pdfs/GMD-1802-60.pdf#page=12","Abrir facsímil")</f>
        <v>Abrir facsímil</v>
      </c>
      <c r="K6093" s="15" t="s">
        <v>23</v>
      </c>
    </row>
    <row r="6094" spans="1:11" ht="42" customHeight="1">
      <c r="A6094" s="4" t="s">
        <v>14898</v>
      </c>
      <c r="B6094" s="5" t="s">
        <v>14898</v>
      </c>
      <c r="C6094" s="5" t="s">
        <v>35</v>
      </c>
      <c r="D6094" s="5" t="s">
        <v>36</v>
      </c>
      <c r="E6094" s="5" t="s">
        <v>1374</v>
      </c>
      <c r="F6094" s="9">
        <v>71</v>
      </c>
      <c r="G6094" s="9">
        <v>867</v>
      </c>
      <c r="H6094" s="5" t="s">
        <v>21</v>
      </c>
      <c r="I6094" s="5" t="s">
        <v>14899</v>
      </c>
      <c r="J6094" s="12" t="str">
        <f>HYPERLINK("https://www.boe.es/gazeta/dias/1802/08/31/pdfs/GMD-1802-71.pdf#page=3","Abrir facsímil")</f>
        <v>Abrir facsímil</v>
      </c>
      <c r="K6094" s="15" t="s">
        <v>23</v>
      </c>
    </row>
    <row r="6095" spans="1:11" ht="42" customHeight="1">
      <c r="A6095" s="4" t="s">
        <v>14900</v>
      </c>
      <c r="B6095" s="5" t="s">
        <v>14900</v>
      </c>
      <c r="C6095" s="5" t="s">
        <v>35</v>
      </c>
      <c r="D6095" s="5" t="s">
        <v>36</v>
      </c>
      <c r="E6095" s="5" t="s">
        <v>604</v>
      </c>
      <c r="F6095" s="9">
        <v>100</v>
      </c>
      <c r="G6095" s="9">
        <v>1231</v>
      </c>
      <c r="H6095" s="5" t="s">
        <v>21</v>
      </c>
      <c r="I6095" s="5" t="s">
        <v>14901</v>
      </c>
      <c r="J6095" s="12" t="str">
        <f>HYPERLINK("https://www.boe.es/gazeta/dias/1802/12/10/pdfs/GMD-1802-100.pdf#page=3","Abrir facsímil")</f>
        <v>Abrir facsímil</v>
      </c>
      <c r="K6095" s="15" t="s">
        <v>23</v>
      </c>
    </row>
    <row r="6096" spans="1:11" ht="42" customHeight="1">
      <c r="A6096" s="4" t="s">
        <v>14902</v>
      </c>
      <c r="B6096" s="5" t="s">
        <v>14902</v>
      </c>
      <c r="C6096" s="5" t="s">
        <v>35</v>
      </c>
      <c r="D6096" s="5" t="s">
        <v>36</v>
      </c>
      <c r="E6096" s="5" t="s">
        <v>175</v>
      </c>
      <c r="F6096" s="9">
        <v>37</v>
      </c>
      <c r="G6096" s="9">
        <v>435</v>
      </c>
      <c r="H6096" s="5" t="s">
        <v>21</v>
      </c>
      <c r="I6096" s="5" t="s">
        <v>14903</v>
      </c>
      <c r="J6096" s="12" t="str">
        <f>HYPERLINK("https://www.boe.es/gazeta/dias/1802/05/07/pdfs/GMD-1802-37.pdf#page=3","Abrir facsímil")</f>
        <v>Abrir facsímil</v>
      </c>
      <c r="K6096" s="15" t="s">
        <v>23</v>
      </c>
    </row>
    <row r="6097" spans="1:11" ht="42" customHeight="1">
      <c r="A6097" s="4" t="s">
        <v>14904</v>
      </c>
      <c r="B6097" s="5" t="s">
        <v>14905</v>
      </c>
      <c r="C6097" s="5" t="s">
        <v>18</v>
      </c>
      <c r="D6097" s="5" t="s">
        <v>19</v>
      </c>
      <c r="E6097" s="5" t="s">
        <v>148</v>
      </c>
      <c r="F6097" s="9">
        <v>66</v>
      </c>
      <c r="G6097" s="9">
        <v>811</v>
      </c>
      <c r="H6097" s="5" t="s">
        <v>21</v>
      </c>
      <c r="I6097" s="5" t="s">
        <v>14906</v>
      </c>
      <c r="J6097" s="12" t="str">
        <f>HYPERLINK("https://www.boe.es/gazeta/dias/1802/08/13/pdfs/GMD-1802-66.pdf#page=15","Abrir facsímil")</f>
        <v>Abrir facsímil</v>
      </c>
      <c r="K6097" s="15" t="s">
        <v>23</v>
      </c>
    </row>
    <row r="6098" spans="1:11" ht="42" customHeight="1">
      <c r="A6098" s="4" t="s">
        <v>14907</v>
      </c>
      <c r="B6098" s="5" t="s">
        <v>14908</v>
      </c>
      <c r="C6098" s="5" t="s">
        <v>42</v>
      </c>
      <c r="D6098" s="5" t="s">
        <v>43</v>
      </c>
      <c r="E6098" s="5" t="s">
        <v>44</v>
      </c>
      <c r="F6098" s="9">
        <v>99</v>
      </c>
      <c r="G6098" s="9" t="s">
        <v>537</v>
      </c>
      <c r="H6098" s="5" t="s">
        <v>21</v>
      </c>
      <c r="I6098" s="5" t="s">
        <v>14909</v>
      </c>
      <c r="J6098" s="12" t="str">
        <f>HYPERLINK("https://www.boe.es/gazeta/dias/1802/12/07/pdfs/GMD-D-1802-99.pdf#page=9","Abrir facsímil")</f>
        <v>Abrir facsímil</v>
      </c>
      <c r="K6098" s="15" t="s">
        <v>23</v>
      </c>
    </row>
    <row r="6099" spans="1:11" ht="42" customHeight="1">
      <c r="A6099" s="4" t="s">
        <v>14910</v>
      </c>
      <c r="B6099" s="5" t="s">
        <v>14911</v>
      </c>
      <c r="C6099" s="5" t="s">
        <v>55</v>
      </c>
      <c r="D6099" s="5" t="s">
        <v>56</v>
      </c>
      <c r="E6099" s="5" t="s">
        <v>172</v>
      </c>
      <c r="F6099" s="9">
        <v>35</v>
      </c>
      <c r="G6099" s="9">
        <v>416</v>
      </c>
      <c r="H6099" s="5" t="s">
        <v>21</v>
      </c>
      <c r="I6099" s="5" t="s">
        <v>14912</v>
      </c>
      <c r="J6099" s="12" t="str">
        <f>HYPERLINK("https://www.boe.es/gazeta/dias/1802/04/30/pdfs/GMD-1802-35.pdf#page=16","Abrir facsímil")</f>
        <v>Abrir facsímil</v>
      </c>
      <c r="K6099" s="15" t="s">
        <v>23</v>
      </c>
    </row>
    <row r="6100" spans="1:11" ht="42" customHeight="1">
      <c r="A6100" s="4" t="s">
        <v>14913</v>
      </c>
      <c r="B6100" s="5" t="s">
        <v>14914</v>
      </c>
      <c r="C6100" s="5" t="s">
        <v>29</v>
      </c>
      <c r="D6100" s="5" t="s">
        <v>30</v>
      </c>
      <c r="E6100" s="5" t="s">
        <v>517</v>
      </c>
      <c r="F6100" s="9">
        <v>61</v>
      </c>
      <c r="G6100" s="9">
        <v>740</v>
      </c>
      <c r="H6100" s="5" t="s">
        <v>21</v>
      </c>
      <c r="I6100" s="5" t="s">
        <v>14915</v>
      </c>
      <c r="J6100" s="12" t="str">
        <f>HYPERLINK("https://www.boe.es/gazeta/dias/1802/07/27/pdfs/GMD-1802-61.pdf#page=8","Abrir facsímil")</f>
        <v>Abrir facsímil</v>
      </c>
      <c r="K6100" s="15" t="s">
        <v>23</v>
      </c>
    </row>
    <row r="6101" spans="1:11" ht="42" customHeight="1">
      <c r="A6101" s="4" t="s">
        <v>14913</v>
      </c>
      <c r="B6101" s="5" t="s">
        <v>14914</v>
      </c>
      <c r="C6101" s="5" t="s">
        <v>18</v>
      </c>
      <c r="D6101" s="5" t="s">
        <v>19</v>
      </c>
      <c r="E6101" s="5" t="s">
        <v>49</v>
      </c>
      <c r="F6101" s="9">
        <v>83</v>
      </c>
      <c r="G6101" s="9">
        <v>1023</v>
      </c>
      <c r="H6101" s="5" t="s">
        <v>21</v>
      </c>
      <c r="I6101" s="5" t="s">
        <v>14916</v>
      </c>
      <c r="J6101" s="12" t="str">
        <f>HYPERLINK("https://www.boe.es/gazeta/dias/1802/10/12/pdfs/GMD-1802-83.pdf#page=11","Abrir facsímil")</f>
        <v>Abrir facsímil</v>
      </c>
      <c r="K6101" s="15" t="s">
        <v>23</v>
      </c>
    </row>
    <row r="6102" spans="1:11" ht="42" customHeight="1">
      <c r="A6102" s="4" t="s">
        <v>14917</v>
      </c>
      <c r="B6102" s="5" t="s">
        <v>14918</v>
      </c>
      <c r="C6102" s="5" t="s">
        <v>42</v>
      </c>
      <c r="D6102" s="5" t="s">
        <v>43</v>
      </c>
      <c r="E6102" s="5" t="s">
        <v>44</v>
      </c>
      <c r="F6102" s="9">
        <v>99</v>
      </c>
      <c r="G6102" s="9" t="s">
        <v>45</v>
      </c>
      <c r="H6102" s="5" t="s">
        <v>21</v>
      </c>
      <c r="I6102" s="5" t="s">
        <v>14919</v>
      </c>
      <c r="J6102" s="12" t="str">
        <f>HYPERLINK("https://www.boe.es/gazeta/dias/1802/12/07/pdfs/GMD-D-1802-99.pdf#page=14","Abrir facsímil")</f>
        <v>Abrir facsímil</v>
      </c>
      <c r="K6102" s="15" t="s">
        <v>23</v>
      </c>
    </row>
    <row r="6103" spans="1:11" ht="42" customHeight="1">
      <c r="A6103" s="4" t="s">
        <v>14920</v>
      </c>
      <c r="B6103" s="5" t="s">
        <v>14921</v>
      </c>
      <c r="C6103" s="5" t="s">
        <v>18</v>
      </c>
      <c r="D6103" s="5" t="s">
        <v>19</v>
      </c>
      <c r="E6103" s="5" t="s">
        <v>20</v>
      </c>
      <c r="F6103" s="9">
        <v>84</v>
      </c>
      <c r="G6103" s="9">
        <v>1042</v>
      </c>
      <c r="H6103" s="5" t="s">
        <v>21</v>
      </c>
      <c r="I6103" s="5" t="s">
        <v>14922</v>
      </c>
      <c r="J6103" s="12" t="str">
        <f>HYPERLINK("https://www.boe.es/gazeta/dias/1802/10/15/pdfs/GMD-1802-84.pdf#page=10","Abrir facsímil")</f>
        <v>Abrir facsímil</v>
      </c>
      <c r="K6103" s="15" t="s">
        <v>23</v>
      </c>
    </row>
    <row r="6104" spans="1:11" ht="42" customHeight="1">
      <c r="A6104" s="4" t="s">
        <v>14923</v>
      </c>
      <c r="B6104" s="5" t="s">
        <v>14923</v>
      </c>
      <c r="C6104" s="5" t="s">
        <v>35</v>
      </c>
      <c r="D6104" s="5" t="s">
        <v>36</v>
      </c>
      <c r="E6104" s="5" t="s">
        <v>165</v>
      </c>
      <c r="F6104" s="9">
        <v>3</v>
      </c>
      <c r="G6104" s="9">
        <v>23</v>
      </c>
      <c r="H6104" s="5" t="s">
        <v>21</v>
      </c>
      <c r="I6104" s="5" t="s">
        <v>14924</v>
      </c>
      <c r="J6104" s="12" t="str">
        <f>HYPERLINK("https://www.boe.es/gazeta/dias/1802/01/08/pdfs/GMD-1802-3.pdf#page=3","Abrir facsímil")</f>
        <v>Abrir facsímil</v>
      </c>
      <c r="K6104" s="15" t="s">
        <v>23</v>
      </c>
    </row>
    <row r="6105" spans="1:11" ht="42" customHeight="1">
      <c r="A6105" s="4" t="s">
        <v>14925</v>
      </c>
      <c r="B6105" s="5" t="s">
        <v>14925</v>
      </c>
      <c r="C6105" s="5" t="s">
        <v>29</v>
      </c>
      <c r="D6105" s="5" t="s">
        <v>30</v>
      </c>
      <c r="E6105" s="5" t="s">
        <v>146</v>
      </c>
      <c r="F6105" s="9">
        <v>42</v>
      </c>
      <c r="G6105" s="9">
        <v>499</v>
      </c>
      <c r="H6105" s="5" t="s">
        <v>21</v>
      </c>
      <c r="I6105" s="5" t="s">
        <v>14926</v>
      </c>
      <c r="J6105" s="12" t="str">
        <f>HYPERLINK("https://www.boe.es/gazeta/dias/1802/05/25/pdfs/GMD-1802-42.pdf#page=3","Abrir facsímil")</f>
        <v>Abrir facsímil</v>
      </c>
      <c r="K6105" s="15" t="s">
        <v>23</v>
      </c>
    </row>
    <row r="6106" spans="1:11" ht="42" customHeight="1">
      <c r="A6106" s="4" t="s">
        <v>14927</v>
      </c>
      <c r="B6106" s="5" t="s">
        <v>14928</v>
      </c>
      <c r="C6106" s="5" t="s">
        <v>29</v>
      </c>
      <c r="D6106" s="5" t="s">
        <v>30</v>
      </c>
      <c r="E6106" s="5" t="s">
        <v>814</v>
      </c>
      <c r="F6106" s="9">
        <v>41</v>
      </c>
      <c r="G6106" s="9">
        <v>493</v>
      </c>
      <c r="H6106" s="5" t="s">
        <v>21</v>
      </c>
      <c r="I6106" s="5" t="s">
        <v>14929</v>
      </c>
      <c r="J6106" s="12" t="str">
        <f>HYPERLINK("https://www.boe.es/gazeta/dias/1802/05/21/pdfs/GMD-1802-41.pdf#page=9","Abrir facsímil")</f>
        <v>Abrir facsímil</v>
      </c>
      <c r="K6106" s="15" t="s">
        <v>23</v>
      </c>
    </row>
    <row r="6107" spans="1:11" ht="42" customHeight="1">
      <c r="A6107" s="4" t="s">
        <v>14930</v>
      </c>
      <c r="B6107" s="5" t="s">
        <v>14931</v>
      </c>
      <c r="C6107" s="5" t="s">
        <v>18</v>
      </c>
      <c r="D6107" s="5" t="s">
        <v>19</v>
      </c>
      <c r="E6107" s="5" t="s">
        <v>49</v>
      </c>
      <c r="F6107" s="9">
        <v>83</v>
      </c>
      <c r="G6107" s="9">
        <v>1022</v>
      </c>
      <c r="H6107" s="5" t="s">
        <v>21</v>
      </c>
      <c r="I6107" s="5" t="s">
        <v>14932</v>
      </c>
      <c r="J6107" s="12" t="str">
        <f>HYPERLINK("https://www.boe.es/gazeta/dias/1802/10/12/pdfs/GMD-1802-83.pdf#page=10","Abrir facsímil")</f>
        <v>Abrir facsímil</v>
      </c>
      <c r="K6107" s="15" t="s">
        <v>23</v>
      </c>
    </row>
    <row r="6108" spans="1:11" ht="42" customHeight="1">
      <c r="A6108" s="4" t="s">
        <v>14933</v>
      </c>
      <c r="B6108" s="5" t="s">
        <v>14934</v>
      </c>
      <c r="C6108" s="5" t="s">
        <v>35</v>
      </c>
      <c r="D6108" s="5" t="s">
        <v>36</v>
      </c>
      <c r="E6108" s="5" t="s">
        <v>247</v>
      </c>
      <c r="F6108" s="9">
        <v>14</v>
      </c>
      <c r="G6108" s="9">
        <v>144</v>
      </c>
      <c r="H6108" s="5" t="s">
        <v>21</v>
      </c>
      <c r="I6108" s="5" t="s">
        <v>14935</v>
      </c>
      <c r="J6108" s="12" t="str">
        <f>HYPERLINK("https://www.boe.es/gazeta/dias/1802/02/16/pdfs/GMD-1802-14.pdf#page=8","Abrir facsímil")</f>
        <v>Abrir facsímil</v>
      </c>
      <c r="K6108" s="15" t="s">
        <v>23</v>
      </c>
    </row>
    <row r="6109" spans="1:11" ht="42" customHeight="1">
      <c r="A6109" s="4" t="s">
        <v>14936</v>
      </c>
      <c r="B6109" s="5" t="s">
        <v>14937</v>
      </c>
      <c r="C6109" s="5" t="s">
        <v>18</v>
      </c>
      <c r="D6109" s="5" t="s">
        <v>19</v>
      </c>
      <c r="E6109" s="5" t="s">
        <v>146</v>
      </c>
      <c r="F6109" s="9">
        <v>42</v>
      </c>
      <c r="G6109" s="9">
        <v>505</v>
      </c>
      <c r="H6109" s="5" t="s">
        <v>21</v>
      </c>
      <c r="I6109" s="5" t="s">
        <v>14938</v>
      </c>
      <c r="J6109" s="12" t="str">
        <f>HYPERLINK("https://www.boe.es/gazeta/dias/1802/05/25/pdfs/GMD-1802-42.pdf#page=9","Abrir facsímil")</f>
        <v>Abrir facsímil</v>
      </c>
      <c r="K6109" s="15" t="s">
        <v>23</v>
      </c>
    </row>
    <row r="6110" spans="1:11" ht="42" customHeight="1">
      <c r="A6110" s="4" t="s">
        <v>14939</v>
      </c>
      <c r="B6110" s="5" t="s">
        <v>14940</v>
      </c>
      <c r="C6110" s="5" t="s">
        <v>35</v>
      </c>
      <c r="D6110" s="5" t="s">
        <v>36</v>
      </c>
      <c r="E6110" s="5" t="s">
        <v>92</v>
      </c>
      <c r="F6110" s="9">
        <v>29</v>
      </c>
      <c r="G6110" s="9">
        <v>339</v>
      </c>
      <c r="H6110" s="5" t="s">
        <v>21</v>
      </c>
      <c r="I6110" s="5" t="s">
        <v>14941</v>
      </c>
      <c r="J6110" s="12" t="str">
        <f>HYPERLINK("https://www.boe.es/gazeta/dias/1802/04/09/pdfs/GMD-1802-29.pdf#page=7","Abrir facsímil")</f>
        <v>Abrir facsímil</v>
      </c>
      <c r="K6110" s="15" t="s">
        <v>23</v>
      </c>
    </row>
    <row r="6111" spans="1:11" ht="42" customHeight="1">
      <c r="A6111" s="4" t="s">
        <v>14942</v>
      </c>
      <c r="B6111" s="5" t="s">
        <v>14943</v>
      </c>
      <c r="C6111" s="5" t="s">
        <v>35</v>
      </c>
      <c r="D6111" s="5" t="s">
        <v>36</v>
      </c>
      <c r="E6111" s="5" t="s">
        <v>31</v>
      </c>
      <c r="F6111" s="9">
        <v>27</v>
      </c>
      <c r="G6111" s="9">
        <v>314</v>
      </c>
      <c r="H6111" s="5" t="s">
        <v>21</v>
      </c>
      <c r="I6111" s="5" t="s">
        <v>14944</v>
      </c>
      <c r="J6111" s="12" t="str">
        <f>HYPERLINK("https://www.boe.es/gazeta/dias/1802/04/02/pdfs/GMD-1802-27.pdf#page=10","Abrir facsímil")</f>
        <v>Abrir facsímil</v>
      </c>
      <c r="K6111" s="15" t="s">
        <v>23</v>
      </c>
    </row>
    <row r="6112" spans="1:11" ht="42" customHeight="1">
      <c r="A6112" s="4" t="s">
        <v>14942</v>
      </c>
      <c r="B6112" s="5" t="s">
        <v>14943</v>
      </c>
      <c r="C6112" s="5" t="s">
        <v>35</v>
      </c>
      <c r="D6112" s="5" t="s">
        <v>36</v>
      </c>
      <c r="E6112" s="5" t="s">
        <v>31</v>
      </c>
      <c r="F6112" s="9">
        <v>27</v>
      </c>
      <c r="G6112" s="9">
        <v>316</v>
      </c>
      <c r="H6112" s="5" t="s">
        <v>21</v>
      </c>
      <c r="I6112" s="5" t="s">
        <v>14945</v>
      </c>
      <c r="J6112" s="12" t="str">
        <f>HYPERLINK("https://www.boe.es/gazeta/dias/1802/04/02/pdfs/GMD-1802-27.pdf#page=12","Abrir facsímil")</f>
        <v>Abrir facsímil</v>
      </c>
      <c r="K6112" s="15" t="s">
        <v>23</v>
      </c>
    </row>
    <row r="6113" spans="1:11" ht="42" customHeight="1">
      <c r="A6113" s="4" t="s">
        <v>14942</v>
      </c>
      <c r="B6113" s="5" t="s">
        <v>14943</v>
      </c>
      <c r="C6113" s="5" t="s">
        <v>18</v>
      </c>
      <c r="D6113" s="5" t="s">
        <v>19</v>
      </c>
      <c r="E6113" s="5" t="s">
        <v>170</v>
      </c>
      <c r="F6113" s="9">
        <v>28</v>
      </c>
      <c r="G6113" s="9">
        <v>326</v>
      </c>
      <c r="H6113" s="5" t="s">
        <v>21</v>
      </c>
      <c r="I6113" s="5" t="s">
        <v>14946</v>
      </c>
      <c r="J6113" s="12" t="str">
        <f>HYPERLINK("https://www.boe.es/gazeta/dias/1802/04/06/pdfs/GMD-1802-28.pdf#page=6","Abrir facsímil")</f>
        <v>Abrir facsímil</v>
      </c>
      <c r="K6113" s="15" t="s">
        <v>23</v>
      </c>
    </row>
    <row r="6114" spans="1:11" ht="42" customHeight="1">
      <c r="A6114" s="4" t="s">
        <v>14942</v>
      </c>
      <c r="B6114" s="5" t="s">
        <v>14943</v>
      </c>
      <c r="C6114" s="5" t="s">
        <v>29</v>
      </c>
      <c r="D6114" s="5" t="s">
        <v>30</v>
      </c>
      <c r="E6114" s="5" t="s">
        <v>170</v>
      </c>
      <c r="F6114" s="9">
        <v>28</v>
      </c>
      <c r="G6114" s="9">
        <v>327</v>
      </c>
      <c r="H6114" s="5" t="s">
        <v>21</v>
      </c>
      <c r="I6114" s="5" t="s">
        <v>14947</v>
      </c>
      <c r="J6114" s="12" t="str">
        <f>HYPERLINK("https://www.boe.es/gazeta/dias/1802/04/06/pdfs/GMD-1802-28.pdf#page=7","Abrir facsímil")</f>
        <v>Abrir facsímil</v>
      </c>
      <c r="K6114" s="15" t="s">
        <v>23</v>
      </c>
    </row>
    <row r="6115" spans="1:11" ht="42" customHeight="1">
      <c r="A6115" s="4" t="s">
        <v>14942</v>
      </c>
      <c r="B6115" s="5" t="s">
        <v>14943</v>
      </c>
      <c r="C6115" s="5" t="s">
        <v>35</v>
      </c>
      <c r="D6115" s="5" t="s">
        <v>36</v>
      </c>
      <c r="E6115" s="5" t="s">
        <v>92</v>
      </c>
      <c r="F6115" s="9">
        <v>29</v>
      </c>
      <c r="G6115" s="9">
        <v>339</v>
      </c>
      <c r="H6115" s="5" t="s">
        <v>21</v>
      </c>
      <c r="I6115" s="5" t="s">
        <v>14948</v>
      </c>
      <c r="J6115" s="12" t="str">
        <f>HYPERLINK("https://www.boe.es/gazeta/dias/1802/04/09/pdfs/GMD-1802-29.pdf#page=7","Abrir facsímil")</f>
        <v>Abrir facsímil</v>
      </c>
      <c r="K6115" s="15" t="s">
        <v>23</v>
      </c>
    </row>
    <row r="6116" spans="1:11" ht="42" customHeight="1">
      <c r="A6116" s="4" t="s">
        <v>14942</v>
      </c>
      <c r="B6116" s="5" t="s">
        <v>14943</v>
      </c>
      <c r="C6116" s="5" t="s">
        <v>35</v>
      </c>
      <c r="D6116" s="5" t="s">
        <v>36</v>
      </c>
      <c r="E6116" s="5" t="s">
        <v>92</v>
      </c>
      <c r="F6116" s="9">
        <v>29</v>
      </c>
      <c r="G6116" s="9">
        <v>340</v>
      </c>
      <c r="H6116" s="5" t="s">
        <v>21</v>
      </c>
      <c r="I6116" s="5" t="s">
        <v>14949</v>
      </c>
      <c r="J6116" s="12" t="str">
        <f>HYPERLINK("https://www.boe.es/gazeta/dias/1802/04/09/pdfs/GMD-1802-29.pdf#page=8","Abrir facsímil")</f>
        <v>Abrir facsímil</v>
      </c>
      <c r="K6116" s="15" t="s">
        <v>23</v>
      </c>
    </row>
    <row r="6117" spans="1:11" ht="42" customHeight="1">
      <c r="A6117" s="4" t="s">
        <v>14942</v>
      </c>
      <c r="B6117" s="5" t="s">
        <v>14943</v>
      </c>
      <c r="C6117" s="5" t="s">
        <v>35</v>
      </c>
      <c r="D6117" s="5" t="s">
        <v>36</v>
      </c>
      <c r="E6117" s="5" t="s">
        <v>92</v>
      </c>
      <c r="F6117" s="9">
        <v>29</v>
      </c>
      <c r="G6117" s="9">
        <v>341</v>
      </c>
      <c r="H6117" s="5" t="s">
        <v>21</v>
      </c>
      <c r="I6117" s="5" t="s">
        <v>14950</v>
      </c>
      <c r="J6117" s="12" t="str">
        <f>HYPERLINK("https://www.boe.es/gazeta/dias/1802/04/09/pdfs/GMD-1802-29.pdf#page=9","Abrir facsímil")</f>
        <v>Abrir facsímil</v>
      </c>
      <c r="K6117" s="15" t="s">
        <v>23</v>
      </c>
    </row>
    <row r="6118" spans="1:11" ht="42" customHeight="1">
      <c r="A6118" s="4" t="s">
        <v>14942</v>
      </c>
      <c r="B6118" s="5" t="s">
        <v>14943</v>
      </c>
      <c r="C6118" s="5" t="s">
        <v>35</v>
      </c>
      <c r="D6118" s="5" t="s">
        <v>36</v>
      </c>
      <c r="E6118" s="5" t="s">
        <v>339</v>
      </c>
      <c r="F6118" s="9">
        <v>39</v>
      </c>
      <c r="G6118" s="9">
        <v>465</v>
      </c>
      <c r="H6118" s="5" t="s">
        <v>21</v>
      </c>
      <c r="I6118" s="5" t="s">
        <v>14951</v>
      </c>
      <c r="J6118" s="12" t="str">
        <f>HYPERLINK("https://www.boe.es/gazeta/dias/1802/05/14/pdfs/GMD-1802-39.pdf#page=9","Abrir facsímil")</f>
        <v>Abrir facsímil</v>
      </c>
      <c r="K6118" s="15" t="s">
        <v>23</v>
      </c>
    </row>
    <row r="6119" spans="1:11" ht="42" customHeight="1">
      <c r="A6119" s="4" t="s">
        <v>14942</v>
      </c>
      <c r="B6119" s="5" t="s">
        <v>14943</v>
      </c>
      <c r="C6119" s="5" t="s">
        <v>18</v>
      </c>
      <c r="D6119" s="5" t="s">
        <v>19</v>
      </c>
      <c r="E6119" s="5" t="s">
        <v>670</v>
      </c>
      <c r="F6119" s="9">
        <v>40</v>
      </c>
      <c r="G6119" s="9">
        <v>478</v>
      </c>
      <c r="H6119" s="5" t="s">
        <v>21</v>
      </c>
      <c r="I6119" s="5" t="s">
        <v>14952</v>
      </c>
      <c r="J6119" s="12" t="str">
        <f>HYPERLINK("https://www.boe.es/gazeta/dias/1802/05/18/pdfs/GMD-1802-40.pdf#page=6","Abrir facsímil")</f>
        <v>Abrir facsímil</v>
      </c>
      <c r="K6119" s="15" t="s">
        <v>23</v>
      </c>
    </row>
    <row r="6120" spans="1:11" ht="42" customHeight="1">
      <c r="A6120" s="4" t="s">
        <v>14942</v>
      </c>
      <c r="B6120" s="5" t="s">
        <v>14943</v>
      </c>
      <c r="C6120" s="5" t="s">
        <v>35</v>
      </c>
      <c r="D6120" s="5" t="s">
        <v>36</v>
      </c>
      <c r="E6120" s="5" t="s">
        <v>921</v>
      </c>
      <c r="F6120" s="9">
        <v>50</v>
      </c>
      <c r="G6120" s="9">
        <v>607</v>
      </c>
      <c r="H6120" s="5" t="s">
        <v>21</v>
      </c>
      <c r="I6120" s="5" t="s">
        <v>14953</v>
      </c>
      <c r="J6120" s="12" t="str">
        <f>HYPERLINK("https://www.boe.es/gazeta/dias/1802/06/22/pdfs/GMD-1802-50.pdf#page=7","Abrir facsímil")</f>
        <v>Abrir facsímil</v>
      </c>
      <c r="K6120" s="15" t="s">
        <v>23</v>
      </c>
    </row>
    <row r="6121" spans="1:11" ht="42" customHeight="1">
      <c r="A6121" s="4" t="s">
        <v>14942</v>
      </c>
      <c r="B6121" s="5" t="s">
        <v>14943</v>
      </c>
      <c r="C6121" s="5" t="s">
        <v>35</v>
      </c>
      <c r="D6121" s="5" t="s">
        <v>36</v>
      </c>
      <c r="E6121" s="5" t="s">
        <v>921</v>
      </c>
      <c r="F6121" s="9">
        <v>50</v>
      </c>
      <c r="G6121" s="9">
        <v>608</v>
      </c>
      <c r="H6121" s="5" t="s">
        <v>21</v>
      </c>
      <c r="I6121" s="5" t="s">
        <v>14954</v>
      </c>
      <c r="J6121" s="12" t="str">
        <f>HYPERLINK("https://www.boe.es/gazeta/dias/1802/06/22/pdfs/GMD-1802-50.pdf#page=8","Abrir facsímil")</f>
        <v>Abrir facsímil</v>
      </c>
      <c r="K6121" s="15" t="s">
        <v>23</v>
      </c>
    </row>
    <row r="6122" spans="1:11" ht="42" customHeight="1">
      <c r="A6122" s="4" t="s">
        <v>14942</v>
      </c>
      <c r="B6122" s="5" t="s">
        <v>14943</v>
      </c>
      <c r="C6122" s="5" t="s">
        <v>35</v>
      </c>
      <c r="D6122" s="5" t="s">
        <v>36</v>
      </c>
      <c r="E6122" s="5" t="s">
        <v>57</v>
      </c>
      <c r="F6122" s="9">
        <v>54</v>
      </c>
      <c r="G6122" s="9">
        <v>652</v>
      </c>
      <c r="H6122" s="5" t="s">
        <v>21</v>
      </c>
      <c r="I6122" s="5" t="s">
        <v>14955</v>
      </c>
      <c r="J6122" s="12" t="str">
        <f>HYPERLINK("https://www.boe.es/gazeta/dias/1802/07/06/pdfs/GMD-1802-54.pdf#page=8","Abrir facsímil")</f>
        <v>Abrir facsímil</v>
      </c>
      <c r="K6122" s="15" t="s">
        <v>23</v>
      </c>
    </row>
    <row r="6123" spans="1:11" ht="42" customHeight="1">
      <c r="A6123" s="4" t="s">
        <v>14956</v>
      </c>
      <c r="B6123" s="5" t="s">
        <v>14957</v>
      </c>
      <c r="C6123" s="5" t="s">
        <v>18</v>
      </c>
      <c r="D6123" s="5" t="s">
        <v>19</v>
      </c>
      <c r="E6123" s="5" t="s">
        <v>20</v>
      </c>
      <c r="F6123" s="9">
        <v>84</v>
      </c>
      <c r="G6123" s="9">
        <v>1043</v>
      </c>
      <c r="H6123" s="5" t="s">
        <v>21</v>
      </c>
      <c r="I6123" s="5" t="s">
        <v>14958</v>
      </c>
      <c r="J6123" s="12" t="str">
        <f>HYPERLINK("https://www.boe.es/gazeta/dias/1802/10/15/pdfs/GMD-1802-84.pdf#page=11","Abrir facsímil")</f>
        <v>Abrir facsímil</v>
      </c>
      <c r="K6123" s="15" t="s">
        <v>23</v>
      </c>
    </row>
    <row r="6124" spans="1:11" ht="42" customHeight="1">
      <c r="A6124" s="4" t="s">
        <v>14959</v>
      </c>
      <c r="B6124" s="5" t="s">
        <v>14960</v>
      </c>
      <c r="C6124" s="5" t="s">
        <v>29</v>
      </c>
      <c r="D6124" s="5" t="s">
        <v>30</v>
      </c>
      <c r="E6124" s="5" t="s">
        <v>678</v>
      </c>
      <c r="F6124" s="9">
        <v>15</v>
      </c>
      <c r="G6124" s="9">
        <v>158</v>
      </c>
      <c r="H6124" s="5" t="s">
        <v>21</v>
      </c>
      <c r="I6124" s="5" t="s">
        <v>14961</v>
      </c>
      <c r="J6124" s="12" t="str">
        <f>HYPERLINK("https://www.boe.es/gazeta/dias/1802/02/19/pdfs/GMD-1802-15.pdf#page=10","Abrir facsímil")</f>
        <v>Abrir facsímil</v>
      </c>
      <c r="K6124" s="15" t="s">
        <v>23</v>
      </c>
    </row>
    <row r="6125" spans="1:11" ht="42" customHeight="1">
      <c r="A6125" s="4" t="s">
        <v>14959</v>
      </c>
      <c r="B6125" s="5" t="s">
        <v>14960</v>
      </c>
      <c r="C6125" s="5" t="s">
        <v>29</v>
      </c>
      <c r="D6125" s="5" t="s">
        <v>30</v>
      </c>
      <c r="E6125" s="5" t="s">
        <v>232</v>
      </c>
      <c r="F6125" s="9">
        <v>30</v>
      </c>
      <c r="G6125" s="9">
        <v>350</v>
      </c>
      <c r="H6125" s="5" t="s">
        <v>21</v>
      </c>
      <c r="I6125" s="5" t="s">
        <v>14962</v>
      </c>
      <c r="J6125" s="12" t="str">
        <f>HYPERLINK("https://www.boe.es/gazeta/dias/1802/04/13/pdfs/GMD-1802-30.pdf#page=6","Abrir facsímil")</f>
        <v>Abrir facsímil</v>
      </c>
      <c r="K6125" s="15" t="s">
        <v>23</v>
      </c>
    </row>
    <row r="6126" spans="1:11" ht="42" customHeight="1">
      <c r="A6126" s="4" t="s">
        <v>14963</v>
      </c>
      <c r="B6126" s="5" t="s">
        <v>14963</v>
      </c>
      <c r="C6126" s="5" t="s">
        <v>18</v>
      </c>
      <c r="D6126" s="5" t="s">
        <v>19</v>
      </c>
      <c r="E6126" s="5" t="s">
        <v>152</v>
      </c>
      <c r="F6126" s="9">
        <v>25</v>
      </c>
      <c r="G6126" s="9">
        <v>285</v>
      </c>
      <c r="H6126" s="5" t="s">
        <v>21</v>
      </c>
      <c r="I6126" s="5" t="s">
        <v>14964</v>
      </c>
      <c r="J6126" s="12" t="str">
        <f>HYPERLINK("https://www.boe.es/gazeta/dias/1802/03/26/pdfs/GMD-1802-25.pdf#page=9","Abrir facsímil")</f>
        <v>Abrir facsímil</v>
      </c>
      <c r="K6126" s="15" t="s">
        <v>23</v>
      </c>
    </row>
    <row r="6127" spans="1:11" ht="42" customHeight="1">
      <c r="A6127" s="4" t="s">
        <v>14963</v>
      </c>
      <c r="B6127" s="5" t="s">
        <v>14963</v>
      </c>
      <c r="C6127" s="5" t="s">
        <v>18</v>
      </c>
      <c r="D6127" s="5" t="s">
        <v>19</v>
      </c>
      <c r="E6127" s="5" t="s">
        <v>826</v>
      </c>
      <c r="F6127" s="9">
        <v>67</v>
      </c>
      <c r="G6127" s="9">
        <v>819</v>
      </c>
      <c r="H6127" s="5" t="s">
        <v>21</v>
      </c>
      <c r="I6127" s="5" t="s">
        <v>14965</v>
      </c>
      <c r="J6127" s="12" t="str">
        <f>HYPERLINK("https://www.boe.es/gazeta/dias/1802/08/17/pdfs/GMD-1802-67.pdf#page=7","Abrir facsímil")</f>
        <v>Abrir facsímil</v>
      </c>
      <c r="K6127" s="15" t="s">
        <v>23</v>
      </c>
    </row>
    <row r="6128" spans="1:11" ht="42" customHeight="1">
      <c r="A6128" s="4" t="s">
        <v>14963</v>
      </c>
      <c r="B6128" s="5" t="s">
        <v>14963</v>
      </c>
      <c r="C6128" s="5" t="s">
        <v>18</v>
      </c>
      <c r="D6128" s="5" t="s">
        <v>19</v>
      </c>
      <c r="E6128" s="5" t="s">
        <v>49</v>
      </c>
      <c r="F6128" s="9">
        <v>83</v>
      </c>
      <c r="G6128" s="9">
        <v>1024</v>
      </c>
      <c r="H6128" s="5" t="s">
        <v>21</v>
      </c>
      <c r="I6128" s="5" t="s">
        <v>14966</v>
      </c>
      <c r="J6128" s="12" t="str">
        <f>HYPERLINK("https://www.boe.es/gazeta/dias/1802/10/12/pdfs/GMD-1802-83.pdf#page=12","Abrir facsímil")</f>
        <v>Abrir facsímil</v>
      </c>
      <c r="K6128" s="15" t="s">
        <v>23</v>
      </c>
    </row>
    <row r="6129" spans="1:11" ht="42" customHeight="1">
      <c r="A6129" s="4" t="s">
        <v>14967</v>
      </c>
      <c r="B6129" s="5" t="s">
        <v>14967</v>
      </c>
      <c r="C6129" s="5" t="s">
        <v>18</v>
      </c>
      <c r="D6129" s="5" t="s">
        <v>19</v>
      </c>
      <c r="E6129" s="5" t="s">
        <v>49</v>
      </c>
      <c r="F6129" s="9">
        <v>83</v>
      </c>
      <c r="G6129" s="9">
        <v>1024</v>
      </c>
      <c r="H6129" s="5" t="s">
        <v>21</v>
      </c>
      <c r="I6129" s="5" t="s">
        <v>14968</v>
      </c>
      <c r="J6129" s="12" t="str">
        <f>HYPERLINK("https://www.boe.es/gazeta/dias/1802/10/12/pdfs/GMD-1802-83.pdf#page=12","Abrir facsímil")</f>
        <v>Abrir facsímil</v>
      </c>
      <c r="K6129" s="15" t="s">
        <v>23</v>
      </c>
    </row>
    <row r="6130" spans="1:11" ht="42" customHeight="1">
      <c r="A6130" s="4" t="s">
        <v>14969</v>
      </c>
      <c r="B6130" s="5" t="s">
        <v>14969</v>
      </c>
      <c r="C6130" s="5" t="s">
        <v>42</v>
      </c>
      <c r="D6130" s="5" t="s">
        <v>43</v>
      </c>
      <c r="E6130" s="5" t="s">
        <v>44</v>
      </c>
      <c r="F6130" s="9">
        <v>99</v>
      </c>
      <c r="G6130" s="9" t="s">
        <v>550</v>
      </c>
      <c r="H6130" s="5" t="s">
        <v>21</v>
      </c>
      <c r="I6130" s="5" t="s">
        <v>14970</v>
      </c>
      <c r="J6130" s="12" t="str">
        <f>HYPERLINK("https://www.boe.es/gazeta/dias/1802/12/07/pdfs/GMD-D-1802-99.pdf#page=16","Abrir facsímil")</f>
        <v>Abrir facsímil</v>
      </c>
      <c r="K6130" s="15" t="s">
        <v>23</v>
      </c>
    </row>
    <row r="6131" spans="1:11" ht="42" customHeight="1">
      <c r="A6131" s="4" t="s">
        <v>14971</v>
      </c>
      <c r="B6131" s="5" t="s">
        <v>14971</v>
      </c>
      <c r="C6131" s="5" t="s">
        <v>29</v>
      </c>
      <c r="D6131" s="5" t="s">
        <v>30</v>
      </c>
      <c r="E6131" s="5" t="s">
        <v>152</v>
      </c>
      <c r="F6131" s="9">
        <v>25</v>
      </c>
      <c r="G6131" s="9">
        <v>284</v>
      </c>
      <c r="H6131" s="5" t="s">
        <v>21</v>
      </c>
      <c r="I6131" s="5" t="s">
        <v>14972</v>
      </c>
      <c r="J6131" s="12" t="str">
        <f>HYPERLINK("https://www.boe.es/gazeta/dias/1802/03/26/pdfs/GMD-1802-25.pdf#page=8","Abrir facsímil")</f>
        <v>Abrir facsímil</v>
      </c>
      <c r="K6131" s="15" t="s">
        <v>23</v>
      </c>
    </row>
    <row r="6132" spans="1:11" ht="42" customHeight="1">
      <c r="A6132" s="4" t="s">
        <v>14971</v>
      </c>
      <c r="B6132" s="5" t="s">
        <v>14971</v>
      </c>
      <c r="C6132" s="5" t="s">
        <v>18</v>
      </c>
      <c r="D6132" s="5" t="s">
        <v>19</v>
      </c>
      <c r="E6132" s="5" t="s">
        <v>152</v>
      </c>
      <c r="F6132" s="9">
        <v>25</v>
      </c>
      <c r="G6132" s="9">
        <v>285</v>
      </c>
      <c r="H6132" s="5" t="s">
        <v>21</v>
      </c>
      <c r="I6132" s="5" t="s">
        <v>14973</v>
      </c>
      <c r="J6132" s="12" t="str">
        <f>HYPERLINK("https://www.boe.es/gazeta/dias/1802/03/26/pdfs/GMD-1802-25.pdf#page=9","Abrir facsímil")</f>
        <v>Abrir facsímil</v>
      </c>
      <c r="K6132" s="15" t="s">
        <v>23</v>
      </c>
    </row>
    <row r="6133" spans="1:11" ht="42" customHeight="1">
      <c r="A6133" s="4" t="s">
        <v>14971</v>
      </c>
      <c r="B6133" s="5" t="s">
        <v>14971</v>
      </c>
      <c r="C6133" s="5" t="s">
        <v>160</v>
      </c>
      <c r="D6133" s="5" t="s">
        <v>91</v>
      </c>
      <c r="E6133" s="5" t="s">
        <v>148</v>
      </c>
      <c r="F6133" s="9">
        <v>66</v>
      </c>
      <c r="G6133" s="9">
        <v>808</v>
      </c>
      <c r="H6133" s="5" t="s">
        <v>21</v>
      </c>
      <c r="I6133" s="5" t="s">
        <v>14974</v>
      </c>
      <c r="J6133" s="12" t="str">
        <f>HYPERLINK("https://www.boe.es/gazeta/dias/1802/08/13/pdfs/GMD-1802-66.pdf#page=12","Abrir facsímil")</f>
        <v>Abrir facsímil</v>
      </c>
      <c r="K6133" s="15" t="s">
        <v>23</v>
      </c>
    </row>
    <row r="6134" spans="1:11" ht="42" customHeight="1">
      <c r="A6134" s="4" t="s">
        <v>14975</v>
      </c>
      <c r="B6134" s="5" t="s">
        <v>14976</v>
      </c>
      <c r="C6134" s="5" t="s">
        <v>18</v>
      </c>
      <c r="D6134" s="5" t="s">
        <v>19</v>
      </c>
      <c r="E6134" s="5" t="s">
        <v>20</v>
      </c>
      <c r="F6134" s="9">
        <v>84</v>
      </c>
      <c r="G6134" s="9">
        <v>1044</v>
      </c>
      <c r="H6134" s="5" t="s">
        <v>21</v>
      </c>
      <c r="I6134" s="5" t="s">
        <v>14977</v>
      </c>
      <c r="J6134" s="12" t="str">
        <f>HYPERLINK("https://www.boe.es/gazeta/dias/1802/10/15/pdfs/GMD-1802-84.pdf#page=12","Abrir facsímil")</f>
        <v>Abrir facsímil</v>
      </c>
      <c r="K6134" s="15" t="s">
        <v>23</v>
      </c>
    </row>
    <row r="6135" spans="1:11" ht="42" customHeight="1">
      <c r="A6135" s="4" t="s">
        <v>14978</v>
      </c>
      <c r="B6135" s="5" t="s">
        <v>14979</v>
      </c>
      <c r="C6135" s="5" t="s">
        <v>29</v>
      </c>
      <c r="D6135" s="5" t="s">
        <v>30</v>
      </c>
      <c r="E6135" s="5" t="s">
        <v>25</v>
      </c>
      <c r="F6135" s="9">
        <v>44</v>
      </c>
      <c r="G6135" s="9">
        <v>533</v>
      </c>
      <c r="H6135" s="5" t="s">
        <v>21</v>
      </c>
      <c r="I6135" s="5" t="s">
        <v>14980</v>
      </c>
      <c r="J6135" s="12" t="str">
        <f>HYPERLINK("https://www.boe.es/gazeta/dias/1802/06/01/pdfs/GMD-1802-44.pdf#page=9","Abrir facsímil")</f>
        <v>Abrir facsímil</v>
      </c>
      <c r="K6135" s="15" t="s">
        <v>23</v>
      </c>
    </row>
    <row r="6136" spans="1:11" ht="42" customHeight="1">
      <c r="A6136" s="4" t="s">
        <v>14981</v>
      </c>
      <c r="B6136" s="5" t="s">
        <v>14982</v>
      </c>
      <c r="C6136" s="5" t="s">
        <v>18</v>
      </c>
      <c r="D6136" s="5" t="s">
        <v>19</v>
      </c>
      <c r="E6136" s="5" t="s">
        <v>49</v>
      </c>
      <c r="F6136" s="9">
        <v>83</v>
      </c>
      <c r="G6136" s="9">
        <v>1023</v>
      </c>
      <c r="H6136" s="5" t="s">
        <v>21</v>
      </c>
      <c r="I6136" s="5" t="s">
        <v>14983</v>
      </c>
      <c r="J6136" s="12" t="str">
        <f>HYPERLINK("https://www.boe.es/gazeta/dias/1802/10/12/pdfs/GMD-1802-83.pdf#page=11","Abrir facsímil")</f>
        <v>Abrir facsímil</v>
      </c>
      <c r="K6136" s="15" t="s">
        <v>23</v>
      </c>
    </row>
    <row r="6137" spans="1:11" ht="42" customHeight="1">
      <c r="A6137" s="4" t="s">
        <v>14984</v>
      </c>
      <c r="B6137" s="5" t="s">
        <v>14985</v>
      </c>
      <c r="C6137" s="5" t="s">
        <v>18</v>
      </c>
      <c r="D6137" s="5" t="s">
        <v>19</v>
      </c>
      <c r="E6137" s="5" t="s">
        <v>1381</v>
      </c>
      <c r="F6137" s="9">
        <v>17</v>
      </c>
      <c r="G6137" s="9">
        <v>184</v>
      </c>
      <c r="H6137" s="5" t="s">
        <v>21</v>
      </c>
      <c r="I6137" s="5" t="s">
        <v>14986</v>
      </c>
      <c r="J6137" s="12" t="str">
        <f>HYPERLINK("https://www.boe.es/gazeta/dias/1802/02/26/pdfs/GMD-1802-17.pdf#page=8","Abrir facsímil")</f>
        <v>Abrir facsímil</v>
      </c>
      <c r="K6137" s="15" t="s">
        <v>23</v>
      </c>
    </row>
    <row r="6138" spans="1:11" ht="42" customHeight="1">
      <c r="A6138" s="4" t="s">
        <v>14987</v>
      </c>
      <c r="B6138" s="5" t="s">
        <v>14988</v>
      </c>
      <c r="C6138" s="5" t="s">
        <v>90</v>
      </c>
      <c r="D6138" s="5" t="s">
        <v>91</v>
      </c>
      <c r="E6138" s="5" t="s">
        <v>381</v>
      </c>
      <c r="F6138" s="9">
        <v>13</v>
      </c>
      <c r="G6138" s="9">
        <v>131</v>
      </c>
      <c r="H6138" s="5" t="s">
        <v>21</v>
      </c>
      <c r="I6138" s="5" t="s">
        <v>14989</v>
      </c>
      <c r="J6138" s="12" t="str">
        <f>HYPERLINK("https://www.boe.es/gazeta/dias/1802/02/12/pdfs/GMD-1802-13.pdf#page=7","Abrir facsímil")</f>
        <v>Abrir facsímil</v>
      </c>
      <c r="K6138" s="15" t="s">
        <v>23</v>
      </c>
    </row>
    <row r="6139" spans="1:11" ht="42" customHeight="1">
      <c r="A6139" s="4" t="s">
        <v>14987</v>
      </c>
      <c r="B6139" s="5" t="s">
        <v>14988</v>
      </c>
      <c r="C6139" s="5" t="s">
        <v>55</v>
      </c>
      <c r="D6139" s="5" t="s">
        <v>56</v>
      </c>
      <c r="E6139" s="5" t="s">
        <v>900</v>
      </c>
      <c r="F6139" s="9">
        <v>16</v>
      </c>
      <c r="G6139" s="9">
        <v>172</v>
      </c>
      <c r="H6139" s="5" t="s">
        <v>21</v>
      </c>
      <c r="I6139" s="5" t="s">
        <v>14990</v>
      </c>
      <c r="J6139" s="12" t="str">
        <f>HYPERLINK("https://www.boe.es/gazeta/dias/1802/02/23/pdfs/GMD-1802-16.pdf#page=12","Abrir facsímil")</f>
        <v>Abrir facsímil</v>
      </c>
      <c r="K6139" s="15" t="s">
        <v>23</v>
      </c>
    </row>
    <row r="6140" spans="1:11" ht="42" customHeight="1">
      <c r="A6140" s="4" t="s">
        <v>14991</v>
      </c>
      <c r="B6140" s="5" t="s">
        <v>14992</v>
      </c>
      <c r="C6140" s="5" t="s">
        <v>55</v>
      </c>
      <c r="D6140" s="5" t="s">
        <v>56</v>
      </c>
      <c r="E6140" s="5" t="s">
        <v>152</v>
      </c>
      <c r="F6140" s="9">
        <v>25</v>
      </c>
      <c r="G6140" s="9">
        <v>288</v>
      </c>
      <c r="H6140" s="5" t="s">
        <v>21</v>
      </c>
      <c r="I6140" s="5" t="s">
        <v>14993</v>
      </c>
      <c r="J6140" s="12" t="str">
        <f>HYPERLINK("https://www.boe.es/gazeta/dias/1802/03/26/pdfs/GMD-1802-25.pdf#page=12","Abrir facsímil")</f>
        <v>Abrir facsímil</v>
      </c>
      <c r="K6140" s="15" t="s">
        <v>23</v>
      </c>
    </row>
    <row r="6141" spans="1:11" ht="42" customHeight="1">
      <c r="A6141" s="4" t="s">
        <v>14994</v>
      </c>
      <c r="B6141" s="5" t="s">
        <v>14995</v>
      </c>
      <c r="C6141" s="5" t="s">
        <v>55</v>
      </c>
      <c r="D6141" s="5" t="s">
        <v>56</v>
      </c>
      <c r="E6141" s="5" t="s">
        <v>339</v>
      </c>
      <c r="F6141" s="9">
        <v>39</v>
      </c>
      <c r="G6141" s="9">
        <v>472</v>
      </c>
      <c r="H6141" s="5" t="s">
        <v>21</v>
      </c>
      <c r="I6141" s="5" t="s">
        <v>14996</v>
      </c>
      <c r="J6141" s="12" t="str">
        <f>HYPERLINK("https://www.boe.es/gazeta/dias/1802/05/14/pdfs/GMD-1802-39.pdf#page=16","Abrir facsímil")</f>
        <v>Abrir facsímil</v>
      </c>
      <c r="K6141" s="15" t="s">
        <v>23</v>
      </c>
    </row>
    <row r="6142" spans="1:11" ht="42" customHeight="1">
      <c r="A6142" s="4" t="s">
        <v>14997</v>
      </c>
      <c r="B6142" s="5" t="s">
        <v>14998</v>
      </c>
      <c r="C6142" s="5" t="s">
        <v>18</v>
      </c>
      <c r="D6142" s="5" t="s">
        <v>19</v>
      </c>
      <c r="E6142" s="5" t="s">
        <v>20</v>
      </c>
      <c r="F6142" s="9">
        <v>84</v>
      </c>
      <c r="G6142" s="9">
        <v>1041</v>
      </c>
      <c r="H6142" s="5" t="s">
        <v>21</v>
      </c>
      <c r="I6142" s="5" t="s">
        <v>14999</v>
      </c>
      <c r="J6142" s="12" t="str">
        <f>HYPERLINK("https://www.boe.es/gazeta/dias/1802/10/15/pdfs/GMD-1802-84.pdf#page=9","Abrir facsímil")</f>
        <v>Abrir facsímil</v>
      </c>
      <c r="K6142" s="15" t="s">
        <v>23</v>
      </c>
    </row>
    <row r="6143" spans="1:11" ht="42" customHeight="1">
      <c r="A6143" s="4" t="s">
        <v>15000</v>
      </c>
      <c r="B6143" s="5" t="s">
        <v>15001</v>
      </c>
      <c r="C6143" s="5" t="s">
        <v>29</v>
      </c>
      <c r="D6143" s="5" t="s">
        <v>30</v>
      </c>
      <c r="E6143" s="5" t="s">
        <v>900</v>
      </c>
      <c r="F6143" s="9">
        <v>16</v>
      </c>
      <c r="G6143" s="9">
        <v>170</v>
      </c>
      <c r="H6143" s="5" t="s">
        <v>21</v>
      </c>
      <c r="I6143" s="5" t="s">
        <v>15002</v>
      </c>
      <c r="J6143" s="12" t="str">
        <f>HYPERLINK("https://www.boe.es/gazeta/dias/1802/02/23/pdfs/GMD-1802-16.pdf#page=10","Abrir facsímil")</f>
        <v>Abrir facsímil</v>
      </c>
      <c r="K6143" s="15" t="s">
        <v>23</v>
      </c>
    </row>
    <row r="6144" spans="1:11" ht="42" customHeight="1">
      <c r="A6144" s="4" t="s">
        <v>15003</v>
      </c>
      <c r="B6144" s="5" t="s">
        <v>15004</v>
      </c>
      <c r="C6144" s="5" t="s">
        <v>29</v>
      </c>
      <c r="D6144" s="5" t="s">
        <v>30</v>
      </c>
      <c r="E6144" s="5" t="s">
        <v>109</v>
      </c>
      <c r="F6144" s="9">
        <v>10</v>
      </c>
      <c r="G6144" s="9">
        <v>98</v>
      </c>
      <c r="H6144" s="5" t="s">
        <v>21</v>
      </c>
      <c r="I6144" s="5" t="s">
        <v>15005</v>
      </c>
      <c r="J6144" s="12" t="str">
        <f>HYPERLINK("https://www.boe.es/gazeta/dias/1802/02/02/pdfs/GMD-1802-10.pdf#page=6","Abrir facsímil")</f>
        <v>Abrir facsímil</v>
      </c>
      <c r="K6144" s="15" t="s">
        <v>23</v>
      </c>
    </row>
    <row r="6145" spans="1:11" ht="42" customHeight="1">
      <c r="A6145" s="4" t="s">
        <v>15006</v>
      </c>
      <c r="B6145" s="5" t="s">
        <v>15007</v>
      </c>
      <c r="C6145" s="5" t="s">
        <v>18</v>
      </c>
      <c r="D6145" s="5" t="s">
        <v>19</v>
      </c>
      <c r="E6145" s="5" t="s">
        <v>20</v>
      </c>
      <c r="F6145" s="9">
        <v>84</v>
      </c>
      <c r="G6145" s="9">
        <v>1040</v>
      </c>
      <c r="H6145" s="5" t="s">
        <v>21</v>
      </c>
      <c r="I6145" s="5" t="s">
        <v>15008</v>
      </c>
      <c r="J6145" s="12" t="str">
        <f>HYPERLINK("https://www.boe.es/gazeta/dias/1802/10/15/pdfs/GMD-1802-84.pdf#page=8","Abrir facsímil")</f>
        <v>Abrir facsímil</v>
      </c>
      <c r="K6145" s="15" t="s">
        <v>23</v>
      </c>
    </row>
    <row r="6146" spans="1:11" ht="42" customHeight="1">
      <c r="A6146" s="4" t="s">
        <v>15009</v>
      </c>
      <c r="B6146" s="5" t="s">
        <v>15010</v>
      </c>
      <c r="C6146" s="5" t="s">
        <v>29</v>
      </c>
      <c r="D6146" s="5" t="s">
        <v>30</v>
      </c>
      <c r="E6146" s="5" t="s">
        <v>49</v>
      </c>
      <c r="F6146" s="9">
        <v>83</v>
      </c>
      <c r="G6146" s="9">
        <v>1020</v>
      </c>
      <c r="H6146" s="5" t="s">
        <v>21</v>
      </c>
      <c r="I6146" s="5" t="s">
        <v>15011</v>
      </c>
      <c r="J6146" s="12" t="str">
        <f>HYPERLINK("https://www.boe.es/gazeta/dias/1802/10/12/pdfs/GMD-1802-83.pdf#page=8","Abrir facsímil")</f>
        <v>Abrir facsímil</v>
      </c>
      <c r="K6146" s="15" t="s">
        <v>23</v>
      </c>
    </row>
    <row r="6147" spans="1:11" ht="42" customHeight="1">
      <c r="A6147" s="4" t="s">
        <v>15012</v>
      </c>
      <c r="B6147" s="5" t="s">
        <v>15013</v>
      </c>
      <c r="C6147" s="5" t="s">
        <v>29</v>
      </c>
      <c r="D6147" s="5" t="s">
        <v>30</v>
      </c>
      <c r="E6147" s="5" t="s">
        <v>339</v>
      </c>
      <c r="F6147" s="9">
        <v>39</v>
      </c>
      <c r="G6147" s="9">
        <v>468</v>
      </c>
      <c r="H6147" s="5" t="s">
        <v>21</v>
      </c>
      <c r="I6147" s="5" t="s">
        <v>15014</v>
      </c>
      <c r="J6147" s="12" t="str">
        <f>HYPERLINK("https://www.boe.es/gazeta/dias/1802/05/14/pdfs/GMD-1802-39.pdf#page=12","Abrir facsímil")</f>
        <v>Abrir facsímil</v>
      </c>
      <c r="K6147" s="15" t="s">
        <v>23</v>
      </c>
    </row>
    <row r="6148" spans="1:11" ht="42" customHeight="1">
      <c r="A6148" s="4" t="s">
        <v>15015</v>
      </c>
      <c r="B6148" s="5" t="s">
        <v>15016</v>
      </c>
      <c r="C6148" s="5" t="s">
        <v>18</v>
      </c>
      <c r="D6148" s="5" t="s">
        <v>19</v>
      </c>
      <c r="E6148" s="5" t="s">
        <v>655</v>
      </c>
      <c r="F6148" s="9">
        <v>46</v>
      </c>
      <c r="G6148" s="9">
        <v>557</v>
      </c>
      <c r="H6148" s="5" t="s">
        <v>21</v>
      </c>
      <c r="I6148" s="5" t="s">
        <v>15017</v>
      </c>
      <c r="J6148" s="12" t="str">
        <f>HYPERLINK("https://www.boe.es/gazeta/dias/1802/06/08/pdfs/GMD-1802-46.pdf#page=9","Abrir facsímil")</f>
        <v>Abrir facsímil</v>
      </c>
      <c r="K6148" s="15" t="s">
        <v>23</v>
      </c>
    </row>
    <row r="6149" spans="1:11" ht="42" customHeight="1">
      <c r="A6149" s="4" t="s">
        <v>15018</v>
      </c>
      <c r="B6149" s="5" t="s">
        <v>15019</v>
      </c>
      <c r="C6149" s="5" t="s">
        <v>18</v>
      </c>
      <c r="D6149" s="5" t="s">
        <v>19</v>
      </c>
      <c r="E6149" s="5" t="s">
        <v>714</v>
      </c>
      <c r="F6149" s="9">
        <v>89</v>
      </c>
      <c r="G6149" s="9">
        <v>1107</v>
      </c>
      <c r="H6149" s="5" t="s">
        <v>21</v>
      </c>
      <c r="I6149" s="5" t="s">
        <v>15020</v>
      </c>
      <c r="J6149" s="12" t="str">
        <f>HYPERLINK("https://www.boe.es/gazeta/dias/1802/11/02/pdfs/GMD-1802-89.pdf#page=11","Abrir facsímil")</f>
        <v>Abrir facsímil</v>
      </c>
      <c r="K6149" s="15" t="s">
        <v>23</v>
      </c>
    </row>
    <row r="6150" spans="1:11" ht="42" customHeight="1">
      <c r="A6150" s="4" t="s">
        <v>15021</v>
      </c>
      <c r="B6150" s="5" t="s">
        <v>15022</v>
      </c>
      <c r="C6150" s="5" t="s">
        <v>18</v>
      </c>
      <c r="D6150" s="5" t="s">
        <v>19</v>
      </c>
      <c r="E6150" s="5" t="s">
        <v>20</v>
      </c>
      <c r="F6150" s="9">
        <v>84</v>
      </c>
      <c r="G6150" s="9">
        <v>1042</v>
      </c>
      <c r="H6150" s="5" t="s">
        <v>21</v>
      </c>
      <c r="I6150" s="5" t="s">
        <v>15023</v>
      </c>
      <c r="J6150" s="12" t="str">
        <f>HYPERLINK("https://www.boe.es/gazeta/dias/1802/10/15/pdfs/GMD-1802-84.pdf#page=10","Abrir facsímil")</f>
        <v>Abrir facsímil</v>
      </c>
      <c r="K6150" s="15" t="s">
        <v>23</v>
      </c>
    </row>
    <row r="6151" spans="1:11" ht="42" customHeight="1">
      <c r="A6151" s="4" t="s">
        <v>15024</v>
      </c>
      <c r="B6151" s="5" t="s">
        <v>15025</v>
      </c>
      <c r="C6151" s="5" t="s">
        <v>18</v>
      </c>
      <c r="D6151" s="5" t="s">
        <v>19</v>
      </c>
      <c r="E6151" s="5" t="s">
        <v>175</v>
      </c>
      <c r="F6151" s="9">
        <v>37</v>
      </c>
      <c r="G6151" s="9">
        <v>442</v>
      </c>
      <c r="H6151" s="5" t="s">
        <v>21</v>
      </c>
      <c r="I6151" s="5" t="s">
        <v>15026</v>
      </c>
      <c r="J6151" s="12" t="str">
        <f>HYPERLINK("https://www.boe.es/gazeta/dias/1802/05/07/pdfs/GMD-1802-37.pdf#page=10","Abrir facsímil")</f>
        <v>Abrir facsímil</v>
      </c>
      <c r="K6151" s="15" t="s">
        <v>23</v>
      </c>
    </row>
    <row r="6152" spans="1:11" ht="42" customHeight="1">
      <c r="A6152" s="4" t="s">
        <v>15027</v>
      </c>
      <c r="B6152" s="5" t="s">
        <v>15028</v>
      </c>
      <c r="C6152" s="5" t="s">
        <v>18</v>
      </c>
      <c r="D6152" s="5" t="s">
        <v>19</v>
      </c>
      <c r="E6152" s="5" t="s">
        <v>49</v>
      </c>
      <c r="F6152" s="9">
        <v>83</v>
      </c>
      <c r="G6152" s="9">
        <v>1025</v>
      </c>
      <c r="H6152" s="5" t="s">
        <v>21</v>
      </c>
      <c r="I6152" s="5" t="s">
        <v>15029</v>
      </c>
      <c r="J6152" s="12" t="str">
        <f>HYPERLINK("https://www.boe.es/gazeta/dias/1802/10/12/pdfs/GMD-1802-83.pdf#page=13","Abrir facsímil")</f>
        <v>Abrir facsímil</v>
      </c>
      <c r="K6152" s="15" t="s">
        <v>23</v>
      </c>
    </row>
    <row r="6153" spans="1:11" ht="42" customHeight="1">
      <c r="A6153" s="4" t="s">
        <v>15027</v>
      </c>
      <c r="B6153" s="5" t="s">
        <v>15028</v>
      </c>
      <c r="C6153" s="5" t="s">
        <v>18</v>
      </c>
      <c r="D6153" s="5" t="s">
        <v>19</v>
      </c>
      <c r="E6153" s="5" t="s">
        <v>1185</v>
      </c>
      <c r="F6153" s="9">
        <v>93</v>
      </c>
      <c r="G6153" s="9">
        <v>1148</v>
      </c>
      <c r="H6153" s="5" t="s">
        <v>21</v>
      </c>
      <c r="I6153" s="5" t="s">
        <v>15030</v>
      </c>
      <c r="J6153" s="12" t="str">
        <f>HYPERLINK("https://www.boe.es/gazeta/dias/1802/11/16/pdfs/GMD-1802-93.pdf#page=8","Abrir facsímil")</f>
        <v>Abrir facsímil</v>
      </c>
      <c r="K6153" s="15" t="s">
        <v>23</v>
      </c>
    </row>
    <row r="6154" spans="1:11" ht="42" customHeight="1">
      <c r="A6154" s="4" t="s">
        <v>15027</v>
      </c>
      <c r="B6154" s="5" t="s">
        <v>15028</v>
      </c>
      <c r="C6154" s="5" t="s">
        <v>42</v>
      </c>
      <c r="D6154" s="5" t="s">
        <v>43</v>
      </c>
      <c r="E6154" s="5" t="s">
        <v>44</v>
      </c>
      <c r="F6154" s="9">
        <v>99</v>
      </c>
      <c r="G6154" s="9" t="s">
        <v>222</v>
      </c>
      <c r="H6154" s="5" t="s">
        <v>21</v>
      </c>
      <c r="I6154" s="5" t="s">
        <v>15031</v>
      </c>
      <c r="J6154" s="12" t="str">
        <f>HYPERLINK("https://www.boe.es/gazeta/dias/1802/12/07/pdfs/GMD-D-1802-99.pdf#page=5","Abrir facsímil")</f>
        <v>Abrir facsímil</v>
      </c>
      <c r="K6154" s="15" t="s">
        <v>23</v>
      </c>
    </row>
    <row r="6155" spans="1:11" ht="42" customHeight="1">
      <c r="A6155" s="4" t="s">
        <v>15032</v>
      </c>
      <c r="B6155" s="5" t="s">
        <v>15033</v>
      </c>
      <c r="C6155" s="5" t="s">
        <v>18</v>
      </c>
      <c r="D6155" s="5" t="s">
        <v>19</v>
      </c>
      <c r="E6155" s="5" t="s">
        <v>82</v>
      </c>
      <c r="F6155" s="9">
        <v>74</v>
      </c>
      <c r="G6155" s="9">
        <v>914</v>
      </c>
      <c r="H6155" s="5" t="s">
        <v>21</v>
      </c>
      <c r="I6155" s="5" t="s">
        <v>15034</v>
      </c>
      <c r="J6155" s="12" t="str">
        <f>HYPERLINK("https://www.boe.es/gazeta/dias/1802/09/10/pdfs/GMD-1802-74.pdf#page=10","Abrir facsímil")</f>
        <v>Abrir facsímil</v>
      </c>
      <c r="K6155" s="15" t="s">
        <v>23</v>
      </c>
    </row>
    <row r="6156" spans="1:11" ht="42" customHeight="1">
      <c r="A6156" s="4" t="s">
        <v>15032</v>
      </c>
      <c r="B6156" s="5" t="s">
        <v>15033</v>
      </c>
      <c r="C6156" s="5" t="s">
        <v>42</v>
      </c>
      <c r="D6156" s="5" t="s">
        <v>43</v>
      </c>
      <c r="E6156" s="5" t="s">
        <v>44</v>
      </c>
      <c r="F6156" s="9">
        <v>99</v>
      </c>
      <c r="G6156" s="9" t="s">
        <v>314</v>
      </c>
      <c r="H6156" s="5" t="s">
        <v>21</v>
      </c>
      <c r="I6156" s="5" t="s">
        <v>15035</v>
      </c>
      <c r="J6156" s="12" t="str">
        <f>HYPERLINK("https://www.boe.es/gazeta/dias/1802/12/07/pdfs/GMD-D-1802-99.pdf#page=2","Abrir facsímil")</f>
        <v>Abrir facsímil</v>
      </c>
      <c r="K6156" s="15" t="s">
        <v>23</v>
      </c>
    </row>
    <row r="6157" spans="1:11" ht="42" customHeight="1">
      <c r="A6157" s="4" t="s">
        <v>15036</v>
      </c>
      <c r="B6157" s="5" t="s">
        <v>15037</v>
      </c>
      <c r="C6157" s="5" t="s">
        <v>42</v>
      </c>
      <c r="D6157" s="5" t="s">
        <v>43</v>
      </c>
      <c r="E6157" s="5" t="s">
        <v>44</v>
      </c>
      <c r="F6157" s="9">
        <v>99</v>
      </c>
      <c r="G6157" s="9" t="s">
        <v>222</v>
      </c>
      <c r="H6157" s="5" t="s">
        <v>21</v>
      </c>
      <c r="I6157" s="5" t="s">
        <v>15038</v>
      </c>
      <c r="J6157" s="12" t="str">
        <f>HYPERLINK("https://www.boe.es/gazeta/dias/1802/12/07/pdfs/GMD-D-1802-99.pdf#page=5","Abrir facsímil")</f>
        <v>Abrir facsímil</v>
      </c>
      <c r="K6157" s="15" t="s">
        <v>23</v>
      </c>
    </row>
    <row r="6158" spans="1:11" ht="42" customHeight="1">
      <c r="A6158" s="4" t="s">
        <v>15039</v>
      </c>
      <c r="B6158" s="5" t="s">
        <v>15040</v>
      </c>
      <c r="C6158" s="5" t="s">
        <v>42</v>
      </c>
      <c r="D6158" s="5" t="s">
        <v>43</v>
      </c>
      <c r="E6158" s="5" t="s">
        <v>44</v>
      </c>
      <c r="F6158" s="9">
        <v>99</v>
      </c>
      <c r="G6158" s="9" t="s">
        <v>544</v>
      </c>
      <c r="H6158" s="5" t="s">
        <v>21</v>
      </c>
      <c r="I6158" s="5" t="s">
        <v>15041</v>
      </c>
      <c r="J6158" s="12" t="str">
        <f>HYPERLINK("https://www.boe.es/gazeta/dias/1802/12/07/pdfs/GMD-D-1802-99.pdf#page=11","Abrir facsímil")</f>
        <v>Abrir facsímil</v>
      </c>
      <c r="K6158" s="15" t="s">
        <v>23</v>
      </c>
    </row>
    <row r="6159" spans="1:11" ht="42" customHeight="1">
      <c r="A6159" s="4" t="s">
        <v>15039</v>
      </c>
      <c r="B6159" s="5" t="s">
        <v>15040</v>
      </c>
      <c r="C6159" s="5" t="s">
        <v>42</v>
      </c>
      <c r="D6159" s="5" t="s">
        <v>43</v>
      </c>
      <c r="E6159" s="5" t="s">
        <v>44</v>
      </c>
      <c r="F6159" s="9">
        <v>99</v>
      </c>
      <c r="G6159" s="9" t="s">
        <v>222</v>
      </c>
      <c r="H6159" s="5" t="s">
        <v>21</v>
      </c>
      <c r="I6159" s="5" t="s">
        <v>15042</v>
      </c>
      <c r="J6159" s="12" t="str">
        <f>HYPERLINK("https://www.boe.es/gazeta/dias/1802/12/07/pdfs/GMD-D-1802-99.pdf#page=5","Abrir facsímil")</f>
        <v>Abrir facsímil</v>
      </c>
      <c r="K6159" s="15" t="s">
        <v>23</v>
      </c>
    </row>
    <row r="6160" spans="1:11" ht="42" customHeight="1">
      <c r="A6160" s="4" t="s">
        <v>15043</v>
      </c>
      <c r="B6160" s="5" t="s">
        <v>15044</v>
      </c>
      <c r="C6160" s="5" t="s">
        <v>90</v>
      </c>
      <c r="D6160" s="5" t="s">
        <v>91</v>
      </c>
      <c r="E6160" s="5" t="s">
        <v>206</v>
      </c>
      <c r="F6160" s="9">
        <v>22</v>
      </c>
      <c r="G6160" s="9">
        <v>241</v>
      </c>
      <c r="H6160" s="5" t="s">
        <v>21</v>
      </c>
      <c r="I6160" s="5" t="s">
        <v>15045</v>
      </c>
      <c r="J6160" s="12" t="str">
        <f>HYPERLINK("https://www.boe.es/gazeta/dias/1802/03/16/pdfs/GMD-1802-22.pdf#page=9","Abrir facsímil")</f>
        <v>Abrir facsímil</v>
      </c>
      <c r="K6160" s="15" t="s">
        <v>23</v>
      </c>
    </row>
    <row r="6161" spans="1:11" ht="42" customHeight="1">
      <c r="A6161" s="4" t="s">
        <v>15046</v>
      </c>
      <c r="B6161" s="5" t="s">
        <v>15047</v>
      </c>
      <c r="C6161" s="5" t="s">
        <v>18</v>
      </c>
      <c r="D6161" s="5" t="s">
        <v>19</v>
      </c>
      <c r="E6161" s="5" t="s">
        <v>49</v>
      </c>
      <c r="F6161" s="9">
        <v>83</v>
      </c>
      <c r="G6161" s="9">
        <v>1023</v>
      </c>
      <c r="H6161" s="5" t="s">
        <v>21</v>
      </c>
      <c r="I6161" s="5" t="s">
        <v>15048</v>
      </c>
      <c r="J6161" s="12" t="str">
        <f>HYPERLINK("https://www.boe.es/gazeta/dias/1802/10/12/pdfs/GMD-1802-83.pdf#page=11","Abrir facsímil")</f>
        <v>Abrir facsímil</v>
      </c>
      <c r="K6161" s="15" t="s">
        <v>23</v>
      </c>
    </row>
    <row r="6162" spans="1:11" ht="42" customHeight="1">
      <c r="A6162" s="4" t="s">
        <v>15046</v>
      </c>
      <c r="B6162" s="5" t="s">
        <v>15047</v>
      </c>
      <c r="C6162" s="5" t="s">
        <v>42</v>
      </c>
      <c r="D6162" s="5" t="s">
        <v>43</v>
      </c>
      <c r="E6162" s="5" t="s">
        <v>44</v>
      </c>
      <c r="F6162" s="9">
        <v>99</v>
      </c>
      <c r="G6162" s="9" t="s">
        <v>45</v>
      </c>
      <c r="H6162" s="5" t="s">
        <v>21</v>
      </c>
      <c r="I6162" s="5" t="s">
        <v>15049</v>
      </c>
      <c r="J6162" s="12" t="str">
        <f>HYPERLINK("https://www.boe.es/gazeta/dias/1802/12/07/pdfs/GMD-D-1802-99.pdf#page=14","Abrir facsímil")</f>
        <v>Abrir facsímil</v>
      </c>
      <c r="K6162" s="15" t="s">
        <v>23</v>
      </c>
    </row>
    <row r="6163" spans="1:11" ht="42" customHeight="1">
      <c r="A6163" s="4" t="s">
        <v>15046</v>
      </c>
      <c r="B6163" s="5" t="s">
        <v>15047</v>
      </c>
      <c r="C6163" s="5" t="s">
        <v>42</v>
      </c>
      <c r="D6163" s="5" t="s">
        <v>43</v>
      </c>
      <c r="E6163" s="5" t="s">
        <v>44</v>
      </c>
      <c r="F6163" s="9">
        <v>99</v>
      </c>
      <c r="G6163" s="9" t="s">
        <v>272</v>
      </c>
      <c r="H6163" s="5" t="s">
        <v>21</v>
      </c>
      <c r="I6163" s="5" t="s">
        <v>15050</v>
      </c>
      <c r="J6163" s="12" t="str">
        <f>HYPERLINK("https://www.boe.es/gazeta/dias/1802/12/07/pdfs/GMD-D-1802-99.pdf#page=3","Abrir facsímil")</f>
        <v>Abrir facsímil</v>
      </c>
      <c r="K6163" s="15" t="s">
        <v>23</v>
      </c>
    </row>
    <row r="6164" spans="1:11" ht="42" customHeight="1">
      <c r="A6164" s="4" t="s">
        <v>15051</v>
      </c>
      <c r="B6164" s="5" t="s">
        <v>15052</v>
      </c>
      <c r="C6164" s="5" t="s">
        <v>29</v>
      </c>
      <c r="D6164" s="5" t="s">
        <v>30</v>
      </c>
      <c r="E6164" s="5" t="s">
        <v>86</v>
      </c>
      <c r="F6164" s="9">
        <v>26</v>
      </c>
      <c r="G6164" s="9">
        <v>298</v>
      </c>
      <c r="H6164" s="5" t="s">
        <v>21</v>
      </c>
      <c r="I6164" s="5" t="s">
        <v>15053</v>
      </c>
      <c r="J6164" s="12" t="str">
        <f>HYPERLINK("https://www.boe.es/gazeta/dias/1802/03/30/pdfs/GMD-1802-26.pdf#page=10","Abrir facsímil")</f>
        <v>Abrir facsímil</v>
      </c>
      <c r="K6164" s="15" t="s">
        <v>23</v>
      </c>
    </row>
    <row r="6165" spans="1:11" ht="42" customHeight="1">
      <c r="A6165" s="4" t="s">
        <v>15054</v>
      </c>
      <c r="B6165" s="5" t="s">
        <v>15055</v>
      </c>
      <c r="C6165" s="5" t="s">
        <v>42</v>
      </c>
      <c r="D6165" s="5" t="s">
        <v>43</v>
      </c>
      <c r="E6165" s="5" t="s">
        <v>44</v>
      </c>
      <c r="F6165" s="9">
        <v>99</v>
      </c>
      <c r="G6165" s="9" t="s">
        <v>779</v>
      </c>
      <c r="H6165" s="5" t="s">
        <v>21</v>
      </c>
      <c r="I6165" s="5" t="s">
        <v>15056</v>
      </c>
      <c r="J6165" s="12" t="str">
        <f>HYPERLINK("https://www.boe.es/gazeta/dias/1802/12/07/pdfs/GMD-D-1802-99.pdf#page=13","Abrir facsímil")</f>
        <v>Abrir facsímil</v>
      </c>
      <c r="K6165" s="15" t="s">
        <v>23</v>
      </c>
    </row>
    <row r="6166" spans="1:11" ht="42" customHeight="1">
      <c r="A6166" s="4" t="s">
        <v>15054</v>
      </c>
      <c r="B6166" s="5" t="s">
        <v>15055</v>
      </c>
      <c r="C6166" s="5" t="s">
        <v>42</v>
      </c>
      <c r="D6166" s="5" t="s">
        <v>43</v>
      </c>
      <c r="E6166" s="5" t="s">
        <v>44</v>
      </c>
      <c r="F6166" s="9">
        <v>99</v>
      </c>
      <c r="G6166" s="9" t="s">
        <v>537</v>
      </c>
      <c r="H6166" s="5" t="s">
        <v>21</v>
      </c>
      <c r="I6166" s="5" t="s">
        <v>15057</v>
      </c>
      <c r="J6166" s="12" t="str">
        <f>HYPERLINK("https://www.boe.es/gazeta/dias/1802/12/07/pdfs/GMD-D-1802-99.pdf#page=9","Abrir facsímil")</f>
        <v>Abrir facsímil</v>
      </c>
      <c r="K6166" s="15" t="s">
        <v>23</v>
      </c>
    </row>
    <row r="6167" spans="1:11" ht="42" customHeight="1">
      <c r="A6167" s="4" t="s">
        <v>15058</v>
      </c>
      <c r="B6167" s="5" t="s">
        <v>15059</v>
      </c>
      <c r="C6167" s="5" t="s">
        <v>18</v>
      </c>
      <c r="D6167" s="5" t="s">
        <v>19</v>
      </c>
      <c r="E6167" s="5" t="s">
        <v>826</v>
      </c>
      <c r="F6167" s="9">
        <v>67</v>
      </c>
      <c r="G6167" s="9">
        <v>822</v>
      </c>
      <c r="H6167" s="5" t="s">
        <v>21</v>
      </c>
      <c r="I6167" s="5" t="s">
        <v>15060</v>
      </c>
      <c r="J6167" s="12" t="str">
        <f>HYPERLINK("https://www.boe.es/gazeta/dias/1802/08/17/pdfs/GMD-1802-67.pdf#page=10","Abrir facsímil")</f>
        <v>Abrir facsímil</v>
      </c>
      <c r="K6167" s="15" t="s">
        <v>23</v>
      </c>
    </row>
    <row r="6168" spans="1:11" ht="42" customHeight="1">
      <c r="A6168" s="4" t="s">
        <v>15061</v>
      </c>
      <c r="B6168" s="5" t="s">
        <v>15062</v>
      </c>
      <c r="C6168" s="5" t="s">
        <v>42</v>
      </c>
      <c r="D6168" s="5" t="s">
        <v>43</v>
      </c>
      <c r="E6168" s="5" t="s">
        <v>44</v>
      </c>
      <c r="F6168" s="9">
        <v>99</v>
      </c>
      <c r="G6168" s="9" t="s">
        <v>779</v>
      </c>
      <c r="H6168" s="5" t="s">
        <v>21</v>
      </c>
      <c r="I6168" s="5" t="s">
        <v>15063</v>
      </c>
      <c r="J6168" s="12" t="str">
        <f>HYPERLINK("https://www.boe.es/gazeta/dias/1802/12/07/pdfs/GMD-D-1802-99.pdf#page=13","Abrir facsímil")</f>
        <v>Abrir facsímil</v>
      </c>
      <c r="K6168" s="15" t="s">
        <v>23</v>
      </c>
    </row>
    <row r="6169" spans="1:11" ht="42" customHeight="1">
      <c r="A6169" s="4" t="s">
        <v>15064</v>
      </c>
      <c r="B6169" s="5" t="s">
        <v>15065</v>
      </c>
      <c r="C6169" s="5" t="s">
        <v>55</v>
      </c>
      <c r="D6169" s="5" t="s">
        <v>56</v>
      </c>
      <c r="E6169" s="5" t="s">
        <v>886</v>
      </c>
      <c r="F6169" s="9">
        <v>7</v>
      </c>
      <c r="G6169" s="9">
        <v>68</v>
      </c>
      <c r="H6169" s="5" t="s">
        <v>21</v>
      </c>
      <c r="I6169" s="5" t="s">
        <v>15066</v>
      </c>
      <c r="J6169" s="12" t="str">
        <f>HYPERLINK("https://www.boe.es/gazeta/dias/1802/01/22/pdfs/GMD-1802-7.pdf#page=8","Abrir facsímil")</f>
        <v>Abrir facsímil</v>
      </c>
      <c r="K6169" s="15" t="s">
        <v>23</v>
      </c>
    </row>
    <row r="6170" spans="1:11" ht="42" customHeight="1">
      <c r="A6170" s="4" t="s">
        <v>15067</v>
      </c>
      <c r="B6170" s="5" t="s">
        <v>15068</v>
      </c>
      <c r="C6170" s="5" t="s">
        <v>42</v>
      </c>
      <c r="D6170" s="5" t="s">
        <v>43</v>
      </c>
      <c r="E6170" s="5" t="s">
        <v>44</v>
      </c>
      <c r="F6170" s="9">
        <v>99</v>
      </c>
      <c r="G6170" s="9" t="s">
        <v>262</v>
      </c>
      <c r="H6170" s="5" t="s">
        <v>21</v>
      </c>
      <c r="I6170" s="5" t="s">
        <v>15069</v>
      </c>
      <c r="J6170" s="12" t="str">
        <f>HYPERLINK("https://www.boe.es/gazeta/dias/1802/12/07/pdfs/GMD-D-1802-99.pdf#page=8","Abrir facsímil")</f>
        <v>Abrir facsímil</v>
      </c>
      <c r="K6170" s="15" t="s">
        <v>23</v>
      </c>
    </row>
    <row r="6171" spans="1:11" ht="42" customHeight="1">
      <c r="A6171" s="4" t="s">
        <v>15070</v>
      </c>
      <c r="B6171" s="5" t="s">
        <v>15071</v>
      </c>
      <c r="C6171" s="5" t="s">
        <v>18</v>
      </c>
      <c r="D6171" s="5" t="s">
        <v>19</v>
      </c>
      <c r="E6171" s="5" t="s">
        <v>49</v>
      </c>
      <c r="F6171" s="9">
        <v>83</v>
      </c>
      <c r="G6171" s="9">
        <v>1024</v>
      </c>
      <c r="H6171" s="5" t="s">
        <v>21</v>
      </c>
      <c r="I6171" s="5" t="s">
        <v>15072</v>
      </c>
      <c r="J6171" s="12" t="str">
        <f>HYPERLINK("https://www.boe.es/gazeta/dias/1802/10/12/pdfs/GMD-1802-83.pdf#page=12","Abrir facsímil")</f>
        <v>Abrir facsímil</v>
      </c>
      <c r="K6171" s="15" t="s">
        <v>23</v>
      </c>
    </row>
    <row r="6172" spans="1:11" ht="42" customHeight="1">
      <c r="A6172" s="4" t="s">
        <v>15073</v>
      </c>
      <c r="B6172" s="5" t="s">
        <v>15074</v>
      </c>
      <c r="C6172" s="5" t="s">
        <v>18</v>
      </c>
      <c r="D6172" s="5" t="s">
        <v>19</v>
      </c>
      <c r="E6172" s="5" t="s">
        <v>20</v>
      </c>
      <c r="F6172" s="9">
        <v>84</v>
      </c>
      <c r="G6172" s="9">
        <v>1047</v>
      </c>
      <c r="H6172" s="5" t="s">
        <v>21</v>
      </c>
      <c r="I6172" s="5" t="s">
        <v>15075</v>
      </c>
      <c r="J6172" s="12" t="str">
        <f>HYPERLINK("https://www.boe.es/gazeta/dias/1802/10/15/pdfs/GMD-1802-84.pdf#page=15","Abrir facsímil")</f>
        <v>Abrir facsímil</v>
      </c>
      <c r="K6172" s="15" t="s">
        <v>23</v>
      </c>
    </row>
    <row r="6173" spans="1:11" ht="42" customHeight="1">
      <c r="A6173" s="4" t="s">
        <v>15076</v>
      </c>
      <c r="B6173" s="5" t="s">
        <v>15077</v>
      </c>
      <c r="C6173" s="5" t="s">
        <v>29</v>
      </c>
      <c r="D6173" s="5" t="s">
        <v>30</v>
      </c>
      <c r="E6173" s="5" t="s">
        <v>332</v>
      </c>
      <c r="F6173" s="9">
        <v>24</v>
      </c>
      <c r="G6173" s="9">
        <v>274</v>
      </c>
      <c r="H6173" s="5" t="s">
        <v>21</v>
      </c>
      <c r="I6173" s="5" t="s">
        <v>15078</v>
      </c>
      <c r="J6173" s="12" t="str">
        <f>HYPERLINK("https://www.boe.es/gazeta/dias/1802/03/23/pdfs/GMD-1802-24.pdf#page=10","Abrir facsímil")</f>
        <v>Abrir facsímil</v>
      </c>
      <c r="K6173" s="15" t="s">
        <v>23</v>
      </c>
    </row>
    <row r="6174" spans="1:11" ht="42" customHeight="1">
      <c r="A6174" s="4" t="s">
        <v>15079</v>
      </c>
      <c r="B6174" s="5" t="s">
        <v>15080</v>
      </c>
      <c r="C6174" s="5" t="s">
        <v>42</v>
      </c>
      <c r="D6174" s="5" t="s">
        <v>43</v>
      </c>
      <c r="E6174" s="5" t="s">
        <v>44</v>
      </c>
      <c r="F6174" s="9">
        <v>99</v>
      </c>
      <c r="G6174" s="9" t="s">
        <v>558</v>
      </c>
      <c r="H6174" s="5" t="s">
        <v>21</v>
      </c>
      <c r="I6174" s="5" t="s">
        <v>15081</v>
      </c>
      <c r="J6174" s="12" t="str">
        <f>HYPERLINK("https://www.boe.es/gazeta/dias/1802/12/07/pdfs/GMD-D-1802-99.pdf#page=1","Abrir facsímil")</f>
        <v>Abrir facsímil</v>
      </c>
      <c r="K6174" s="15" t="s">
        <v>23</v>
      </c>
    </row>
    <row r="6175" spans="1:11" ht="42" customHeight="1">
      <c r="A6175" s="4" t="s">
        <v>15079</v>
      </c>
      <c r="B6175" s="5" t="s">
        <v>15080</v>
      </c>
      <c r="C6175" s="5" t="s">
        <v>42</v>
      </c>
      <c r="D6175" s="5" t="s">
        <v>43</v>
      </c>
      <c r="E6175" s="5" t="s">
        <v>44</v>
      </c>
      <c r="F6175" s="9">
        <v>99</v>
      </c>
      <c r="G6175" s="9" t="s">
        <v>78</v>
      </c>
      <c r="H6175" s="5" t="s">
        <v>21</v>
      </c>
      <c r="I6175" s="5" t="s">
        <v>15082</v>
      </c>
      <c r="J6175" s="12" t="str">
        <f>HYPERLINK("https://www.boe.es/gazeta/dias/1802/12/07/pdfs/GMD-D-1802-99.pdf#page=15","Abrir facsímil")</f>
        <v>Abrir facsímil</v>
      </c>
      <c r="K6175" s="15" t="s">
        <v>23</v>
      </c>
    </row>
    <row r="6176" spans="1:11" ht="42" customHeight="1">
      <c r="A6176" s="4" t="s">
        <v>15079</v>
      </c>
      <c r="B6176" s="5" t="s">
        <v>15080</v>
      </c>
      <c r="C6176" s="5" t="s">
        <v>42</v>
      </c>
      <c r="D6176" s="5" t="s">
        <v>43</v>
      </c>
      <c r="E6176" s="5" t="s">
        <v>44</v>
      </c>
      <c r="F6176" s="9">
        <v>99</v>
      </c>
      <c r="G6176" s="9" t="s">
        <v>295</v>
      </c>
      <c r="H6176" s="5" t="s">
        <v>21</v>
      </c>
      <c r="I6176" s="5" t="s">
        <v>15083</v>
      </c>
      <c r="J6176" s="12" t="str">
        <f>HYPERLINK("https://www.boe.es/gazeta/dias/1802/12/07/pdfs/GMD-D-1802-99.pdf#page=7","Abrir facsímil")</f>
        <v>Abrir facsímil</v>
      </c>
      <c r="K6176" s="15" t="s">
        <v>23</v>
      </c>
    </row>
    <row r="6177" spans="1:11" ht="42" customHeight="1">
      <c r="A6177" s="4" t="s">
        <v>15084</v>
      </c>
      <c r="B6177" s="5" t="s">
        <v>15084</v>
      </c>
      <c r="C6177" s="5" t="s">
        <v>18</v>
      </c>
      <c r="D6177" s="5" t="s">
        <v>19</v>
      </c>
      <c r="E6177" s="5" t="s">
        <v>49</v>
      </c>
      <c r="F6177" s="9">
        <v>83</v>
      </c>
      <c r="G6177" s="9">
        <v>1022</v>
      </c>
      <c r="H6177" s="5" t="s">
        <v>21</v>
      </c>
      <c r="I6177" s="5" t="s">
        <v>15085</v>
      </c>
      <c r="J6177" s="12" t="str">
        <f>HYPERLINK("https://www.boe.es/gazeta/dias/1802/10/12/pdfs/GMD-1802-83.pdf#page=10","Abrir facsímil")</f>
        <v>Abrir facsímil</v>
      </c>
      <c r="K6177" s="15" t="s">
        <v>23</v>
      </c>
    </row>
    <row r="6178" spans="1:11" ht="42" customHeight="1">
      <c r="A6178" s="4" t="s">
        <v>15086</v>
      </c>
      <c r="B6178" s="5" t="s">
        <v>15086</v>
      </c>
      <c r="C6178" s="5" t="s">
        <v>18</v>
      </c>
      <c r="D6178" s="5" t="s">
        <v>19</v>
      </c>
      <c r="E6178" s="5" t="s">
        <v>49</v>
      </c>
      <c r="F6178" s="9">
        <v>83</v>
      </c>
      <c r="G6178" s="9">
        <v>1017</v>
      </c>
      <c r="H6178" s="5" t="s">
        <v>21</v>
      </c>
      <c r="I6178" s="5" t="s">
        <v>15087</v>
      </c>
      <c r="J6178" s="12" t="str">
        <f>HYPERLINK("https://www.boe.es/gazeta/dias/1802/10/12/pdfs/GMD-1802-83.pdf#page=5","Abrir facsímil")</f>
        <v>Abrir facsímil</v>
      </c>
      <c r="K6178" s="15" t="s">
        <v>23</v>
      </c>
    </row>
    <row r="6179" spans="1:11" ht="42" customHeight="1">
      <c r="A6179" s="4" t="s">
        <v>15088</v>
      </c>
      <c r="B6179" s="5" t="s">
        <v>15089</v>
      </c>
      <c r="C6179" s="5" t="s">
        <v>29</v>
      </c>
      <c r="D6179" s="5" t="s">
        <v>30</v>
      </c>
      <c r="E6179" s="5" t="s">
        <v>165</v>
      </c>
      <c r="F6179" s="9">
        <v>3</v>
      </c>
      <c r="G6179" s="9">
        <v>25</v>
      </c>
      <c r="H6179" s="5" t="s">
        <v>21</v>
      </c>
      <c r="I6179" s="5" t="s">
        <v>15090</v>
      </c>
      <c r="J6179" s="12" t="str">
        <f>HYPERLINK("https://www.boe.es/gazeta/dias/1802/01/08/pdfs/GMD-1802-3.pdf#page=5","Abrir facsímil")</f>
        <v>Abrir facsímil</v>
      </c>
      <c r="K6179" s="15" t="s">
        <v>23</v>
      </c>
    </row>
    <row r="6180" spans="1:11" ht="42" customHeight="1">
      <c r="A6180" s="4" t="s">
        <v>15091</v>
      </c>
      <c r="B6180" s="5" t="s">
        <v>15092</v>
      </c>
      <c r="C6180" s="5" t="s">
        <v>18</v>
      </c>
      <c r="D6180" s="5" t="s">
        <v>19</v>
      </c>
      <c r="E6180" s="5" t="s">
        <v>443</v>
      </c>
      <c r="F6180" s="9">
        <v>78</v>
      </c>
      <c r="G6180" s="9">
        <v>963</v>
      </c>
      <c r="H6180" s="5" t="s">
        <v>21</v>
      </c>
      <c r="I6180" s="5" t="s">
        <v>15093</v>
      </c>
      <c r="J6180" s="12" t="str">
        <f>HYPERLINK("https://www.boe.es/gazeta/dias/1802/09/24/pdfs/GMD-1802-78.pdf#page=11","Abrir facsímil")</f>
        <v>Abrir facsímil</v>
      </c>
      <c r="K6180" s="15" t="s">
        <v>23</v>
      </c>
    </row>
    <row r="6181" spans="1:11" ht="42" customHeight="1">
      <c r="A6181" s="4" t="s">
        <v>15094</v>
      </c>
      <c r="B6181" s="5" t="s">
        <v>15094</v>
      </c>
      <c r="C6181" s="5" t="s">
        <v>29</v>
      </c>
      <c r="D6181" s="5" t="s">
        <v>30</v>
      </c>
      <c r="E6181" s="5" t="s">
        <v>1374</v>
      </c>
      <c r="F6181" s="9">
        <v>71</v>
      </c>
      <c r="G6181" s="9">
        <v>867</v>
      </c>
      <c r="H6181" s="5" t="s">
        <v>21</v>
      </c>
      <c r="I6181" s="5" t="s">
        <v>15095</v>
      </c>
      <c r="J6181" s="12" t="str">
        <f>HYPERLINK("https://www.boe.es/gazeta/dias/1802/08/31/pdfs/GMD-1802-71.pdf#page=3","Abrir facsímil")</f>
        <v>Abrir facsímil</v>
      </c>
      <c r="K6181" s="15" t="s">
        <v>23</v>
      </c>
    </row>
    <row r="6182" spans="1:11" ht="42" customHeight="1">
      <c r="A6182" s="4" t="s">
        <v>15096</v>
      </c>
      <c r="B6182" s="5" t="s">
        <v>15097</v>
      </c>
      <c r="C6182" s="5" t="s">
        <v>29</v>
      </c>
      <c r="D6182" s="5" t="s">
        <v>30</v>
      </c>
      <c r="E6182" s="5" t="s">
        <v>165</v>
      </c>
      <c r="F6182" s="9">
        <v>3</v>
      </c>
      <c r="G6182" s="9">
        <v>25</v>
      </c>
      <c r="H6182" s="5" t="s">
        <v>21</v>
      </c>
      <c r="I6182" s="5" t="s">
        <v>15098</v>
      </c>
      <c r="J6182" s="12" t="str">
        <f>HYPERLINK("https://www.boe.es/gazeta/dias/1802/01/08/pdfs/GMD-1802-3.pdf#page=5","Abrir facsímil")</f>
        <v>Abrir facsímil</v>
      </c>
      <c r="K6182" s="15" t="s">
        <v>23</v>
      </c>
    </row>
    <row r="6183" spans="1:11" ht="42" customHeight="1">
      <c r="A6183" s="4" t="s">
        <v>15099</v>
      </c>
      <c r="B6183" s="5" t="s">
        <v>15100</v>
      </c>
      <c r="C6183" s="5" t="s">
        <v>42</v>
      </c>
      <c r="D6183" s="5" t="s">
        <v>43</v>
      </c>
      <c r="E6183" s="5" t="s">
        <v>44</v>
      </c>
      <c r="F6183" s="9">
        <v>99</v>
      </c>
      <c r="G6183" s="9" t="s">
        <v>322</v>
      </c>
      <c r="H6183" s="5" t="s">
        <v>21</v>
      </c>
      <c r="I6183" s="5" t="s">
        <v>15101</v>
      </c>
      <c r="J6183" s="12" t="str">
        <f>HYPERLINK("https://www.boe.es/gazeta/dias/1802/12/07/pdfs/GMD-D-1802-99.pdf#page=10","Abrir facsímil")</f>
        <v>Abrir facsímil</v>
      </c>
      <c r="K6183" s="15" t="s">
        <v>23</v>
      </c>
    </row>
    <row r="6184" spans="1:11" ht="42" customHeight="1">
      <c r="A6184" s="4" t="s">
        <v>15102</v>
      </c>
      <c r="B6184" s="5" t="s">
        <v>15102</v>
      </c>
      <c r="C6184" s="5" t="s">
        <v>90</v>
      </c>
      <c r="D6184" s="5" t="s">
        <v>91</v>
      </c>
      <c r="E6184" s="5" t="s">
        <v>325</v>
      </c>
      <c r="F6184" s="9">
        <v>90</v>
      </c>
      <c r="G6184" s="9">
        <v>1118</v>
      </c>
      <c r="H6184" s="5" t="s">
        <v>21</v>
      </c>
      <c r="I6184" s="5" t="s">
        <v>15103</v>
      </c>
      <c r="J6184" s="12" t="str">
        <f>HYPERLINK("https://www.boe.es/gazeta/dias/1802/11/05/pdfs/GMD-1802-90.pdf#page=10","Abrir facsímil")</f>
        <v>Abrir facsímil</v>
      </c>
      <c r="K6184" s="15" t="s">
        <v>23</v>
      </c>
    </row>
    <row r="6185" spans="1:11" ht="42" customHeight="1">
      <c r="A6185" s="4" t="s">
        <v>15104</v>
      </c>
      <c r="B6185" s="5" t="s">
        <v>15104</v>
      </c>
      <c r="C6185" s="5" t="s">
        <v>29</v>
      </c>
      <c r="D6185" s="5" t="s">
        <v>30</v>
      </c>
      <c r="E6185" s="5" t="s">
        <v>206</v>
      </c>
      <c r="F6185" s="9">
        <v>22</v>
      </c>
      <c r="G6185" s="9">
        <v>241</v>
      </c>
      <c r="H6185" s="5" t="s">
        <v>21</v>
      </c>
      <c r="I6185" s="5" t="s">
        <v>15105</v>
      </c>
      <c r="J6185" s="12" t="str">
        <f>HYPERLINK("https://www.boe.es/gazeta/dias/1802/03/16/pdfs/GMD-1802-22.pdf#page=9","Abrir facsímil")</f>
        <v>Abrir facsímil</v>
      </c>
      <c r="K6185" s="15" t="s">
        <v>23</v>
      </c>
    </row>
    <row r="6186" spans="1:11" ht="42" customHeight="1">
      <c r="A6186" s="4" t="s">
        <v>15106</v>
      </c>
      <c r="B6186" s="5" t="s">
        <v>15106</v>
      </c>
      <c r="C6186" s="5" t="s">
        <v>29</v>
      </c>
      <c r="D6186" s="5" t="s">
        <v>30</v>
      </c>
      <c r="E6186" s="5" t="s">
        <v>37</v>
      </c>
      <c r="F6186" s="9">
        <v>106</v>
      </c>
      <c r="G6186" s="9">
        <v>1295</v>
      </c>
      <c r="H6186" s="5" t="s">
        <v>21</v>
      </c>
      <c r="I6186" s="5" t="s">
        <v>15107</v>
      </c>
      <c r="J6186" s="12" t="str">
        <f>HYPERLINK("https://www.boe.es/gazeta/dias/1802/12/31/pdfs/GMD-1802-106.pdf#page=7","Abrir facsímil")</f>
        <v>Abrir facsímil</v>
      </c>
      <c r="K6186" s="15" t="s">
        <v>23</v>
      </c>
    </row>
    <row r="6187" spans="1:11" ht="42" customHeight="1">
      <c r="A6187" s="4" t="s">
        <v>15108</v>
      </c>
      <c r="B6187" s="5" t="s">
        <v>15109</v>
      </c>
      <c r="C6187" s="5" t="s">
        <v>42</v>
      </c>
      <c r="D6187" s="5" t="s">
        <v>43</v>
      </c>
      <c r="E6187" s="5" t="s">
        <v>44</v>
      </c>
      <c r="F6187" s="9">
        <v>99</v>
      </c>
      <c r="G6187" s="9" t="s">
        <v>295</v>
      </c>
      <c r="H6187" s="5" t="s">
        <v>21</v>
      </c>
      <c r="I6187" s="5" t="s">
        <v>15110</v>
      </c>
      <c r="J6187" s="12" t="str">
        <f>HYPERLINK("https://www.boe.es/gazeta/dias/1802/12/07/pdfs/GMD-D-1802-99.pdf#page=7","Abrir facsímil")</f>
        <v>Abrir facsímil</v>
      </c>
      <c r="K6187" s="15" t="s">
        <v>23</v>
      </c>
    </row>
    <row r="6188" spans="1:11" ht="42" customHeight="1">
      <c r="A6188" s="4" t="s">
        <v>15111</v>
      </c>
      <c r="B6188" s="5" t="s">
        <v>15112</v>
      </c>
      <c r="C6188" s="5" t="s">
        <v>18</v>
      </c>
      <c r="D6188" s="5" t="s">
        <v>19</v>
      </c>
      <c r="E6188" s="5" t="s">
        <v>20</v>
      </c>
      <c r="F6188" s="9">
        <v>84</v>
      </c>
      <c r="G6188" s="9">
        <v>1044</v>
      </c>
      <c r="H6188" s="5" t="s">
        <v>21</v>
      </c>
      <c r="I6188" s="5" t="s">
        <v>15113</v>
      </c>
      <c r="J6188" s="12" t="str">
        <f>HYPERLINK("https://www.boe.es/gazeta/dias/1802/10/15/pdfs/GMD-1802-84.pdf#page=12","Abrir facsímil")</f>
        <v>Abrir facsímil</v>
      </c>
      <c r="K6188" s="15" t="s">
        <v>23</v>
      </c>
    </row>
    <row r="6189" spans="1:11" ht="42" customHeight="1">
      <c r="A6189" s="4" t="s">
        <v>15114</v>
      </c>
      <c r="B6189" s="5" t="s">
        <v>15115</v>
      </c>
      <c r="C6189" s="5" t="s">
        <v>18</v>
      </c>
      <c r="D6189" s="5" t="s">
        <v>19</v>
      </c>
      <c r="E6189" s="5" t="s">
        <v>20</v>
      </c>
      <c r="F6189" s="9">
        <v>84</v>
      </c>
      <c r="G6189" s="9">
        <v>1047</v>
      </c>
      <c r="H6189" s="5" t="s">
        <v>21</v>
      </c>
      <c r="I6189" s="5" t="s">
        <v>15116</v>
      </c>
      <c r="J6189" s="12" t="str">
        <f>HYPERLINK("https://www.boe.es/gazeta/dias/1802/10/15/pdfs/GMD-1802-84.pdf#page=15","Abrir facsímil")</f>
        <v>Abrir facsímil</v>
      </c>
      <c r="K6189" s="15" t="s">
        <v>23</v>
      </c>
    </row>
    <row r="6190" spans="1:11" ht="42" customHeight="1">
      <c r="A6190" s="4" t="s">
        <v>15117</v>
      </c>
      <c r="B6190" s="5" t="s">
        <v>15118</v>
      </c>
      <c r="C6190" s="5" t="s">
        <v>160</v>
      </c>
      <c r="D6190" s="5" t="s">
        <v>91</v>
      </c>
      <c r="E6190" s="5" t="s">
        <v>611</v>
      </c>
      <c r="F6190" s="9">
        <v>68</v>
      </c>
      <c r="G6190" s="9">
        <v>834</v>
      </c>
      <c r="H6190" s="5" t="s">
        <v>21</v>
      </c>
      <c r="I6190" s="5" t="s">
        <v>15119</v>
      </c>
      <c r="J6190" s="12" t="str">
        <f>HYPERLINK("https://www.boe.es/gazeta/dias/1802/08/20/pdfs/GMD-1802-68.pdf#page=10","Abrir facsímil")</f>
        <v>Abrir facsímil</v>
      </c>
      <c r="K6190" s="15" t="s">
        <v>23</v>
      </c>
    </row>
    <row r="6191" spans="1:11" ht="42" customHeight="1">
      <c r="A6191" s="4" t="s">
        <v>15120</v>
      </c>
      <c r="B6191" s="5" t="s">
        <v>15121</v>
      </c>
      <c r="C6191" s="5" t="s">
        <v>18</v>
      </c>
      <c r="D6191" s="5" t="s">
        <v>19</v>
      </c>
      <c r="E6191" s="5" t="s">
        <v>20</v>
      </c>
      <c r="F6191" s="9">
        <v>84</v>
      </c>
      <c r="G6191" s="9">
        <v>1044</v>
      </c>
      <c r="H6191" s="5" t="s">
        <v>21</v>
      </c>
      <c r="I6191" s="5" t="s">
        <v>15122</v>
      </c>
      <c r="J6191" s="12" t="str">
        <f>HYPERLINK("https://www.boe.es/gazeta/dias/1802/10/15/pdfs/GMD-1802-84.pdf#page=12","Abrir facsímil")</f>
        <v>Abrir facsímil</v>
      </c>
      <c r="K6191" s="15" t="s">
        <v>23</v>
      </c>
    </row>
    <row r="6192" spans="1:11" ht="42" customHeight="1">
      <c r="A6192" s="4" t="s">
        <v>15123</v>
      </c>
      <c r="B6192" s="5" t="s">
        <v>15124</v>
      </c>
      <c r="C6192" s="5" t="s">
        <v>29</v>
      </c>
      <c r="D6192" s="5" t="s">
        <v>30</v>
      </c>
      <c r="E6192" s="5" t="s">
        <v>749</v>
      </c>
      <c r="F6192" s="9">
        <v>97</v>
      </c>
      <c r="G6192" s="9">
        <v>1203</v>
      </c>
      <c r="H6192" s="5" t="s">
        <v>21</v>
      </c>
      <c r="I6192" s="5" t="s">
        <v>15125</v>
      </c>
      <c r="J6192" s="12" t="str">
        <f>HYPERLINK("https://www.boe.es/gazeta/dias/1802/11/30/pdfs/GMD-1802-97.pdf#page=11","Abrir facsímil")</f>
        <v>Abrir facsímil</v>
      </c>
      <c r="K6192" s="15" t="s">
        <v>23</v>
      </c>
    </row>
    <row r="6193" spans="1:11" ht="42" customHeight="1">
      <c r="A6193" s="4" t="s">
        <v>15123</v>
      </c>
      <c r="B6193" s="5" t="s">
        <v>15124</v>
      </c>
      <c r="C6193" s="5" t="s">
        <v>29</v>
      </c>
      <c r="D6193" s="5" t="s">
        <v>30</v>
      </c>
      <c r="E6193" s="5" t="s">
        <v>37</v>
      </c>
      <c r="F6193" s="9">
        <v>106</v>
      </c>
      <c r="G6193" s="9">
        <v>1295</v>
      </c>
      <c r="H6193" s="5" t="s">
        <v>21</v>
      </c>
      <c r="I6193" s="5" t="s">
        <v>15126</v>
      </c>
      <c r="J6193" s="12" t="str">
        <f>HYPERLINK("https://www.boe.es/gazeta/dias/1802/12/31/pdfs/GMD-1802-106.pdf#page=7","Abrir facsímil")</f>
        <v>Abrir facsímil</v>
      </c>
      <c r="K6193" s="15" t="s">
        <v>23</v>
      </c>
    </row>
    <row r="6194" spans="1:11" ht="42" customHeight="1">
      <c r="A6194" s="4" t="s">
        <v>15127</v>
      </c>
      <c r="B6194" s="5" t="s">
        <v>15128</v>
      </c>
      <c r="C6194" s="5" t="s">
        <v>29</v>
      </c>
      <c r="D6194" s="5" t="s">
        <v>30</v>
      </c>
      <c r="E6194" s="5" t="s">
        <v>299</v>
      </c>
      <c r="F6194" s="9">
        <v>19</v>
      </c>
      <c r="G6194" s="9">
        <v>211</v>
      </c>
      <c r="H6194" s="5" t="s">
        <v>21</v>
      </c>
      <c r="I6194" s="5" t="s">
        <v>15129</v>
      </c>
      <c r="J6194" s="12" t="str">
        <f>HYPERLINK("https://www.boe.es/gazeta/dias/1802/03/05/pdfs/GMD-1802-19.pdf#page=11","Abrir facsímil")</f>
        <v>Abrir facsímil</v>
      </c>
      <c r="K6194" s="15" t="s">
        <v>23</v>
      </c>
    </row>
    <row r="6195" spans="1:11" ht="42" customHeight="1">
      <c r="A6195" s="4" t="s">
        <v>15127</v>
      </c>
      <c r="B6195" s="5" t="s">
        <v>15128</v>
      </c>
      <c r="C6195" s="5" t="s">
        <v>29</v>
      </c>
      <c r="D6195" s="5" t="s">
        <v>30</v>
      </c>
      <c r="E6195" s="5" t="s">
        <v>92</v>
      </c>
      <c r="F6195" s="9">
        <v>29</v>
      </c>
      <c r="G6195" s="9">
        <v>342</v>
      </c>
      <c r="H6195" s="5" t="s">
        <v>21</v>
      </c>
      <c r="I6195" s="5" t="s">
        <v>15130</v>
      </c>
      <c r="J6195" s="12" t="str">
        <f>HYPERLINK("https://www.boe.es/gazeta/dias/1802/04/09/pdfs/GMD-1802-29.pdf#page=10","Abrir facsímil")</f>
        <v>Abrir facsímil</v>
      </c>
      <c r="K6195" s="15" t="s">
        <v>23</v>
      </c>
    </row>
    <row r="6196" spans="1:11" ht="42" customHeight="1">
      <c r="A6196" s="4" t="s">
        <v>15131</v>
      </c>
      <c r="B6196" s="5" t="s">
        <v>15132</v>
      </c>
      <c r="C6196" s="5" t="s">
        <v>18</v>
      </c>
      <c r="D6196" s="5" t="s">
        <v>19</v>
      </c>
      <c r="E6196" s="5" t="s">
        <v>49</v>
      </c>
      <c r="F6196" s="9">
        <v>83</v>
      </c>
      <c r="G6196" s="9">
        <v>1025</v>
      </c>
      <c r="H6196" s="5" t="s">
        <v>21</v>
      </c>
      <c r="I6196" s="5" t="s">
        <v>15133</v>
      </c>
      <c r="J6196" s="12" t="str">
        <f>HYPERLINK("https://www.boe.es/gazeta/dias/1802/10/12/pdfs/GMD-1802-83.pdf#page=13","Abrir facsímil")</f>
        <v>Abrir facsímil</v>
      </c>
      <c r="K6196" s="15" t="s">
        <v>23</v>
      </c>
    </row>
    <row r="6197" spans="1:11" ht="42" customHeight="1">
      <c r="A6197" s="4" t="s">
        <v>15134</v>
      </c>
      <c r="B6197" s="5" t="s">
        <v>15135</v>
      </c>
      <c r="C6197" s="5" t="s">
        <v>29</v>
      </c>
      <c r="D6197" s="5" t="s">
        <v>30</v>
      </c>
      <c r="E6197" s="5" t="s">
        <v>37</v>
      </c>
      <c r="F6197" s="9">
        <v>106</v>
      </c>
      <c r="G6197" s="9">
        <v>1295</v>
      </c>
      <c r="H6197" s="5" t="s">
        <v>21</v>
      </c>
      <c r="I6197" s="5" t="s">
        <v>15136</v>
      </c>
      <c r="J6197" s="12" t="str">
        <f>HYPERLINK("https://www.boe.es/gazeta/dias/1802/12/31/pdfs/GMD-1802-106.pdf#page=7","Abrir facsímil")</f>
        <v>Abrir facsímil</v>
      </c>
      <c r="K6197" s="15" t="s">
        <v>23</v>
      </c>
    </row>
    <row r="6198" spans="1:11" ht="42" customHeight="1">
      <c r="A6198" s="4" t="s">
        <v>15137</v>
      </c>
      <c r="B6198" s="5" t="s">
        <v>15137</v>
      </c>
      <c r="C6198" s="5" t="s">
        <v>35</v>
      </c>
      <c r="D6198" s="5" t="s">
        <v>36</v>
      </c>
      <c r="E6198" s="5" t="s">
        <v>751</v>
      </c>
      <c r="F6198" s="9">
        <v>98</v>
      </c>
      <c r="G6198" s="9">
        <v>1206</v>
      </c>
      <c r="H6198" s="5" t="s">
        <v>21</v>
      </c>
      <c r="I6198" s="5" t="s">
        <v>15138</v>
      </c>
      <c r="J6198" s="12" t="str">
        <f>HYPERLINK("https://www.boe.es/gazeta/dias/1802/12/03/pdfs/GMD-1802-98.pdf#page=2","Abrir facsímil")</f>
        <v>Abrir facsímil</v>
      </c>
      <c r="K6198" s="15" t="s">
        <v>23</v>
      </c>
    </row>
    <row r="6199" spans="1:11" ht="42" customHeight="1">
      <c r="A6199" s="4" t="s">
        <v>15139</v>
      </c>
      <c r="B6199" s="5" t="s">
        <v>15139</v>
      </c>
      <c r="C6199" s="5" t="s">
        <v>29</v>
      </c>
      <c r="D6199" s="5" t="s">
        <v>30</v>
      </c>
      <c r="E6199" s="5" t="s">
        <v>325</v>
      </c>
      <c r="F6199" s="9">
        <v>90</v>
      </c>
      <c r="G6199" s="9">
        <v>1118</v>
      </c>
      <c r="H6199" s="5" t="s">
        <v>21</v>
      </c>
      <c r="I6199" s="5" t="s">
        <v>15140</v>
      </c>
      <c r="J6199" s="12" t="str">
        <f>HYPERLINK("https://www.boe.es/gazeta/dias/1802/11/05/pdfs/GMD-1802-90.pdf#page=10","Abrir facsímil")</f>
        <v>Abrir facsímil</v>
      </c>
      <c r="K6199" s="15" t="s">
        <v>23</v>
      </c>
    </row>
    <row r="6200" spans="1:11" ht="42" customHeight="1">
      <c r="A6200" s="4" t="s">
        <v>15141</v>
      </c>
      <c r="B6200" s="5" t="s">
        <v>15142</v>
      </c>
      <c r="C6200" s="5" t="s">
        <v>42</v>
      </c>
      <c r="D6200" s="5" t="s">
        <v>43</v>
      </c>
      <c r="E6200" s="5" t="s">
        <v>44</v>
      </c>
      <c r="F6200" s="9">
        <v>99</v>
      </c>
      <c r="G6200" s="9" t="s">
        <v>548</v>
      </c>
      <c r="H6200" s="5" t="s">
        <v>21</v>
      </c>
      <c r="I6200" s="5" t="s">
        <v>15143</v>
      </c>
      <c r="J6200" s="12" t="str">
        <f>HYPERLINK("https://www.boe.es/gazeta/dias/1802/12/07/pdfs/GMD-D-1802-99.pdf#page=12","Abrir facsímil")</f>
        <v>Abrir facsímil</v>
      </c>
      <c r="K6200" s="15" t="s">
        <v>23</v>
      </c>
    </row>
    <row r="6201" spans="1:11" ht="42" customHeight="1">
      <c r="A6201" s="4" t="s">
        <v>15144</v>
      </c>
      <c r="B6201" s="5" t="s">
        <v>15144</v>
      </c>
      <c r="C6201" s="5" t="s">
        <v>18</v>
      </c>
      <c r="D6201" s="5" t="s">
        <v>19</v>
      </c>
      <c r="E6201" s="5" t="s">
        <v>49</v>
      </c>
      <c r="F6201" s="9">
        <v>83</v>
      </c>
      <c r="G6201" s="9">
        <v>1023</v>
      </c>
      <c r="H6201" s="5" t="s">
        <v>21</v>
      </c>
      <c r="I6201" s="5" t="s">
        <v>15145</v>
      </c>
      <c r="J6201" s="12" t="str">
        <f>HYPERLINK("https://www.boe.es/gazeta/dias/1802/10/12/pdfs/GMD-1802-83.pdf#page=11","Abrir facsímil")</f>
        <v>Abrir facsímil</v>
      </c>
      <c r="K6201" s="15" t="s">
        <v>23</v>
      </c>
    </row>
    <row r="6202" spans="1:11" ht="42" customHeight="1">
      <c r="A6202" s="4" t="s">
        <v>15146</v>
      </c>
      <c r="B6202" s="5" t="s">
        <v>15146</v>
      </c>
      <c r="C6202" s="5" t="s">
        <v>42</v>
      </c>
      <c r="D6202" s="5" t="s">
        <v>43</v>
      </c>
      <c r="E6202" s="5" t="s">
        <v>44</v>
      </c>
      <c r="F6202" s="9">
        <v>99</v>
      </c>
      <c r="G6202" s="9" t="s">
        <v>262</v>
      </c>
      <c r="H6202" s="5" t="s">
        <v>21</v>
      </c>
      <c r="I6202" s="5" t="s">
        <v>15147</v>
      </c>
      <c r="J6202" s="12" t="str">
        <f>HYPERLINK("https://www.boe.es/gazeta/dias/1802/12/07/pdfs/GMD-D-1802-99.pdf#page=8","Abrir facsímil")</f>
        <v>Abrir facsímil</v>
      </c>
      <c r="K6202" s="15" t="s">
        <v>23</v>
      </c>
    </row>
    <row r="6203" spans="1:11" ht="42" customHeight="1">
      <c r="A6203" s="4" t="s">
        <v>15148</v>
      </c>
      <c r="B6203" s="5" t="s">
        <v>15148</v>
      </c>
      <c r="C6203" s="5" t="s">
        <v>42</v>
      </c>
      <c r="D6203" s="5" t="s">
        <v>43</v>
      </c>
      <c r="E6203" s="5" t="s">
        <v>44</v>
      </c>
      <c r="F6203" s="9">
        <v>99</v>
      </c>
      <c r="G6203" s="9" t="s">
        <v>222</v>
      </c>
      <c r="H6203" s="5" t="s">
        <v>21</v>
      </c>
      <c r="I6203" s="5" t="s">
        <v>15149</v>
      </c>
      <c r="J6203" s="12" t="str">
        <f>HYPERLINK("https://www.boe.es/gazeta/dias/1802/12/07/pdfs/GMD-D-1802-99.pdf#page=5","Abrir facsímil")</f>
        <v>Abrir facsímil</v>
      </c>
      <c r="K6203" s="15" t="s">
        <v>23</v>
      </c>
    </row>
    <row r="6204" spans="1:11" ht="42" customHeight="1">
      <c r="A6204" s="4" t="s">
        <v>15150</v>
      </c>
      <c r="B6204" s="5" t="s">
        <v>15150</v>
      </c>
      <c r="C6204" s="5" t="s">
        <v>42</v>
      </c>
      <c r="D6204" s="5" t="s">
        <v>43</v>
      </c>
      <c r="E6204" s="5" t="s">
        <v>44</v>
      </c>
      <c r="F6204" s="9">
        <v>99</v>
      </c>
      <c r="G6204" s="9" t="s">
        <v>548</v>
      </c>
      <c r="H6204" s="5" t="s">
        <v>21</v>
      </c>
      <c r="I6204" s="5" t="s">
        <v>15151</v>
      </c>
      <c r="J6204" s="12" t="str">
        <f>HYPERLINK("https://www.boe.es/gazeta/dias/1802/12/07/pdfs/GMD-D-1802-99.pdf#page=12","Abrir facsímil")</f>
        <v>Abrir facsímil</v>
      </c>
      <c r="K6204" s="15" t="s">
        <v>23</v>
      </c>
    </row>
    <row r="6205" spans="1:11" ht="42" customHeight="1">
      <c r="A6205" s="4" t="s">
        <v>15152</v>
      </c>
      <c r="B6205" s="5" t="s">
        <v>15152</v>
      </c>
      <c r="C6205" s="5" t="s">
        <v>18</v>
      </c>
      <c r="D6205" s="5" t="s">
        <v>19</v>
      </c>
      <c r="E6205" s="5" t="s">
        <v>49</v>
      </c>
      <c r="F6205" s="9">
        <v>83</v>
      </c>
      <c r="G6205" s="9">
        <v>1023</v>
      </c>
      <c r="H6205" s="5" t="s">
        <v>21</v>
      </c>
      <c r="I6205" s="5" t="s">
        <v>15153</v>
      </c>
      <c r="J6205" s="12" t="str">
        <f>HYPERLINK("https://www.boe.es/gazeta/dias/1802/10/12/pdfs/GMD-1802-83.pdf#page=11","Abrir facsímil")</f>
        <v>Abrir facsímil</v>
      </c>
      <c r="K6205" s="15" t="s">
        <v>23</v>
      </c>
    </row>
    <row r="6206" spans="1:11" ht="42" customHeight="1">
      <c r="A6206" s="4" t="s">
        <v>15154</v>
      </c>
      <c r="B6206" s="5" t="s">
        <v>15154</v>
      </c>
      <c r="C6206" s="5" t="s">
        <v>160</v>
      </c>
      <c r="D6206" s="5" t="s">
        <v>91</v>
      </c>
      <c r="E6206" s="5" t="s">
        <v>1381</v>
      </c>
      <c r="F6206" s="9">
        <v>17</v>
      </c>
      <c r="G6206" s="9">
        <v>186</v>
      </c>
      <c r="H6206" s="5" t="s">
        <v>21</v>
      </c>
      <c r="I6206" s="5" t="s">
        <v>15155</v>
      </c>
      <c r="J6206" s="12" t="str">
        <f>HYPERLINK("https://www.boe.es/gazeta/dias/1802/02/26/pdfs/GMD-1802-17.pdf#page=10","Abrir facsímil")</f>
        <v>Abrir facsímil</v>
      </c>
      <c r="K6206" s="15" t="s">
        <v>23</v>
      </c>
    </row>
    <row r="6207" spans="1:11" ht="42" customHeight="1">
      <c r="A6207" s="4" t="s">
        <v>15156</v>
      </c>
      <c r="B6207" s="5" t="s">
        <v>15156</v>
      </c>
      <c r="C6207" s="5" t="s">
        <v>35</v>
      </c>
      <c r="D6207" s="5" t="s">
        <v>36</v>
      </c>
      <c r="E6207" s="5" t="s">
        <v>311</v>
      </c>
      <c r="F6207" s="9">
        <v>88</v>
      </c>
      <c r="G6207" s="9">
        <v>1093</v>
      </c>
      <c r="H6207" s="5" t="s">
        <v>21</v>
      </c>
      <c r="I6207" s="5" t="s">
        <v>15157</v>
      </c>
      <c r="J6207" s="12" t="str">
        <f>HYPERLINK("https://www.boe.es/gazeta/dias/1802/10/29/pdfs/GMD-1802-88.pdf#page=9","Abrir facsímil")</f>
        <v>Abrir facsímil</v>
      </c>
      <c r="K6207" s="15" t="s">
        <v>23</v>
      </c>
    </row>
    <row r="6208" spans="1:11" ht="42" customHeight="1">
      <c r="A6208" s="4" t="s">
        <v>15158</v>
      </c>
      <c r="B6208" s="5" t="s">
        <v>15158</v>
      </c>
      <c r="C6208" s="5" t="s">
        <v>160</v>
      </c>
      <c r="D6208" s="5" t="s">
        <v>91</v>
      </c>
      <c r="E6208" s="5" t="s">
        <v>20</v>
      </c>
      <c r="F6208" s="9">
        <v>84</v>
      </c>
      <c r="G6208" s="9">
        <v>1042</v>
      </c>
      <c r="H6208" s="5" t="s">
        <v>21</v>
      </c>
      <c r="I6208" s="5" t="s">
        <v>15159</v>
      </c>
      <c r="J6208" s="12" t="str">
        <f>HYPERLINK("https://www.boe.es/gazeta/dias/1802/10/15/pdfs/GMD-1802-84.pdf#page=10","Abrir facsímil")</f>
        <v>Abrir facsímil</v>
      </c>
      <c r="K6208" s="15" t="s">
        <v>23</v>
      </c>
    </row>
    <row r="6209" spans="1:11" ht="42" customHeight="1">
      <c r="A6209" s="4" t="s">
        <v>15160</v>
      </c>
      <c r="B6209" s="5" t="s">
        <v>15160</v>
      </c>
      <c r="C6209" s="5" t="s">
        <v>18</v>
      </c>
      <c r="D6209" s="5" t="s">
        <v>19</v>
      </c>
      <c r="E6209" s="5" t="s">
        <v>328</v>
      </c>
      <c r="F6209" s="9">
        <v>45</v>
      </c>
      <c r="G6209" s="9">
        <v>544</v>
      </c>
      <c r="H6209" s="5" t="s">
        <v>21</v>
      </c>
      <c r="I6209" s="5" t="s">
        <v>15161</v>
      </c>
      <c r="J6209" s="12" t="str">
        <f>HYPERLINK("https://www.boe.es/gazeta/dias/1802/06/04/pdfs/GMD-1802-45.pdf#page=8","Abrir facsímil")</f>
        <v>Abrir facsímil</v>
      </c>
      <c r="K6209" s="15" t="s">
        <v>23</v>
      </c>
    </row>
    <row r="6210" spans="1:11" ht="42" customHeight="1">
      <c r="A6210" s="4" t="s">
        <v>15162</v>
      </c>
      <c r="B6210" s="5" t="s">
        <v>15162</v>
      </c>
      <c r="C6210" s="5" t="s">
        <v>29</v>
      </c>
      <c r="D6210" s="5" t="s">
        <v>30</v>
      </c>
      <c r="E6210" s="5" t="s">
        <v>49</v>
      </c>
      <c r="F6210" s="9">
        <v>83</v>
      </c>
      <c r="G6210" s="9">
        <v>1024</v>
      </c>
      <c r="H6210" s="5" t="s">
        <v>21</v>
      </c>
      <c r="I6210" s="5" t="s">
        <v>15163</v>
      </c>
      <c r="J6210" s="12" t="str">
        <f>HYPERLINK("https://www.boe.es/gazeta/dias/1802/10/12/pdfs/GMD-1802-83.pdf#page=12","Abrir facsímil")</f>
        <v>Abrir facsímil</v>
      </c>
      <c r="K6210" s="15" t="s">
        <v>23</v>
      </c>
    </row>
    <row r="6211" spans="1:11" ht="42" customHeight="1">
      <c r="A6211" s="4" t="s">
        <v>15164</v>
      </c>
      <c r="B6211" s="5" t="s">
        <v>15164</v>
      </c>
      <c r="C6211" s="5" t="s">
        <v>29</v>
      </c>
      <c r="D6211" s="5" t="s">
        <v>30</v>
      </c>
      <c r="E6211" s="5" t="s">
        <v>163</v>
      </c>
      <c r="F6211" s="9">
        <v>1</v>
      </c>
      <c r="G6211" s="9">
        <v>7</v>
      </c>
      <c r="H6211" s="5" t="s">
        <v>21</v>
      </c>
      <c r="I6211" s="5" t="s">
        <v>15165</v>
      </c>
      <c r="J6211" s="12" t="str">
        <f>HYPERLINK("https://www.boe.es/gazeta/dias/1802/01/01/pdfs/GMD-1802-1.pdf#page=7","Abrir facsímil")</f>
        <v>Abrir facsímil</v>
      </c>
      <c r="K6211" s="15" t="s">
        <v>23</v>
      </c>
    </row>
    <row r="6212" spans="1:11" ht="42" customHeight="1">
      <c r="A6212" s="4" t="s">
        <v>15166</v>
      </c>
      <c r="B6212" s="5" t="s">
        <v>15167</v>
      </c>
      <c r="C6212" s="5" t="s">
        <v>42</v>
      </c>
      <c r="D6212" s="5" t="s">
        <v>43</v>
      </c>
      <c r="E6212" s="5" t="s">
        <v>44</v>
      </c>
      <c r="F6212" s="9">
        <v>99</v>
      </c>
      <c r="G6212" s="9" t="s">
        <v>314</v>
      </c>
      <c r="H6212" s="5" t="s">
        <v>21</v>
      </c>
      <c r="I6212" s="5" t="s">
        <v>15168</v>
      </c>
      <c r="J6212" s="12" t="str">
        <f>HYPERLINK("https://www.boe.es/gazeta/dias/1802/12/07/pdfs/GMD-D-1802-99.pdf#page=2","Abrir facsímil")</f>
        <v>Abrir facsímil</v>
      </c>
      <c r="K6212" s="15" t="s">
        <v>23</v>
      </c>
    </row>
    <row r="6213" spans="1:11" ht="42" customHeight="1">
      <c r="A6213" s="4" t="s">
        <v>15169</v>
      </c>
      <c r="B6213" s="5" t="s">
        <v>15170</v>
      </c>
      <c r="C6213" s="5" t="s">
        <v>29</v>
      </c>
      <c r="D6213" s="5" t="s">
        <v>30</v>
      </c>
      <c r="E6213" s="5" t="s">
        <v>146</v>
      </c>
      <c r="F6213" s="9">
        <v>42</v>
      </c>
      <c r="G6213" s="9">
        <v>504</v>
      </c>
      <c r="H6213" s="5" t="s">
        <v>21</v>
      </c>
      <c r="I6213" s="5" t="s">
        <v>15171</v>
      </c>
      <c r="J6213" s="12" t="str">
        <f>HYPERLINK("https://www.boe.es/gazeta/dias/1802/05/25/pdfs/GMD-1802-42.pdf#page=8","Abrir facsímil")</f>
        <v>Abrir facsímil</v>
      </c>
      <c r="K6213" s="15" t="s">
        <v>23</v>
      </c>
    </row>
    <row r="6214" spans="1:11" ht="42" customHeight="1">
      <c r="A6214" s="4" t="s">
        <v>15172</v>
      </c>
      <c r="B6214" s="5" t="s">
        <v>15172</v>
      </c>
      <c r="C6214" s="5" t="s">
        <v>160</v>
      </c>
      <c r="D6214" s="5" t="s">
        <v>91</v>
      </c>
      <c r="E6214" s="5" t="s">
        <v>385</v>
      </c>
      <c r="F6214" s="9">
        <v>70</v>
      </c>
      <c r="G6214" s="9">
        <v>863</v>
      </c>
      <c r="H6214" s="5" t="s">
        <v>21</v>
      </c>
      <c r="I6214" s="5" t="s">
        <v>15173</v>
      </c>
      <c r="J6214" s="12" t="str">
        <f>HYPERLINK("https://www.boe.es/gazeta/dias/1802/08/27/pdfs/GMD-1802-70.pdf#page=11","Abrir facsímil")</f>
        <v>Abrir facsímil</v>
      </c>
      <c r="K6214" s="15" t="s">
        <v>23</v>
      </c>
    </row>
    <row r="6215" spans="1:11" ht="42" customHeight="1">
      <c r="A6215" s="4" t="s">
        <v>15174</v>
      </c>
      <c r="B6215" s="5" t="s">
        <v>15175</v>
      </c>
      <c r="C6215" s="5" t="s">
        <v>42</v>
      </c>
      <c r="D6215" s="5" t="s">
        <v>43</v>
      </c>
      <c r="E6215" s="5" t="s">
        <v>44</v>
      </c>
      <c r="F6215" s="9">
        <v>99</v>
      </c>
      <c r="G6215" s="9" t="s">
        <v>537</v>
      </c>
      <c r="H6215" s="5" t="s">
        <v>21</v>
      </c>
      <c r="I6215" s="5" t="s">
        <v>15176</v>
      </c>
      <c r="J6215" s="12" t="str">
        <f>HYPERLINK("https://www.boe.es/gazeta/dias/1802/12/07/pdfs/GMD-D-1802-99.pdf#page=9","Abrir facsímil")</f>
        <v>Abrir facsímil</v>
      </c>
      <c r="K6215" s="15" t="s">
        <v>23</v>
      </c>
    </row>
    <row r="6216" spans="1:11" ht="42" customHeight="1">
      <c r="A6216" s="4" t="s">
        <v>15177</v>
      </c>
      <c r="B6216" s="5" t="s">
        <v>15177</v>
      </c>
      <c r="C6216" s="5" t="s">
        <v>18</v>
      </c>
      <c r="D6216" s="5" t="s">
        <v>19</v>
      </c>
      <c r="E6216" s="5" t="s">
        <v>49</v>
      </c>
      <c r="F6216" s="9">
        <v>83</v>
      </c>
      <c r="G6216" s="9">
        <v>1025</v>
      </c>
      <c r="H6216" s="5" t="s">
        <v>21</v>
      </c>
      <c r="I6216" s="5" t="s">
        <v>15178</v>
      </c>
      <c r="J6216" s="12" t="str">
        <f>HYPERLINK("https://www.boe.es/gazeta/dias/1802/10/12/pdfs/GMD-1802-83.pdf#page=13","Abrir facsímil")</f>
        <v>Abrir facsímil</v>
      </c>
      <c r="K6216" s="15" t="s">
        <v>23</v>
      </c>
    </row>
    <row r="6217" spans="1:11" ht="42" customHeight="1">
      <c r="A6217" s="4" t="s">
        <v>15179</v>
      </c>
      <c r="B6217" s="5" t="s">
        <v>15179</v>
      </c>
      <c r="C6217" s="5" t="s">
        <v>42</v>
      </c>
      <c r="D6217" s="5" t="s">
        <v>43</v>
      </c>
      <c r="E6217" s="5" t="s">
        <v>44</v>
      </c>
      <c r="F6217" s="9">
        <v>99</v>
      </c>
      <c r="G6217" s="9" t="s">
        <v>550</v>
      </c>
      <c r="H6217" s="5" t="s">
        <v>21</v>
      </c>
      <c r="I6217" s="5" t="s">
        <v>15180</v>
      </c>
      <c r="J6217" s="12" t="str">
        <f>HYPERLINK("https://www.boe.es/gazeta/dias/1802/12/07/pdfs/GMD-D-1802-99.pdf#page=16","Abrir facsímil")</f>
        <v>Abrir facsímil</v>
      </c>
      <c r="K6217" s="15" t="s">
        <v>23</v>
      </c>
    </row>
    <row r="6218" spans="1:11" ht="42" customHeight="1">
      <c r="A6218" s="4" t="s">
        <v>15181</v>
      </c>
      <c r="B6218" s="5" t="s">
        <v>15181</v>
      </c>
      <c r="C6218" s="5" t="s">
        <v>29</v>
      </c>
      <c r="D6218" s="5" t="s">
        <v>30</v>
      </c>
      <c r="E6218" s="5" t="s">
        <v>20</v>
      </c>
      <c r="F6218" s="9">
        <v>84</v>
      </c>
      <c r="G6218" s="9">
        <v>1040</v>
      </c>
      <c r="H6218" s="5" t="s">
        <v>21</v>
      </c>
      <c r="I6218" s="5" t="s">
        <v>15182</v>
      </c>
      <c r="J6218" s="12" t="str">
        <f>HYPERLINK("https://www.boe.es/gazeta/dias/1802/10/15/pdfs/GMD-1802-84.pdf#page=8","Abrir facsímil")</f>
        <v>Abrir facsímil</v>
      </c>
      <c r="K6218" s="15" t="s">
        <v>23</v>
      </c>
    </row>
    <row r="6219" spans="1:11" ht="42" customHeight="1">
      <c r="A6219" s="4" t="s">
        <v>15183</v>
      </c>
      <c r="B6219" s="5" t="s">
        <v>15184</v>
      </c>
      <c r="C6219" s="5" t="s">
        <v>18</v>
      </c>
      <c r="D6219" s="5" t="s">
        <v>19</v>
      </c>
      <c r="E6219" s="5" t="s">
        <v>49</v>
      </c>
      <c r="F6219" s="9">
        <v>83</v>
      </c>
      <c r="G6219" s="9">
        <v>1019</v>
      </c>
      <c r="H6219" s="5" t="s">
        <v>21</v>
      </c>
      <c r="I6219" s="5" t="s">
        <v>15185</v>
      </c>
      <c r="J6219" s="12" t="str">
        <f>HYPERLINK("https://www.boe.es/gazeta/dias/1802/10/12/pdfs/GMD-1802-83.pdf#page=7","Abrir facsímil")</f>
        <v>Abrir facsímil</v>
      </c>
      <c r="K6219" s="15" t="s">
        <v>23</v>
      </c>
    </row>
    <row r="6220" spans="1:11" ht="42" customHeight="1">
      <c r="A6220" s="4" t="s">
        <v>15186</v>
      </c>
      <c r="B6220" s="5" t="s">
        <v>15187</v>
      </c>
      <c r="C6220" s="5" t="s">
        <v>29</v>
      </c>
      <c r="D6220" s="5" t="s">
        <v>30</v>
      </c>
      <c r="E6220" s="5" t="s">
        <v>86</v>
      </c>
      <c r="F6220" s="9">
        <v>26</v>
      </c>
      <c r="G6220" s="9">
        <v>298</v>
      </c>
      <c r="H6220" s="5" t="s">
        <v>21</v>
      </c>
      <c r="I6220" s="5" t="s">
        <v>15188</v>
      </c>
      <c r="J6220" s="12" t="str">
        <f>HYPERLINK("https://www.boe.es/gazeta/dias/1802/03/30/pdfs/GMD-1802-26.pdf#page=10","Abrir facsímil")</f>
        <v>Abrir facsímil</v>
      </c>
      <c r="K6220" s="15" t="s">
        <v>23</v>
      </c>
    </row>
    <row r="6221" spans="1:11" ht="42" customHeight="1">
      <c r="A6221" s="4" t="s">
        <v>15189</v>
      </c>
      <c r="B6221" s="5" t="s">
        <v>15190</v>
      </c>
      <c r="C6221" s="5" t="s">
        <v>18</v>
      </c>
      <c r="D6221" s="5" t="s">
        <v>19</v>
      </c>
      <c r="E6221" s="5" t="s">
        <v>20</v>
      </c>
      <c r="F6221" s="9">
        <v>84</v>
      </c>
      <c r="G6221" s="9">
        <v>1045</v>
      </c>
      <c r="H6221" s="5" t="s">
        <v>21</v>
      </c>
      <c r="I6221" s="5" t="s">
        <v>15191</v>
      </c>
      <c r="J6221" s="12" t="str">
        <f>HYPERLINK("https://www.boe.es/gazeta/dias/1802/10/15/pdfs/GMD-1802-84.pdf#page=13","Abrir facsímil")</f>
        <v>Abrir facsímil</v>
      </c>
      <c r="K6221" s="15" t="s">
        <v>23</v>
      </c>
    </row>
    <row r="6222" spans="1:11" ht="42" customHeight="1">
      <c r="A6222" s="4" t="s">
        <v>15192</v>
      </c>
      <c r="B6222" s="5" t="s">
        <v>15193</v>
      </c>
      <c r="C6222" s="5" t="s">
        <v>35</v>
      </c>
      <c r="D6222" s="5" t="s">
        <v>36</v>
      </c>
      <c r="E6222" s="5" t="s">
        <v>121</v>
      </c>
      <c r="F6222" s="9">
        <v>87</v>
      </c>
      <c r="G6222" s="9">
        <v>1075</v>
      </c>
      <c r="H6222" s="5" t="s">
        <v>21</v>
      </c>
      <c r="I6222" s="5" t="s">
        <v>15194</v>
      </c>
      <c r="J6222" s="12" t="str">
        <f>HYPERLINK("https://www.boe.es/gazeta/dias/1802/10/26/pdfs/GMD-1802-87.pdf#page=3","Abrir facsímil")</f>
        <v>Abrir facsímil</v>
      </c>
      <c r="K6222" s="15" t="s">
        <v>23</v>
      </c>
    </row>
    <row r="6223" spans="1:11" ht="42" customHeight="1">
      <c r="A6223" s="4" t="s">
        <v>15195</v>
      </c>
      <c r="B6223" s="5" t="s">
        <v>15195</v>
      </c>
      <c r="C6223" s="5" t="s">
        <v>35</v>
      </c>
      <c r="D6223" s="5" t="s">
        <v>36</v>
      </c>
      <c r="E6223" s="5" t="s">
        <v>146</v>
      </c>
      <c r="F6223" s="9">
        <v>42</v>
      </c>
      <c r="G6223" s="9">
        <v>498</v>
      </c>
      <c r="H6223" s="5" t="s">
        <v>21</v>
      </c>
      <c r="I6223" s="5" t="s">
        <v>15196</v>
      </c>
      <c r="J6223" s="12" t="str">
        <f>HYPERLINK("https://www.boe.es/gazeta/dias/1802/05/25/pdfs/GMD-1802-42.pdf#page=2","Abrir facsímil")</f>
        <v>Abrir facsímil</v>
      </c>
      <c r="K6223" s="15" t="s">
        <v>23</v>
      </c>
    </row>
    <row r="6224" spans="1:11" ht="42" customHeight="1">
      <c r="A6224" s="4" t="s">
        <v>15197</v>
      </c>
      <c r="B6224" s="5" t="s">
        <v>15198</v>
      </c>
      <c r="C6224" s="5" t="s">
        <v>29</v>
      </c>
      <c r="D6224" s="5" t="s">
        <v>30</v>
      </c>
      <c r="E6224" s="5" t="s">
        <v>678</v>
      </c>
      <c r="F6224" s="9">
        <v>15</v>
      </c>
      <c r="G6224" s="9">
        <v>154</v>
      </c>
      <c r="H6224" s="5" t="s">
        <v>21</v>
      </c>
      <c r="I6224" s="5" t="s">
        <v>15199</v>
      </c>
      <c r="J6224" s="12" t="str">
        <f>HYPERLINK("https://www.boe.es/gazeta/dias/1802/02/19/pdfs/GMD-1802-15.pdf#page=6","Abrir facsímil")</f>
        <v>Abrir facsímil</v>
      </c>
      <c r="K6224" s="15" t="s">
        <v>23</v>
      </c>
    </row>
    <row r="6225" spans="1:11" ht="42" customHeight="1">
      <c r="A6225" s="4" t="s">
        <v>15200</v>
      </c>
      <c r="B6225" s="5" t="s">
        <v>15201</v>
      </c>
      <c r="C6225" s="5" t="s">
        <v>18</v>
      </c>
      <c r="D6225" s="5" t="s">
        <v>19</v>
      </c>
      <c r="E6225" s="5" t="s">
        <v>20</v>
      </c>
      <c r="F6225" s="9">
        <v>84</v>
      </c>
      <c r="G6225" s="9">
        <v>1043</v>
      </c>
      <c r="H6225" s="5" t="s">
        <v>21</v>
      </c>
      <c r="I6225" s="5" t="s">
        <v>15202</v>
      </c>
      <c r="J6225" s="12" t="str">
        <f>HYPERLINK("https://www.boe.es/gazeta/dias/1802/10/15/pdfs/GMD-1802-84.pdf#page=11","Abrir facsímil")</f>
        <v>Abrir facsímil</v>
      </c>
      <c r="K6225" s="15" t="s">
        <v>23</v>
      </c>
    </row>
    <row r="6226" spans="1:11" ht="42" customHeight="1">
      <c r="A6226" s="4" t="s">
        <v>15203</v>
      </c>
      <c r="B6226" s="5" t="s">
        <v>15204</v>
      </c>
      <c r="C6226" s="5" t="s">
        <v>18</v>
      </c>
      <c r="D6226" s="5" t="s">
        <v>19</v>
      </c>
      <c r="E6226" s="5" t="s">
        <v>25</v>
      </c>
      <c r="F6226" s="9">
        <v>44</v>
      </c>
      <c r="G6226" s="9">
        <v>533</v>
      </c>
      <c r="H6226" s="5" t="s">
        <v>21</v>
      </c>
      <c r="I6226" s="5" t="s">
        <v>15205</v>
      </c>
      <c r="J6226" s="12" t="str">
        <f>HYPERLINK("https://www.boe.es/gazeta/dias/1802/06/01/pdfs/GMD-1802-44.pdf#page=9","Abrir facsímil")</f>
        <v>Abrir facsímil</v>
      </c>
      <c r="K6226" s="15" t="s">
        <v>23</v>
      </c>
    </row>
    <row r="6227" spans="1:11" ht="42" customHeight="1">
      <c r="A6227" s="4" t="s">
        <v>15206</v>
      </c>
      <c r="B6227" s="5" t="s">
        <v>15207</v>
      </c>
      <c r="C6227" s="5" t="s">
        <v>35</v>
      </c>
      <c r="D6227" s="5" t="s">
        <v>36</v>
      </c>
      <c r="E6227" s="5" t="s">
        <v>292</v>
      </c>
      <c r="F6227" s="9">
        <v>62</v>
      </c>
      <c r="G6227" s="9">
        <v>751</v>
      </c>
      <c r="H6227" s="5" t="s">
        <v>21</v>
      </c>
      <c r="I6227" s="5" t="s">
        <v>15208</v>
      </c>
      <c r="J6227" s="12" t="str">
        <f>HYPERLINK("https://www.boe.es/gazeta/dias/1802/07/30/pdfs/GMD-1802-62.pdf#page=7","Abrir facsímil")</f>
        <v>Abrir facsímil</v>
      </c>
      <c r="K6227" s="15" t="s">
        <v>23</v>
      </c>
    </row>
    <row r="6228" spans="1:11" ht="42" customHeight="1">
      <c r="A6228" s="4" t="s">
        <v>15209</v>
      </c>
      <c r="B6228" s="5" t="s">
        <v>15210</v>
      </c>
      <c r="C6228" s="5" t="s">
        <v>29</v>
      </c>
      <c r="D6228" s="5" t="s">
        <v>30</v>
      </c>
      <c r="E6228" s="5" t="s">
        <v>491</v>
      </c>
      <c r="F6228" s="9">
        <v>57</v>
      </c>
      <c r="G6228" s="9">
        <v>689</v>
      </c>
      <c r="H6228" s="5" t="s">
        <v>21</v>
      </c>
      <c r="I6228" s="5" t="s">
        <v>15211</v>
      </c>
      <c r="J6228" s="12" t="str">
        <f>HYPERLINK("https://www.boe.es/gazeta/dias/1802/07/16/pdfs/GMD-1802-57.pdf#page=9","Abrir facsímil")</f>
        <v>Abrir facsímil</v>
      </c>
      <c r="K6228" s="15" t="s">
        <v>23</v>
      </c>
    </row>
    <row r="6229" spans="1:11" ht="42" customHeight="1">
      <c r="A6229" s="4" t="s">
        <v>15212</v>
      </c>
      <c r="B6229" s="5" t="s">
        <v>15213</v>
      </c>
      <c r="C6229" s="5" t="s">
        <v>29</v>
      </c>
      <c r="D6229" s="5" t="s">
        <v>30</v>
      </c>
      <c r="E6229" s="5" t="s">
        <v>389</v>
      </c>
      <c r="F6229" s="9">
        <v>96</v>
      </c>
      <c r="G6229" s="9">
        <v>1189</v>
      </c>
      <c r="H6229" s="5" t="s">
        <v>21</v>
      </c>
      <c r="I6229" s="5" t="s">
        <v>15214</v>
      </c>
      <c r="J6229" s="12" t="str">
        <f>HYPERLINK("https://www.boe.es/gazeta/dias/1802/11/26/pdfs/GMD-1802-96.pdf#page=9","Abrir facsímil")</f>
        <v>Abrir facsímil</v>
      </c>
      <c r="K6229" s="15" t="s">
        <v>23</v>
      </c>
    </row>
    <row r="6230" spans="1:11" ht="42" customHeight="1">
      <c r="A6230" s="4" t="s">
        <v>15215</v>
      </c>
      <c r="B6230" s="5" t="s">
        <v>15216</v>
      </c>
      <c r="C6230" s="5" t="s">
        <v>18</v>
      </c>
      <c r="D6230" s="5" t="s">
        <v>19</v>
      </c>
      <c r="E6230" s="5" t="s">
        <v>764</v>
      </c>
      <c r="F6230" s="9">
        <v>69</v>
      </c>
      <c r="G6230" s="9">
        <v>849</v>
      </c>
      <c r="H6230" s="5" t="s">
        <v>21</v>
      </c>
      <c r="I6230" s="5" t="s">
        <v>15217</v>
      </c>
      <c r="J6230" s="12" t="str">
        <f>HYPERLINK("https://www.boe.es/gazeta/dias/1802/08/24/pdfs/GMD-1802-69.pdf#page=9","Abrir facsímil")</f>
        <v>Abrir facsímil</v>
      </c>
      <c r="K6230" s="15" t="s">
        <v>23</v>
      </c>
    </row>
    <row r="6231" spans="1:11" ht="42" customHeight="1">
      <c r="A6231" s="4" t="s">
        <v>15218</v>
      </c>
      <c r="B6231" s="5" t="s">
        <v>15219</v>
      </c>
      <c r="C6231" s="5" t="s">
        <v>18</v>
      </c>
      <c r="D6231" s="5" t="s">
        <v>19</v>
      </c>
      <c r="E6231" s="5" t="s">
        <v>764</v>
      </c>
      <c r="F6231" s="9">
        <v>69</v>
      </c>
      <c r="G6231" s="9">
        <v>849</v>
      </c>
      <c r="H6231" s="5" t="s">
        <v>21</v>
      </c>
      <c r="I6231" s="5" t="s">
        <v>15220</v>
      </c>
      <c r="J6231" s="12" t="str">
        <f>HYPERLINK("https://www.boe.es/gazeta/dias/1802/08/24/pdfs/GMD-1802-69.pdf#page=9","Abrir facsímil")</f>
        <v>Abrir facsímil</v>
      </c>
      <c r="K6231" s="15" t="s">
        <v>23</v>
      </c>
    </row>
    <row r="6232" spans="1:11" ht="42" customHeight="1">
      <c r="A6232" s="4" t="s">
        <v>15221</v>
      </c>
      <c r="B6232" s="5" t="s">
        <v>15222</v>
      </c>
      <c r="C6232" s="5" t="s">
        <v>35</v>
      </c>
      <c r="D6232" s="5" t="s">
        <v>36</v>
      </c>
      <c r="E6232" s="5" t="s">
        <v>385</v>
      </c>
      <c r="F6232" s="9">
        <v>70</v>
      </c>
      <c r="G6232" s="9">
        <v>862</v>
      </c>
      <c r="H6232" s="5" t="s">
        <v>21</v>
      </c>
      <c r="I6232" s="5" t="s">
        <v>15223</v>
      </c>
      <c r="J6232" s="12" t="str">
        <f>HYPERLINK("https://www.boe.es/gazeta/dias/1802/08/27/pdfs/GMD-1802-70.pdf#page=10","Abrir facsímil")</f>
        <v>Abrir facsímil</v>
      </c>
      <c r="K6232" s="15" t="s">
        <v>23</v>
      </c>
    </row>
    <row r="6233" spans="1:11" ht="42" customHeight="1">
      <c r="A6233" s="4" t="s">
        <v>15224</v>
      </c>
      <c r="B6233" s="5" t="s">
        <v>15225</v>
      </c>
      <c r="C6233" s="5" t="s">
        <v>29</v>
      </c>
      <c r="D6233" s="5" t="s">
        <v>30</v>
      </c>
      <c r="E6233" s="5" t="s">
        <v>183</v>
      </c>
      <c r="F6233" s="9">
        <v>56</v>
      </c>
      <c r="G6233" s="9">
        <v>678</v>
      </c>
      <c r="H6233" s="5" t="s">
        <v>21</v>
      </c>
      <c r="I6233" s="5" t="s">
        <v>15226</v>
      </c>
      <c r="J6233" s="12" t="str">
        <f>HYPERLINK("https://www.boe.es/gazeta/dias/1802/07/13/pdfs/GMD-1802-56.pdf#page=10","Abrir facsímil")</f>
        <v>Abrir facsímil</v>
      </c>
      <c r="K6233" s="15" t="s">
        <v>23</v>
      </c>
    </row>
    <row r="6234" spans="1:11" ht="42" customHeight="1">
      <c r="A6234" s="4" t="s">
        <v>15227</v>
      </c>
      <c r="B6234" s="5" t="s">
        <v>15228</v>
      </c>
      <c r="C6234" s="5" t="s">
        <v>2417</v>
      </c>
      <c r="D6234" s="5" t="s">
        <v>2418</v>
      </c>
      <c r="E6234" s="5" t="s">
        <v>206</v>
      </c>
      <c r="F6234" s="9">
        <v>22</v>
      </c>
      <c r="G6234" s="9">
        <v>246</v>
      </c>
      <c r="H6234" s="5" t="s">
        <v>21</v>
      </c>
      <c r="I6234" s="5" t="s">
        <v>15229</v>
      </c>
      <c r="J6234" s="12" t="str">
        <f>HYPERLINK("https://www.boe.es/gazeta/dias/1802/03/16/pdfs/GMD-C-1802-22.pdf#page=2","Abrir facsímil")</f>
        <v>Abrir facsímil</v>
      </c>
      <c r="K6234" s="15" t="s">
        <v>23</v>
      </c>
    </row>
    <row r="6235" spans="1:11" ht="42" customHeight="1">
      <c r="A6235" s="4" t="s">
        <v>15227</v>
      </c>
      <c r="B6235" s="5" t="s">
        <v>15228</v>
      </c>
      <c r="C6235" s="5" t="s">
        <v>18</v>
      </c>
      <c r="D6235" s="5" t="s">
        <v>19</v>
      </c>
      <c r="E6235" s="5" t="s">
        <v>167</v>
      </c>
      <c r="F6235" s="9">
        <v>23</v>
      </c>
      <c r="G6235" s="9">
        <v>260</v>
      </c>
      <c r="H6235" s="5" t="s">
        <v>21</v>
      </c>
      <c r="I6235" s="5" t="s">
        <v>15230</v>
      </c>
      <c r="J6235" s="12" t="str">
        <f>HYPERLINK("https://www.boe.es/gazeta/dias/1802/03/19/pdfs/GMD-1802-23.pdf#page=8","Abrir facsímil")</f>
        <v>Abrir facsímil</v>
      </c>
      <c r="K6235" s="15" t="s">
        <v>23</v>
      </c>
    </row>
    <row r="6236" spans="1:11" ht="42" customHeight="1">
      <c r="A6236" s="4" t="s">
        <v>15227</v>
      </c>
      <c r="B6236" s="5" t="s">
        <v>15228</v>
      </c>
      <c r="C6236" s="5" t="s">
        <v>18</v>
      </c>
      <c r="D6236" s="5" t="s">
        <v>19</v>
      </c>
      <c r="E6236" s="5" t="s">
        <v>332</v>
      </c>
      <c r="F6236" s="9">
        <v>24</v>
      </c>
      <c r="G6236" s="9">
        <v>273</v>
      </c>
      <c r="H6236" s="5" t="s">
        <v>21</v>
      </c>
      <c r="I6236" s="5" t="s">
        <v>15231</v>
      </c>
      <c r="J6236" s="12" t="str">
        <f>HYPERLINK("https://www.boe.es/gazeta/dias/1802/03/23/pdfs/GMD-1802-24.pdf#page=9","Abrir facsímil")</f>
        <v>Abrir facsímil</v>
      </c>
      <c r="K6236" s="15" t="s">
        <v>23</v>
      </c>
    </row>
    <row r="6237" spans="1:11" ht="42" customHeight="1">
      <c r="A6237" s="4" t="s">
        <v>15227</v>
      </c>
      <c r="B6237" s="5" t="s">
        <v>15228</v>
      </c>
      <c r="C6237" s="5" t="s">
        <v>18</v>
      </c>
      <c r="D6237" s="5" t="s">
        <v>19</v>
      </c>
      <c r="E6237" s="5" t="s">
        <v>1749</v>
      </c>
      <c r="F6237" s="9">
        <v>60</v>
      </c>
      <c r="G6237" s="9">
        <v>730</v>
      </c>
      <c r="H6237" s="5" t="s">
        <v>21</v>
      </c>
      <c r="I6237" s="5" t="s">
        <v>15232</v>
      </c>
      <c r="J6237" s="12" t="str">
        <f>HYPERLINK("https://www.boe.es/gazeta/dias/1802/07/23/pdfs/GMD-1802-60.pdf#page=14","Abrir facsímil")</f>
        <v>Abrir facsímil</v>
      </c>
      <c r="K6237" s="15" t="s">
        <v>23</v>
      </c>
    </row>
    <row r="6238" spans="1:11" ht="42" customHeight="1">
      <c r="A6238" s="4" t="s">
        <v>15227</v>
      </c>
      <c r="B6238" s="5" t="s">
        <v>15228</v>
      </c>
      <c r="C6238" s="5" t="s">
        <v>18</v>
      </c>
      <c r="D6238" s="5" t="s">
        <v>19</v>
      </c>
      <c r="E6238" s="5" t="s">
        <v>517</v>
      </c>
      <c r="F6238" s="9">
        <v>61</v>
      </c>
      <c r="G6238" s="9">
        <v>742</v>
      </c>
      <c r="H6238" s="5" t="s">
        <v>21</v>
      </c>
      <c r="I6238" s="5" t="s">
        <v>15233</v>
      </c>
      <c r="J6238" s="12" t="str">
        <f>HYPERLINK("https://www.boe.es/gazeta/dias/1802/07/27/pdfs/GMD-1802-61.pdf#page=10","Abrir facsímil")</f>
        <v>Abrir facsímil</v>
      </c>
      <c r="K6238" s="15" t="s">
        <v>23</v>
      </c>
    </row>
    <row r="6239" spans="1:11" ht="42" customHeight="1">
      <c r="A6239" s="4" t="s">
        <v>15227</v>
      </c>
      <c r="B6239" s="5" t="s">
        <v>15228</v>
      </c>
      <c r="C6239" s="5" t="s">
        <v>18</v>
      </c>
      <c r="D6239" s="5" t="s">
        <v>19</v>
      </c>
      <c r="E6239" s="5" t="s">
        <v>292</v>
      </c>
      <c r="F6239" s="9">
        <v>62</v>
      </c>
      <c r="G6239" s="9">
        <v>754</v>
      </c>
      <c r="H6239" s="5" t="s">
        <v>21</v>
      </c>
      <c r="I6239" s="5" t="s">
        <v>15234</v>
      </c>
      <c r="J6239" s="12" t="str">
        <f>HYPERLINK("https://www.boe.es/gazeta/dias/1802/07/30/pdfs/GMD-1802-62.pdf#page=10","Abrir facsímil")</f>
        <v>Abrir facsímil</v>
      </c>
      <c r="K6239" s="15" t="s">
        <v>23</v>
      </c>
    </row>
    <row r="6240" spans="1:11" ht="42" customHeight="1">
      <c r="A6240" s="4" t="s">
        <v>15227</v>
      </c>
      <c r="B6240" s="5" t="s">
        <v>15228</v>
      </c>
      <c r="C6240" s="5" t="s">
        <v>18</v>
      </c>
      <c r="D6240" s="5" t="s">
        <v>19</v>
      </c>
      <c r="E6240" s="5" t="s">
        <v>1185</v>
      </c>
      <c r="F6240" s="9">
        <v>93</v>
      </c>
      <c r="G6240" s="9">
        <v>1151</v>
      </c>
      <c r="H6240" s="5" t="s">
        <v>21</v>
      </c>
      <c r="I6240" s="5" t="s">
        <v>15235</v>
      </c>
      <c r="J6240" s="12" t="str">
        <f>HYPERLINK("https://www.boe.es/gazeta/dias/1802/11/16/pdfs/GMD-1802-93.pdf#page=11","Abrir facsímil")</f>
        <v>Abrir facsímil</v>
      </c>
      <c r="K6240" s="15" t="s">
        <v>23</v>
      </c>
    </row>
    <row r="6241" spans="1:11" ht="42" customHeight="1">
      <c r="A6241" s="4" t="s">
        <v>15227</v>
      </c>
      <c r="B6241" s="5" t="s">
        <v>15228</v>
      </c>
      <c r="C6241" s="5" t="s">
        <v>35</v>
      </c>
      <c r="D6241" s="5" t="s">
        <v>36</v>
      </c>
      <c r="E6241" s="5" t="s">
        <v>823</v>
      </c>
      <c r="F6241" s="9">
        <v>94</v>
      </c>
      <c r="G6241" s="9">
        <v>1163</v>
      </c>
      <c r="H6241" s="5" t="s">
        <v>21</v>
      </c>
      <c r="I6241" s="5" t="s">
        <v>15236</v>
      </c>
      <c r="J6241" s="12" t="str">
        <f>HYPERLINK("https://www.boe.es/gazeta/dias/1802/11/19/pdfs/GMD-1802-94.pdf#page=11","Abrir facsímil")</f>
        <v>Abrir facsímil</v>
      </c>
      <c r="K6241" s="15" t="s">
        <v>23</v>
      </c>
    </row>
    <row r="6242" spans="1:11" ht="42" customHeight="1">
      <c r="A6242" s="4" t="s">
        <v>15237</v>
      </c>
      <c r="B6242" s="5" t="s">
        <v>15238</v>
      </c>
      <c r="C6242" s="5" t="s">
        <v>18</v>
      </c>
      <c r="D6242" s="5" t="s">
        <v>19</v>
      </c>
      <c r="E6242" s="5" t="s">
        <v>20</v>
      </c>
      <c r="F6242" s="9">
        <v>84</v>
      </c>
      <c r="G6242" s="9">
        <v>1044</v>
      </c>
      <c r="H6242" s="5" t="s">
        <v>21</v>
      </c>
      <c r="I6242" s="5" t="s">
        <v>15239</v>
      </c>
      <c r="J6242" s="12" t="str">
        <f>HYPERLINK("https://www.boe.es/gazeta/dias/1802/10/15/pdfs/GMD-1802-84.pdf#page=12","Abrir facsímil")</f>
        <v>Abrir facsímil</v>
      </c>
      <c r="K6242" s="15" t="s">
        <v>23</v>
      </c>
    </row>
    <row r="6243" spans="1:11" ht="42" customHeight="1">
      <c r="A6243" s="4" t="s">
        <v>15240</v>
      </c>
      <c r="B6243" s="5" t="s">
        <v>15241</v>
      </c>
      <c r="C6243" s="5" t="s">
        <v>29</v>
      </c>
      <c r="D6243" s="5" t="s">
        <v>30</v>
      </c>
      <c r="E6243" s="5" t="s">
        <v>49</v>
      </c>
      <c r="F6243" s="9">
        <v>83</v>
      </c>
      <c r="G6243" s="9">
        <v>1021</v>
      </c>
      <c r="H6243" s="5" t="s">
        <v>21</v>
      </c>
      <c r="I6243" s="5" t="s">
        <v>15242</v>
      </c>
      <c r="J6243" s="12" t="str">
        <f>HYPERLINK("https://www.boe.es/gazeta/dias/1802/10/12/pdfs/GMD-1802-83.pdf#page=9","Abrir facsímil")</f>
        <v>Abrir facsímil</v>
      </c>
      <c r="K6243" s="15" t="s">
        <v>23</v>
      </c>
    </row>
    <row r="6244" spans="1:11" ht="42" customHeight="1">
      <c r="A6244" s="4" t="s">
        <v>15243</v>
      </c>
      <c r="B6244" s="5" t="s">
        <v>15244</v>
      </c>
      <c r="C6244" s="5" t="s">
        <v>90</v>
      </c>
      <c r="D6244" s="5" t="s">
        <v>91</v>
      </c>
      <c r="E6244" s="5" t="s">
        <v>1264</v>
      </c>
      <c r="F6244" s="9">
        <v>105</v>
      </c>
      <c r="G6244" s="9">
        <v>1286</v>
      </c>
      <c r="H6244" s="5" t="s">
        <v>21</v>
      </c>
      <c r="I6244" s="5" t="s">
        <v>15245</v>
      </c>
      <c r="J6244" s="12" t="str">
        <f>HYPERLINK("https://www.boe.es/gazeta/dias/1802/12/28/pdfs/GMD-1802-105.pdf#page=10","Abrir facsímil")</f>
        <v>Abrir facsímil</v>
      </c>
      <c r="K6244" s="15" t="s">
        <v>23</v>
      </c>
    </row>
    <row r="6245" spans="1:11" ht="42" customHeight="1">
      <c r="A6245" s="4" t="s">
        <v>15246</v>
      </c>
      <c r="B6245" s="5" t="s">
        <v>15247</v>
      </c>
      <c r="C6245" s="5" t="s">
        <v>90</v>
      </c>
      <c r="D6245" s="5" t="s">
        <v>91</v>
      </c>
      <c r="E6245" s="5" t="s">
        <v>183</v>
      </c>
      <c r="F6245" s="9">
        <v>56</v>
      </c>
      <c r="G6245" s="9">
        <v>678</v>
      </c>
      <c r="H6245" s="5" t="s">
        <v>21</v>
      </c>
      <c r="I6245" s="5" t="s">
        <v>15248</v>
      </c>
      <c r="J6245" s="12" t="str">
        <f>HYPERLINK("https://www.boe.es/gazeta/dias/1802/07/13/pdfs/GMD-1802-56.pdf#page=10","Abrir facsímil")</f>
        <v>Abrir facsímil</v>
      </c>
      <c r="K6245" s="15" t="s">
        <v>23</v>
      </c>
    </row>
    <row r="6246" spans="1:11" ht="42" customHeight="1">
      <c r="A6246" s="4" t="s">
        <v>15249</v>
      </c>
      <c r="B6246" s="5" t="s">
        <v>15250</v>
      </c>
      <c r="C6246" s="5" t="s">
        <v>29</v>
      </c>
      <c r="D6246" s="5" t="s">
        <v>30</v>
      </c>
      <c r="E6246" s="5" t="s">
        <v>921</v>
      </c>
      <c r="F6246" s="9">
        <v>50</v>
      </c>
      <c r="G6246" s="9">
        <v>610</v>
      </c>
      <c r="H6246" s="5" t="s">
        <v>21</v>
      </c>
      <c r="I6246" s="5" t="s">
        <v>15251</v>
      </c>
      <c r="J6246" s="12" t="str">
        <f>HYPERLINK("https://www.boe.es/gazeta/dias/1802/06/22/pdfs/GMD-1802-50.pdf#page=10","Abrir facsímil")</f>
        <v>Abrir facsímil</v>
      </c>
      <c r="K6246" s="15" t="s">
        <v>23</v>
      </c>
    </row>
    <row r="6247" spans="1:11" ht="42" customHeight="1">
      <c r="A6247" s="4" t="s">
        <v>15252</v>
      </c>
      <c r="B6247" s="5" t="s">
        <v>15253</v>
      </c>
      <c r="C6247" s="5" t="s">
        <v>42</v>
      </c>
      <c r="D6247" s="5" t="s">
        <v>43</v>
      </c>
      <c r="E6247" s="5" t="s">
        <v>44</v>
      </c>
      <c r="F6247" s="9">
        <v>99</v>
      </c>
      <c r="G6247" s="9" t="s">
        <v>544</v>
      </c>
      <c r="H6247" s="5" t="s">
        <v>21</v>
      </c>
      <c r="I6247" s="5" t="s">
        <v>15254</v>
      </c>
      <c r="J6247" s="12" t="str">
        <f>HYPERLINK("https://www.boe.es/gazeta/dias/1802/12/07/pdfs/GMD-D-1802-99.pdf#page=11","Abrir facsímil")</f>
        <v>Abrir facsímil</v>
      </c>
      <c r="K6247" s="15" t="s">
        <v>23</v>
      </c>
    </row>
    <row r="6248" spans="1:11" ht="42" customHeight="1">
      <c r="A6248" s="4" t="s">
        <v>15255</v>
      </c>
      <c r="B6248" s="5" t="s">
        <v>15256</v>
      </c>
      <c r="C6248" s="5" t="s">
        <v>42</v>
      </c>
      <c r="D6248" s="5" t="s">
        <v>43</v>
      </c>
      <c r="E6248" s="5" t="s">
        <v>44</v>
      </c>
      <c r="F6248" s="9">
        <v>99</v>
      </c>
      <c r="G6248" s="9" t="s">
        <v>262</v>
      </c>
      <c r="H6248" s="5" t="s">
        <v>21</v>
      </c>
      <c r="I6248" s="5" t="s">
        <v>15257</v>
      </c>
      <c r="J6248" s="12" t="str">
        <f>HYPERLINK("https://www.boe.es/gazeta/dias/1802/12/07/pdfs/GMD-D-1802-99.pdf#page=8","Abrir facsímil")</f>
        <v>Abrir facsímil</v>
      </c>
      <c r="K6248" s="15" t="s">
        <v>23</v>
      </c>
    </row>
    <row r="6249" spans="1:11" ht="42" customHeight="1">
      <c r="A6249" s="4" t="s">
        <v>15258</v>
      </c>
      <c r="B6249" s="5" t="s">
        <v>15258</v>
      </c>
      <c r="C6249" s="5" t="s">
        <v>35</v>
      </c>
      <c r="D6249" s="5" t="s">
        <v>36</v>
      </c>
      <c r="E6249" s="5" t="s">
        <v>900</v>
      </c>
      <c r="F6249" s="9">
        <v>16</v>
      </c>
      <c r="G6249" s="9">
        <v>161</v>
      </c>
      <c r="H6249" s="5" t="s">
        <v>21</v>
      </c>
      <c r="I6249" s="5" t="s">
        <v>15259</v>
      </c>
      <c r="J6249" s="12" t="str">
        <f>HYPERLINK("https://www.boe.es/gazeta/dias/1802/02/23/pdfs/GMD-1802-16.pdf#page=1","Abrir facsímil")</f>
        <v>Abrir facsímil</v>
      </c>
      <c r="K6249" s="15" t="s">
        <v>23</v>
      </c>
    </row>
    <row r="6250" spans="1:11" ht="42" customHeight="1">
      <c r="A6250" s="4" t="s">
        <v>15258</v>
      </c>
      <c r="B6250" s="5" t="s">
        <v>15258</v>
      </c>
      <c r="C6250" s="5" t="s">
        <v>35</v>
      </c>
      <c r="D6250" s="5" t="s">
        <v>36</v>
      </c>
      <c r="E6250" s="5" t="s">
        <v>206</v>
      </c>
      <c r="F6250" s="9">
        <v>22</v>
      </c>
      <c r="G6250" s="9">
        <v>234</v>
      </c>
      <c r="H6250" s="5" t="s">
        <v>21</v>
      </c>
      <c r="I6250" s="5" t="s">
        <v>15260</v>
      </c>
      <c r="J6250" s="12" t="str">
        <f>HYPERLINK("https://www.boe.es/gazeta/dias/1802/03/16/pdfs/GMD-1802-22.pdf#page=2","Abrir facsímil")</f>
        <v>Abrir facsímil</v>
      </c>
      <c r="K6250" s="15" t="s">
        <v>23</v>
      </c>
    </row>
    <row r="6251" spans="1:11" ht="42" customHeight="1">
      <c r="A6251" s="4" t="s">
        <v>15258</v>
      </c>
      <c r="B6251" s="5" t="s">
        <v>15258</v>
      </c>
      <c r="C6251" s="5" t="s">
        <v>18</v>
      </c>
      <c r="D6251" s="5" t="s">
        <v>19</v>
      </c>
      <c r="E6251" s="5" t="s">
        <v>152</v>
      </c>
      <c r="F6251" s="9">
        <v>25</v>
      </c>
      <c r="G6251" s="9">
        <v>277</v>
      </c>
      <c r="H6251" s="5" t="s">
        <v>21</v>
      </c>
      <c r="I6251" s="5" t="s">
        <v>15261</v>
      </c>
      <c r="J6251" s="12" t="str">
        <f>HYPERLINK("https://www.boe.es/gazeta/dias/1802/03/26/pdfs/GMD-1802-25.pdf#page=1","Abrir facsímil")</f>
        <v>Abrir facsímil</v>
      </c>
      <c r="K6251" s="15" t="s">
        <v>23</v>
      </c>
    </row>
    <row r="6252" spans="1:11" ht="42" customHeight="1">
      <c r="A6252" s="4" t="s">
        <v>15258</v>
      </c>
      <c r="B6252" s="5" t="s">
        <v>15258</v>
      </c>
      <c r="C6252" s="5" t="s">
        <v>35</v>
      </c>
      <c r="D6252" s="5" t="s">
        <v>36</v>
      </c>
      <c r="E6252" s="5" t="s">
        <v>172</v>
      </c>
      <c r="F6252" s="9">
        <v>35</v>
      </c>
      <c r="G6252" s="9">
        <v>401</v>
      </c>
      <c r="H6252" s="5" t="s">
        <v>21</v>
      </c>
      <c r="I6252" s="5" t="s">
        <v>15262</v>
      </c>
      <c r="J6252" s="12" t="str">
        <f>HYPERLINK("https://www.boe.es/gazeta/dias/1802/04/30/pdfs/GMD-1802-35.pdf#page=1","Abrir facsímil")</f>
        <v>Abrir facsímil</v>
      </c>
      <c r="K6252" s="15" t="s">
        <v>23</v>
      </c>
    </row>
    <row r="6253" spans="1:11" ht="42" customHeight="1">
      <c r="A6253" s="4" t="s">
        <v>15258</v>
      </c>
      <c r="B6253" s="5" t="s">
        <v>15258</v>
      </c>
      <c r="C6253" s="5" t="s">
        <v>35</v>
      </c>
      <c r="D6253" s="5" t="s">
        <v>36</v>
      </c>
      <c r="E6253" s="5" t="s">
        <v>631</v>
      </c>
      <c r="F6253" s="9">
        <v>36</v>
      </c>
      <c r="G6253" s="9">
        <v>422</v>
      </c>
      <c r="H6253" s="5" t="s">
        <v>21</v>
      </c>
      <c r="I6253" s="5" t="s">
        <v>15263</v>
      </c>
      <c r="J6253" s="12" t="str">
        <f>HYPERLINK("https://www.boe.es/gazeta/dias/1802/05/04/pdfs/GMD-1802-36.pdf#page=2","Abrir facsímil")</f>
        <v>Abrir facsímil</v>
      </c>
      <c r="K6253" s="15" t="s">
        <v>23</v>
      </c>
    </row>
    <row r="6254" spans="1:11" ht="42" customHeight="1">
      <c r="A6254" s="4" t="s">
        <v>15258</v>
      </c>
      <c r="B6254" s="5" t="s">
        <v>15258</v>
      </c>
      <c r="C6254" s="5" t="s">
        <v>35</v>
      </c>
      <c r="D6254" s="5" t="s">
        <v>36</v>
      </c>
      <c r="E6254" s="5" t="s">
        <v>328</v>
      </c>
      <c r="F6254" s="9">
        <v>45</v>
      </c>
      <c r="G6254" s="9">
        <v>537</v>
      </c>
      <c r="H6254" s="5" t="s">
        <v>21</v>
      </c>
      <c r="I6254" s="5" t="s">
        <v>15264</v>
      </c>
      <c r="J6254" s="12" t="str">
        <f>HYPERLINK("https://www.boe.es/gazeta/dias/1802/06/04/pdfs/GMD-1802-45.pdf#page=1","Abrir facsímil")</f>
        <v>Abrir facsímil</v>
      </c>
      <c r="K6254" s="15" t="s">
        <v>23</v>
      </c>
    </row>
    <row r="6255" spans="1:11" ht="42" customHeight="1">
      <c r="A6255" s="4" t="s">
        <v>15258</v>
      </c>
      <c r="B6255" s="5" t="s">
        <v>15258</v>
      </c>
      <c r="C6255" s="5" t="s">
        <v>35</v>
      </c>
      <c r="D6255" s="5" t="s">
        <v>36</v>
      </c>
      <c r="E6255" s="5" t="s">
        <v>389</v>
      </c>
      <c r="F6255" s="9">
        <v>96</v>
      </c>
      <c r="G6255" s="9">
        <v>1181</v>
      </c>
      <c r="H6255" s="5" t="s">
        <v>21</v>
      </c>
      <c r="I6255" s="5" t="s">
        <v>15265</v>
      </c>
      <c r="J6255" s="12" t="str">
        <f>HYPERLINK("https://www.boe.es/gazeta/dias/1802/11/26/pdfs/GMD-1802-96.pdf#page=1","Abrir facsímil")</f>
        <v>Abrir facsímil</v>
      </c>
      <c r="K6255" s="15" t="s">
        <v>23</v>
      </c>
    </row>
    <row r="6256" spans="1:11" ht="42" customHeight="1">
      <c r="A6256" s="4" t="s">
        <v>15266</v>
      </c>
      <c r="B6256" s="5" t="s">
        <v>15267</v>
      </c>
      <c r="C6256" s="5" t="s">
        <v>35</v>
      </c>
      <c r="D6256" s="5" t="s">
        <v>36</v>
      </c>
      <c r="E6256" s="5" t="s">
        <v>165</v>
      </c>
      <c r="F6256" s="9">
        <v>3</v>
      </c>
      <c r="G6256" s="9">
        <v>22</v>
      </c>
      <c r="H6256" s="5" t="s">
        <v>21</v>
      </c>
      <c r="I6256" s="5" t="s">
        <v>15268</v>
      </c>
      <c r="J6256" s="12" t="str">
        <f>HYPERLINK("https://www.boe.es/gazeta/dias/1802/01/08/pdfs/GMD-1802-3.pdf#page=2","Abrir facsímil")</f>
        <v>Abrir facsímil</v>
      </c>
      <c r="K6256" s="15" t="s">
        <v>23</v>
      </c>
    </row>
    <row r="6257" spans="1:11" ht="42" customHeight="1">
      <c r="A6257" s="4" t="s">
        <v>15269</v>
      </c>
      <c r="B6257" s="5" t="s">
        <v>15270</v>
      </c>
      <c r="C6257" s="5" t="s">
        <v>35</v>
      </c>
      <c r="D6257" s="5" t="s">
        <v>36</v>
      </c>
      <c r="E6257" s="5" t="s">
        <v>60</v>
      </c>
      <c r="F6257" s="9">
        <v>5</v>
      </c>
      <c r="G6257" s="9">
        <v>46</v>
      </c>
      <c r="H6257" s="5" t="s">
        <v>21</v>
      </c>
      <c r="I6257" s="5" t="s">
        <v>15271</v>
      </c>
      <c r="J6257" s="12" t="str">
        <f>HYPERLINK("https://www.boe.es/gazeta/dias/1802/01/15/pdfs/GMD-1802-5.pdf#page=2","Abrir facsímil")</f>
        <v>Abrir facsímil</v>
      </c>
      <c r="K6257" s="15" t="s">
        <v>23</v>
      </c>
    </row>
    <row r="6258" spans="1:11" ht="42" customHeight="1">
      <c r="A6258" s="4" t="s">
        <v>15266</v>
      </c>
      <c r="B6258" s="5" t="s">
        <v>15267</v>
      </c>
      <c r="C6258" s="5" t="s">
        <v>18</v>
      </c>
      <c r="D6258" s="5" t="s">
        <v>19</v>
      </c>
      <c r="E6258" s="5" t="s">
        <v>635</v>
      </c>
      <c r="F6258" s="9">
        <v>47</v>
      </c>
      <c r="G6258" s="9">
        <v>570</v>
      </c>
      <c r="H6258" s="5" t="s">
        <v>21</v>
      </c>
      <c r="I6258" s="5" t="s">
        <v>15272</v>
      </c>
      <c r="J6258" s="12" t="str">
        <f>HYPERLINK("https://www.boe.es/gazeta/dias/1802/06/11/pdfs/GMD-1802-47.pdf#page=6","Abrir facsímil")</f>
        <v>Abrir facsímil</v>
      </c>
      <c r="K6258" s="15" t="s">
        <v>23</v>
      </c>
    </row>
    <row r="6259" spans="1:11" ht="42" customHeight="1">
      <c r="A6259" s="4" t="s">
        <v>15273</v>
      </c>
      <c r="B6259" s="5" t="s">
        <v>15273</v>
      </c>
      <c r="C6259" s="5" t="s">
        <v>18</v>
      </c>
      <c r="D6259" s="5" t="s">
        <v>19</v>
      </c>
      <c r="E6259" s="5" t="s">
        <v>20</v>
      </c>
      <c r="F6259" s="9">
        <v>84</v>
      </c>
      <c r="G6259" s="9">
        <v>1044</v>
      </c>
      <c r="H6259" s="5" t="s">
        <v>21</v>
      </c>
      <c r="I6259" s="5" t="s">
        <v>15274</v>
      </c>
      <c r="J6259" s="12" t="str">
        <f>HYPERLINK("https://www.boe.es/gazeta/dias/1802/10/15/pdfs/GMD-1802-84.pdf#page=12","Abrir facsímil")</f>
        <v>Abrir facsímil</v>
      </c>
      <c r="K6259" s="15" t="s">
        <v>23</v>
      </c>
    </row>
    <row r="6260" spans="1:11" ht="42" customHeight="1">
      <c r="A6260" s="4" t="s">
        <v>15275</v>
      </c>
      <c r="B6260" s="5" t="s">
        <v>15275</v>
      </c>
      <c r="C6260" s="5" t="s">
        <v>160</v>
      </c>
      <c r="D6260" s="5" t="s">
        <v>91</v>
      </c>
      <c r="E6260" s="5" t="s">
        <v>1332</v>
      </c>
      <c r="F6260" s="9">
        <v>4</v>
      </c>
      <c r="G6260" s="9">
        <v>34</v>
      </c>
      <c r="H6260" s="5" t="s">
        <v>21</v>
      </c>
      <c r="I6260" s="5" t="s">
        <v>15276</v>
      </c>
      <c r="J6260" s="12" t="str">
        <f>HYPERLINK("https://www.boe.es/gazeta/dias/1802/01/12/pdfs/GMD-1802-4.pdf#page=6","Abrir facsímil")</f>
        <v>Abrir facsímil</v>
      </c>
      <c r="K6260" s="15" t="s">
        <v>23</v>
      </c>
    </row>
    <row r="6261" spans="1:11" ht="42" customHeight="1">
      <c r="A6261" s="4" t="s">
        <v>15277</v>
      </c>
      <c r="B6261" s="5" t="s">
        <v>15277</v>
      </c>
      <c r="C6261" s="5" t="s">
        <v>35</v>
      </c>
      <c r="D6261" s="5" t="s">
        <v>36</v>
      </c>
      <c r="E6261" s="5" t="s">
        <v>332</v>
      </c>
      <c r="F6261" s="9">
        <v>24</v>
      </c>
      <c r="G6261" s="9">
        <v>270</v>
      </c>
      <c r="H6261" s="5" t="s">
        <v>21</v>
      </c>
      <c r="I6261" s="5" t="s">
        <v>15278</v>
      </c>
      <c r="J6261" s="12" t="str">
        <f>HYPERLINK("https://www.boe.es/gazeta/dias/1802/03/23/pdfs/GMD-1802-24.pdf#page=6","Abrir facsímil")</f>
        <v>Abrir facsímil</v>
      </c>
      <c r="K6261" s="15" t="s">
        <v>23</v>
      </c>
    </row>
    <row r="6262" spans="1:11" ht="42" customHeight="1">
      <c r="A6262" s="4" t="s">
        <v>15279</v>
      </c>
      <c r="B6262" s="5" t="s">
        <v>15280</v>
      </c>
      <c r="C6262" s="5" t="s">
        <v>35</v>
      </c>
      <c r="D6262" s="5" t="s">
        <v>36</v>
      </c>
      <c r="E6262" s="5" t="s">
        <v>481</v>
      </c>
      <c r="F6262" s="9">
        <v>79</v>
      </c>
      <c r="G6262" s="9">
        <v>970</v>
      </c>
      <c r="H6262" s="5" t="s">
        <v>21</v>
      </c>
      <c r="I6262" s="5" t="s">
        <v>15281</v>
      </c>
      <c r="J6262" s="12" t="str">
        <f>HYPERLINK("https://www.boe.es/gazeta/dias/1802/09/28/pdfs/GMD-1802-79.pdf#page=6","Abrir facsímil")</f>
        <v>Abrir facsímil</v>
      </c>
      <c r="K6262" s="15" t="s">
        <v>23</v>
      </c>
    </row>
    <row r="6263" spans="1:11" ht="42" customHeight="1">
      <c r="A6263" s="4" t="s">
        <v>15282</v>
      </c>
      <c r="B6263" s="5" t="s">
        <v>15283</v>
      </c>
      <c r="C6263" s="5" t="s">
        <v>18</v>
      </c>
      <c r="D6263" s="5" t="s">
        <v>19</v>
      </c>
      <c r="E6263" s="5" t="s">
        <v>49</v>
      </c>
      <c r="F6263" s="9">
        <v>83</v>
      </c>
      <c r="G6263" s="9">
        <v>1023</v>
      </c>
      <c r="H6263" s="5" t="s">
        <v>21</v>
      </c>
      <c r="I6263" s="5" t="s">
        <v>15284</v>
      </c>
      <c r="J6263" s="12" t="str">
        <f>HYPERLINK("https://www.boe.es/gazeta/dias/1802/10/12/pdfs/GMD-1802-83.pdf#page=11","Abrir facsímil")</f>
        <v>Abrir facsímil</v>
      </c>
      <c r="K6263" s="15" t="s">
        <v>23</v>
      </c>
    </row>
    <row r="6264" spans="1:11" ht="42" customHeight="1">
      <c r="A6264" s="4" t="s">
        <v>15285</v>
      </c>
      <c r="B6264" s="5" t="s">
        <v>15286</v>
      </c>
      <c r="C6264" s="5" t="s">
        <v>42</v>
      </c>
      <c r="D6264" s="5" t="s">
        <v>43</v>
      </c>
      <c r="E6264" s="5" t="s">
        <v>44</v>
      </c>
      <c r="F6264" s="9">
        <v>99</v>
      </c>
      <c r="G6264" s="9" t="s">
        <v>322</v>
      </c>
      <c r="H6264" s="5" t="s">
        <v>21</v>
      </c>
      <c r="I6264" s="5" t="s">
        <v>15287</v>
      </c>
      <c r="J6264" s="12" t="str">
        <f>HYPERLINK("https://www.boe.es/gazeta/dias/1802/12/07/pdfs/GMD-D-1802-99.pdf#page=10","Abrir facsímil")</f>
        <v>Abrir facsímil</v>
      </c>
      <c r="K6264" s="15" t="s">
        <v>23</v>
      </c>
    </row>
    <row r="6265" spans="1:11" ht="42" customHeight="1">
      <c r="A6265" s="4" t="s">
        <v>15288</v>
      </c>
      <c r="B6265" s="5" t="s">
        <v>15289</v>
      </c>
      <c r="C6265" s="5" t="s">
        <v>29</v>
      </c>
      <c r="D6265" s="5" t="s">
        <v>30</v>
      </c>
      <c r="E6265" s="5" t="s">
        <v>751</v>
      </c>
      <c r="F6265" s="9">
        <v>98</v>
      </c>
      <c r="G6265" s="9">
        <v>1214</v>
      </c>
      <c r="H6265" s="5" t="s">
        <v>21</v>
      </c>
      <c r="I6265" s="5" t="s">
        <v>15290</v>
      </c>
      <c r="J6265" s="12" t="str">
        <f>HYPERLINK("https://www.boe.es/gazeta/dias/1802/12/03/pdfs/GMD-1802-98.pdf#page=10","Abrir facsímil")</f>
        <v>Abrir facsímil</v>
      </c>
      <c r="K6265" s="15" t="s">
        <v>23</v>
      </c>
    </row>
    <row r="6266" spans="1:11" ht="42" customHeight="1">
      <c r="A6266" s="4" t="s">
        <v>15291</v>
      </c>
      <c r="B6266" s="5" t="s">
        <v>15292</v>
      </c>
      <c r="C6266" s="5" t="s">
        <v>18</v>
      </c>
      <c r="D6266" s="5" t="s">
        <v>19</v>
      </c>
      <c r="E6266" s="5" t="s">
        <v>49</v>
      </c>
      <c r="F6266" s="9">
        <v>83</v>
      </c>
      <c r="G6266" s="9">
        <v>1022</v>
      </c>
      <c r="H6266" s="5" t="s">
        <v>21</v>
      </c>
      <c r="I6266" s="5" t="s">
        <v>15293</v>
      </c>
      <c r="J6266" s="12" t="str">
        <f>HYPERLINK("https://www.boe.es/gazeta/dias/1802/10/12/pdfs/GMD-1802-83.pdf#page=10","Abrir facsímil")</f>
        <v>Abrir facsímil</v>
      </c>
      <c r="K6266" s="15" t="s">
        <v>23</v>
      </c>
    </row>
    <row r="6267" spans="1:11" ht="42" customHeight="1">
      <c r="A6267" s="4" t="s">
        <v>15294</v>
      </c>
      <c r="B6267" s="5" t="s">
        <v>15295</v>
      </c>
      <c r="C6267" s="5" t="s">
        <v>18</v>
      </c>
      <c r="D6267" s="5" t="s">
        <v>19</v>
      </c>
      <c r="E6267" s="5" t="s">
        <v>49</v>
      </c>
      <c r="F6267" s="9">
        <v>83</v>
      </c>
      <c r="G6267" s="9">
        <v>1020</v>
      </c>
      <c r="H6267" s="5" t="s">
        <v>21</v>
      </c>
      <c r="I6267" s="5" t="s">
        <v>15296</v>
      </c>
      <c r="J6267" s="12" t="str">
        <f>HYPERLINK("https://www.boe.es/gazeta/dias/1802/10/12/pdfs/GMD-1802-83.pdf#page=8","Abrir facsímil")</f>
        <v>Abrir facsímil</v>
      </c>
      <c r="K6267" s="15" t="s">
        <v>23</v>
      </c>
    </row>
    <row r="6268" spans="1:11" ht="42" customHeight="1">
      <c r="A6268" s="4" t="s">
        <v>15297</v>
      </c>
      <c r="B6268" s="5" t="s">
        <v>15298</v>
      </c>
      <c r="C6268" s="5" t="s">
        <v>18</v>
      </c>
      <c r="D6268" s="5" t="s">
        <v>19</v>
      </c>
      <c r="E6268" s="5" t="s">
        <v>31</v>
      </c>
      <c r="F6268" s="9">
        <v>27</v>
      </c>
      <c r="G6268" s="9">
        <v>317</v>
      </c>
      <c r="H6268" s="5" t="s">
        <v>21</v>
      </c>
      <c r="I6268" s="5" t="s">
        <v>15299</v>
      </c>
      <c r="J6268" s="12" t="str">
        <f>HYPERLINK("https://www.boe.es/gazeta/dias/1802/04/02/pdfs/GMD-1802-27.pdf#page=13","Abrir facsímil")</f>
        <v>Abrir facsímil</v>
      </c>
      <c r="K6268" s="15" t="s">
        <v>23</v>
      </c>
    </row>
    <row r="6269" spans="1:11" ht="42" customHeight="1">
      <c r="A6269" s="4" t="s">
        <v>15300</v>
      </c>
      <c r="B6269" s="5" t="s">
        <v>15301</v>
      </c>
      <c r="C6269" s="5" t="s">
        <v>18</v>
      </c>
      <c r="D6269" s="5" t="s">
        <v>19</v>
      </c>
      <c r="E6269" s="5" t="s">
        <v>20</v>
      </c>
      <c r="F6269" s="9">
        <v>84</v>
      </c>
      <c r="G6269" s="9">
        <v>1041</v>
      </c>
      <c r="H6269" s="5" t="s">
        <v>21</v>
      </c>
      <c r="I6269" s="5" t="s">
        <v>15302</v>
      </c>
      <c r="J6269" s="12" t="str">
        <f>HYPERLINK("https://www.boe.es/gazeta/dias/1802/10/15/pdfs/GMD-1802-84.pdf#page=9","Abrir facsímil")</f>
        <v>Abrir facsímil</v>
      </c>
      <c r="K6269" s="15" t="s">
        <v>23</v>
      </c>
    </row>
    <row r="6270" spans="1:11" ht="42" customHeight="1">
      <c r="A6270" s="4" t="s">
        <v>15303</v>
      </c>
      <c r="B6270" s="5" t="s">
        <v>15304</v>
      </c>
      <c r="C6270" s="5" t="s">
        <v>18</v>
      </c>
      <c r="D6270" s="5" t="s">
        <v>19</v>
      </c>
      <c r="E6270" s="5" t="s">
        <v>20</v>
      </c>
      <c r="F6270" s="9">
        <v>84</v>
      </c>
      <c r="G6270" s="9">
        <v>1041</v>
      </c>
      <c r="H6270" s="5" t="s">
        <v>21</v>
      </c>
      <c r="I6270" s="5" t="s">
        <v>15305</v>
      </c>
      <c r="J6270" s="12" t="str">
        <f>HYPERLINK("https://www.boe.es/gazeta/dias/1802/10/15/pdfs/GMD-1802-84.pdf#page=9","Abrir facsímil")</f>
        <v>Abrir facsímil</v>
      </c>
      <c r="K6270" s="15" t="s">
        <v>23</v>
      </c>
    </row>
    <row r="6271" spans="1:11" ht="42" customHeight="1">
      <c r="A6271" s="4" t="s">
        <v>15306</v>
      </c>
      <c r="B6271" s="5" t="s">
        <v>15307</v>
      </c>
      <c r="C6271" s="5" t="s">
        <v>18</v>
      </c>
      <c r="D6271" s="5" t="s">
        <v>19</v>
      </c>
      <c r="E6271" s="5" t="s">
        <v>299</v>
      </c>
      <c r="F6271" s="9">
        <v>19</v>
      </c>
      <c r="G6271" s="9">
        <v>208</v>
      </c>
      <c r="H6271" s="5" t="s">
        <v>21</v>
      </c>
      <c r="I6271" s="5" t="s">
        <v>15308</v>
      </c>
      <c r="J6271" s="12" t="str">
        <f>HYPERLINK("https://www.boe.es/gazeta/dias/1802/03/05/pdfs/GMD-1802-19.pdf#page=8","Abrir facsímil")</f>
        <v>Abrir facsímil</v>
      </c>
      <c r="K6271" s="15" t="s">
        <v>23</v>
      </c>
    </row>
    <row r="6272" spans="1:11" ht="42" customHeight="1">
      <c r="A6272" s="4" t="s">
        <v>15309</v>
      </c>
      <c r="B6272" s="5" t="s">
        <v>15310</v>
      </c>
      <c r="C6272" s="5" t="s">
        <v>90</v>
      </c>
      <c r="D6272" s="5" t="s">
        <v>91</v>
      </c>
      <c r="E6272" s="5" t="s">
        <v>1588</v>
      </c>
      <c r="F6272" s="9">
        <v>18</v>
      </c>
      <c r="G6272" s="9">
        <v>199</v>
      </c>
      <c r="H6272" s="5" t="s">
        <v>21</v>
      </c>
      <c r="I6272" s="5" t="s">
        <v>15311</v>
      </c>
      <c r="J6272" s="12" t="str">
        <f>HYPERLINK("https://www.boe.es/gazeta/dias/1802/03/02/pdfs/GMD-1802-18.pdf#page=11","Abrir facsímil")</f>
        <v>Abrir facsímil</v>
      </c>
      <c r="K6272" s="15" t="s">
        <v>23</v>
      </c>
    </row>
    <row r="6273" spans="1:11" ht="42" customHeight="1">
      <c r="A6273" s="4" t="s">
        <v>15312</v>
      </c>
      <c r="B6273" s="5" t="s">
        <v>15313</v>
      </c>
      <c r="C6273" s="5" t="s">
        <v>18</v>
      </c>
      <c r="D6273" s="5" t="s">
        <v>19</v>
      </c>
      <c r="E6273" s="5" t="s">
        <v>20</v>
      </c>
      <c r="F6273" s="9">
        <v>84</v>
      </c>
      <c r="G6273" s="9">
        <v>1041</v>
      </c>
      <c r="H6273" s="5" t="s">
        <v>21</v>
      </c>
      <c r="I6273" s="5" t="s">
        <v>15314</v>
      </c>
      <c r="J6273" s="12" t="str">
        <f>HYPERLINK("https://www.boe.es/gazeta/dias/1802/10/15/pdfs/GMD-1802-84.pdf#page=9","Abrir facsímil")</f>
        <v>Abrir facsímil</v>
      </c>
      <c r="K6273" s="15" t="s">
        <v>23</v>
      </c>
    </row>
    <row r="6274" spans="1:11" ht="42" customHeight="1">
      <c r="A6274" s="4" t="s">
        <v>15315</v>
      </c>
      <c r="B6274" s="5" t="s">
        <v>15316</v>
      </c>
      <c r="C6274" s="5" t="s">
        <v>42</v>
      </c>
      <c r="D6274" s="5" t="s">
        <v>43</v>
      </c>
      <c r="E6274" s="5" t="s">
        <v>44</v>
      </c>
      <c r="F6274" s="9">
        <v>99</v>
      </c>
      <c r="G6274" s="9" t="s">
        <v>544</v>
      </c>
      <c r="H6274" s="5" t="s">
        <v>21</v>
      </c>
      <c r="I6274" s="5" t="s">
        <v>15317</v>
      </c>
      <c r="J6274" s="12" t="str">
        <f>HYPERLINK("https://www.boe.es/gazeta/dias/1802/12/07/pdfs/GMD-D-1802-99.pdf#page=11","Abrir facsímil")</f>
        <v>Abrir facsímil</v>
      </c>
      <c r="K6274" s="15" t="s">
        <v>23</v>
      </c>
    </row>
    <row r="6275" spans="1:11" ht="42" customHeight="1">
      <c r="A6275" s="4" t="s">
        <v>15318</v>
      </c>
      <c r="B6275" s="5" t="s">
        <v>15319</v>
      </c>
      <c r="C6275" s="5" t="s">
        <v>29</v>
      </c>
      <c r="D6275" s="5" t="s">
        <v>30</v>
      </c>
      <c r="E6275" s="5" t="s">
        <v>188</v>
      </c>
      <c r="F6275" s="9">
        <v>49</v>
      </c>
      <c r="G6275" s="9">
        <v>599</v>
      </c>
      <c r="H6275" s="5" t="s">
        <v>21</v>
      </c>
      <c r="I6275" s="5" t="s">
        <v>15320</v>
      </c>
      <c r="J6275" s="12" t="str">
        <f>HYPERLINK("https://www.boe.es/gazeta/dias/1802/06/18/pdfs/GMD-1802-49.pdf#page=11","Abrir facsímil")</f>
        <v>Abrir facsímil</v>
      </c>
      <c r="K6275" s="15" t="s">
        <v>23</v>
      </c>
    </row>
    <row r="6276" spans="1:11" ht="42" customHeight="1">
      <c r="A6276" s="4" t="s">
        <v>15321</v>
      </c>
      <c r="B6276" s="5" t="s">
        <v>15322</v>
      </c>
      <c r="C6276" s="5" t="s">
        <v>18</v>
      </c>
      <c r="D6276" s="5" t="s">
        <v>19</v>
      </c>
      <c r="E6276" s="5" t="s">
        <v>49</v>
      </c>
      <c r="F6276" s="9">
        <v>83</v>
      </c>
      <c r="G6276" s="9">
        <v>1025</v>
      </c>
      <c r="H6276" s="5" t="s">
        <v>21</v>
      </c>
      <c r="I6276" s="5" t="s">
        <v>15323</v>
      </c>
      <c r="J6276" s="12" t="str">
        <f>HYPERLINK("https://www.boe.es/gazeta/dias/1802/10/12/pdfs/GMD-1802-83.pdf#page=13","Abrir facsímil")</f>
        <v>Abrir facsímil</v>
      </c>
      <c r="K6276" s="15" t="s">
        <v>23</v>
      </c>
    </row>
    <row r="6277" spans="1:11" ht="42" customHeight="1">
      <c r="A6277" s="4" t="s">
        <v>15324</v>
      </c>
      <c r="B6277" s="5" t="s">
        <v>15325</v>
      </c>
      <c r="C6277" s="5" t="s">
        <v>29</v>
      </c>
      <c r="D6277" s="5" t="s">
        <v>30</v>
      </c>
      <c r="E6277" s="5" t="s">
        <v>1381</v>
      </c>
      <c r="F6277" s="9">
        <v>17</v>
      </c>
      <c r="G6277" s="9">
        <v>185</v>
      </c>
      <c r="H6277" s="5" t="s">
        <v>21</v>
      </c>
      <c r="I6277" s="5" t="s">
        <v>15326</v>
      </c>
      <c r="J6277" s="12" t="str">
        <f>HYPERLINK("https://www.boe.es/gazeta/dias/1802/02/26/pdfs/GMD-1802-17.pdf#page=9","Abrir facsímil")</f>
        <v>Abrir facsímil</v>
      </c>
      <c r="K6277" s="15" t="s">
        <v>23</v>
      </c>
    </row>
    <row r="6278" spans="1:11" ht="42" customHeight="1">
      <c r="A6278" s="4" t="s">
        <v>15327</v>
      </c>
      <c r="B6278" s="5" t="s">
        <v>15328</v>
      </c>
      <c r="C6278" s="5" t="s">
        <v>18</v>
      </c>
      <c r="D6278" s="5" t="s">
        <v>19</v>
      </c>
      <c r="E6278" s="5" t="s">
        <v>49</v>
      </c>
      <c r="F6278" s="9">
        <v>83</v>
      </c>
      <c r="G6278" s="9">
        <v>1025</v>
      </c>
      <c r="H6278" s="5" t="s">
        <v>21</v>
      </c>
      <c r="I6278" s="5" t="s">
        <v>15329</v>
      </c>
      <c r="J6278" s="12" t="str">
        <f>HYPERLINK("https://www.boe.es/gazeta/dias/1802/10/12/pdfs/GMD-1802-83.pdf#page=13","Abrir facsímil")</f>
        <v>Abrir facsímil</v>
      </c>
      <c r="K6278" s="15" t="s">
        <v>23</v>
      </c>
    </row>
    <row r="6279" spans="1:11" ht="42" customHeight="1">
      <c r="A6279" s="4" t="s">
        <v>15330</v>
      </c>
      <c r="B6279" s="5" t="s">
        <v>15331</v>
      </c>
      <c r="C6279" s="5" t="s">
        <v>160</v>
      </c>
      <c r="D6279" s="5" t="s">
        <v>91</v>
      </c>
      <c r="E6279" s="5" t="s">
        <v>219</v>
      </c>
      <c r="F6279" s="9">
        <v>81</v>
      </c>
      <c r="G6279" s="9">
        <v>998</v>
      </c>
      <c r="H6279" s="5" t="s">
        <v>21</v>
      </c>
      <c r="I6279" s="5" t="s">
        <v>15332</v>
      </c>
      <c r="J6279" s="12" t="str">
        <f>HYPERLINK("https://www.boe.es/gazeta/dias/1802/10/05/pdfs/GMD-1802-81.pdf#page=10","Abrir facsímil")</f>
        <v>Abrir facsímil</v>
      </c>
      <c r="K6279" s="15" t="s">
        <v>23</v>
      </c>
    </row>
    <row r="6280" spans="1:11" ht="42" customHeight="1">
      <c r="A6280" s="4" t="s">
        <v>15333</v>
      </c>
      <c r="B6280" s="5" t="s">
        <v>15334</v>
      </c>
      <c r="C6280" s="5" t="s">
        <v>42</v>
      </c>
      <c r="D6280" s="5" t="s">
        <v>43</v>
      </c>
      <c r="E6280" s="5" t="s">
        <v>44</v>
      </c>
      <c r="F6280" s="9">
        <v>99</v>
      </c>
      <c r="G6280" s="9" t="s">
        <v>251</v>
      </c>
      <c r="H6280" s="5" t="s">
        <v>21</v>
      </c>
      <c r="I6280" s="5" t="s">
        <v>15335</v>
      </c>
      <c r="J6280" s="12" t="str">
        <f>HYPERLINK("https://www.boe.es/gazeta/dias/1802/12/07/pdfs/GMD-D-1802-99.pdf#page=6","Abrir facsímil")</f>
        <v>Abrir facsímil</v>
      </c>
      <c r="K6280" s="15" t="s">
        <v>23</v>
      </c>
    </row>
    <row r="6281" spans="1:11" ht="42" customHeight="1">
      <c r="A6281" s="4" t="s">
        <v>15336</v>
      </c>
      <c r="B6281" s="5" t="s">
        <v>15337</v>
      </c>
      <c r="C6281" s="5" t="s">
        <v>42</v>
      </c>
      <c r="D6281" s="5" t="s">
        <v>43</v>
      </c>
      <c r="E6281" s="5" t="s">
        <v>44</v>
      </c>
      <c r="F6281" s="9">
        <v>99</v>
      </c>
      <c r="G6281" s="9" t="s">
        <v>272</v>
      </c>
      <c r="H6281" s="5" t="s">
        <v>21</v>
      </c>
      <c r="I6281" s="5" t="s">
        <v>15338</v>
      </c>
      <c r="J6281" s="12" t="str">
        <f>HYPERLINK("https://www.boe.es/gazeta/dias/1802/12/07/pdfs/GMD-D-1802-99.pdf#page=3","Abrir facsímil")</f>
        <v>Abrir facsímil</v>
      </c>
      <c r="K6281" s="15" t="s">
        <v>23</v>
      </c>
    </row>
    <row r="6282" spans="1:11" ht="42" customHeight="1">
      <c r="A6282" s="4" t="s">
        <v>15339</v>
      </c>
      <c r="B6282" s="5" t="s">
        <v>15340</v>
      </c>
      <c r="C6282" s="5" t="s">
        <v>18</v>
      </c>
      <c r="D6282" s="5" t="s">
        <v>19</v>
      </c>
      <c r="E6282" s="5" t="s">
        <v>900</v>
      </c>
      <c r="F6282" s="9">
        <v>16</v>
      </c>
      <c r="G6282" s="9">
        <v>170</v>
      </c>
      <c r="H6282" s="5" t="s">
        <v>21</v>
      </c>
      <c r="I6282" s="5" t="s">
        <v>15341</v>
      </c>
      <c r="J6282" s="12" t="str">
        <f>HYPERLINK("https://www.boe.es/gazeta/dias/1802/02/23/pdfs/GMD-1802-16.pdf#page=10","Abrir facsímil")</f>
        <v>Abrir facsímil</v>
      </c>
      <c r="K6282" s="15" t="s">
        <v>23</v>
      </c>
    </row>
    <row r="6283" spans="1:11" ht="42" customHeight="1">
      <c r="A6283" s="4" t="s">
        <v>15342</v>
      </c>
      <c r="B6283" s="5" t="s">
        <v>15343</v>
      </c>
      <c r="C6283" s="5" t="s">
        <v>29</v>
      </c>
      <c r="D6283" s="5" t="s">
        <v>30</v>
      </c>
      <c r="E6283" s="5" t="s">
        <v>196</v>
      </c>
      <c r="F6283" s="9">
        <v>2</v>
      </c>
      <c r="G6283" s="9">
        <v>18</v>
      </c>
      <c r="H6283" s="5" t="s">
        <v>21</v>
      </c>
      <c r="I6283" s="5" t="s">
        <v>15344</v>
      </c>
      <c r="J6283" s="12" t="str">
        <f>HYPERLINK("https://www.boe.es/gazeta/dias/1802/01/05/pdfs/GMD-1802-2.pdf#page=10","Abrir facsímil")</f>
        <v>Abrir facsímil</v>
      </c>
      <c r="K6283" s="15" t="s">
        <v>23</v>
      </c>
    </row>
    <row r="6284" spans="1:11" ht="42" customHeight="1">
      <c r="A6284" s="4" t="s">
        <v>15345</v>
      </c>
      <c r="B6284" s="5" t="s">
        <v>15346</v>
      </c>
      <c r="C6284" s="5" t="s">
        <v>29</v>
      </c>
      <c r="D6284" s="5" t="s">
        <v>30</v>
      </c>
      <c r="E6284" s="5" t="s">
        <v>292</v>
      </c>
      <c r="F6284" s="9">
        <v>62</v>
      </c>
      <c r="G6284" s="9">
        <v>752</v>
      </c>
      <c r="H6284" s="5" t="s">
        <v>21</v>
      </c>
      <c r="I6284" s="5" t="s">
        <v>15347</v>
      </c>
      <c r="J6284" s="12" t="str">
        <f>HYPERLINK("https://www.boe.es/gazeta/dias/1802/07/30/pdfs/GMD-1802-62.pdf#page=8","Abrir facsímil")</f>
        <v>Abrir facsímil</v>
      </c>
      <c r="K6284" s="15" t="s">
        <v>23</v>
      </c>
    </row>
    <row r="6285" spans="1:11" ht="42" customHeight="1">
      <c r="A6285" s="4" t="s">
        <v>15348</v>
      </c>
      <c r="B6285" s="5" t="s">
        <v>15348</v>
      </c>
      <c r="C6285" s="5" t="s">
        <v>35</v>
      </c>
      <c r="D6285" s="5" t="s">
        <v>36</v>
      </c>
      <c r="E6285" s="5" t="s">
        <v>710</v>
      </c>
      <c r="F6285" s="9">
        <v>85</v>
      </c>
      <c r="G6285" s="9">
        <v>1052</v>
      </c>
      <c r="H6285" s="5" t="s">
        <v>21</v>
      </c>
      <c r="I6285" s="5" t="s">
        <v>15349</v>
      </c>
      <c r="J6285" s="12" t="str">
        <f>HYPERLINK("https://www.boe.es/gazeta/dias/1802/10/19/pdfs/GMD-1802-85.pdf#page=4","Abrir facsímil")</f>
        <v>Abrir facsímil</v>
      </c>
      <c r="K6285" s="15" t="s">
        <v>23</v>
      </c>
    </row>
    <row r="6286" spans="1:11" ht="42" customHeight="1">
      <c r="A6286" s="4" t="s">
        <v>15350</v>
      </c>
      <c r="B6286" s="5" t="s">
        <v>15350</v>
      </c>
      <c r="C6286" s="5" t="s">
        <v>18</v>
      </c>
      <c r="D6286" s="5" t="s">
        <v>19</v>
      </c>
      <c r="E6286" s="5" t="s">
        <v>20</v>
      </c>
      <c r="F6286" s="9">
        <v>84</v>
      </c>
      <c r="G6286" s="9">
        <v>1041</v>
      </c>
      <c r="H6286" s="5" t="s">
        <v>21</v>
      </c>
      <c r="I6286" s="5" t="s">
        <v>15351</v>
      </c>
      <c r="J6286" s="12" t="str">
        <f>HYPERLINK("https://www.boe.es/gazeta/dias/1802/10/15/pdfs/GMD-1802-84.pdf#page=9","Abrir facsímil")</f>
        <v>Abrir facsímil</v>
      </c>
      <c r="K6286" s="15" t="s">
        <v>23</v>
      </c>
    </row>
    <row r="6287" spans="1:11" ht="42" customHeight="1">
      <c r="A6287" s="4" t="s">
        <v>15352</v>
      </c>
      <c r="B6287" s="5" t="s">
        <v>15353</v>
      </c>
      <c r="C6287" s="5" t="s">
        <v>35</v>
      </c>
      <c r="D6287" s="5" t="s">
        <v>36</v>
      </c>
      <c r="E6287" s="5" t="s">
        <v>436</v>
      </c>
      <c r="F6287" s="9">
        <v>58</v>
      </c>
      <c r="G6287" s="9">
        <v>698</v>
      </c>
      <c r="H6287" s="5" t="s">
        <v>21</v>
      </c>
      <c r="I6287" s="5" t="s">
        <v>15354</v>
      </c>
      <c r="J6287" s="12" t="str">
        <f>HYPERLINK("https://www.boe.es/gazeta/dias/1802/07/20/pdfs/GMD-1802-58.pdf#page=6","Abrir facsímil")</f>
        <v>Abrir facsímil</v>
      </c>
      <c r="K6287" s="15" t="s">
        <v>23</v>
      </c>
    </row>
    <row r="6288" spans="1:11" ht="42" customHeight="1">
      <c r="A6288" s="4" t="s">
        <v>15352</v>
      </c>
      <c r="B6288" s="5" t="s">
        <v>15353</v>
      </c>
      <c r="C6288" s="5" t="s">
        <v>35</v>
      </c>
      <c r="D6288" s="5" t="s">
        <v>36</v>
      </c>
      <c r="E6288" s="5" t="s">
        <v>881</v>
      </c>
      <c r="F6288" s="9">
        <v>65</v>
      </c>
      <c r="G6288" s="9">
        <v>789</v>
      </c>
      <c r="H6288" s="5" t="s">
        <v>21</v>
      </c>
      <c r="I6288" s="5" t="s">
        <v>15355</v>
      </c>
      <c r="J6288" s="12" t="str">
        <f>HYPERLINK("https://www.boe.es/gazeta/dias/1802/08/10/pdfs/GMD-1802-65.pdf#page=5","Abrir facsímil")</f>
        <v>Abrir facsímil</v>
      </c>
      <c r="K6288" s="15" t="s">
        <v>23</v>
      </c>
    </row>
    <row r="6289" spans="1:11" ht="42" customHeight="1">
      <c r="A6289" s="4" t="s">
        <v>15352</v>
      </c>
      <c r="B6289" s="5" t="s">
        <v>15353</v>
      </c>
      <c r="C6289" s="5" t="s">
        <v>29</v>
      </c>
      <c r="D6289" s="5" t="s">
        <v>30</v>
      </c>
      <c r="E6289" s="5" t="s">
        <v>826</v>
      </c>
      <c r="F6289" s="9">
        <v>67</v>
      </c>
      <c r="G6289" s="9">
        <v>816</v>
      </c>
      <c r="H6289" s="5" t="s">
        <v>21</v>
      </c>
      <c r="I6289" s="5" t="s">
        <v>15356</v>
      </c>
      <c r="J6289" s="12" t="str">
        <f>HYPERLINK("https://www.boe.es/gazeta/dias/1802/08/17/pdfs/GMD-1802-67.pdf#page=4","Abrir facsímil")</f>
        <v>Abrir facsímil</v>
      </c>
      <c r="K6289" s="15" t="s">
        <v>23</v>
      </c>
    </row>
    <row r="6290" spans="1:11" ht="42" customHeight="1">
      <c r="A6290" s="4" t="s">
        <v>15357</v>
      </c>
      <c r="B6290" s="5" t="s">
        <v>15358</v>
      </c>
      <c r="C6290" s="5" t="s">
        <v>90</v>
      </c>
      <c r="D6290" s="5" t="s">
        <v>91</v>
      </c>
      <c r="E6290" s="5" t="s">
        <v>86</v>
      </c>
      <c r="F6290" s="9">
        <v>26</v>
      </c>
      <c r="G6290" s="9">
        <v>293</v>
      </c>
      <c r="H6290" s="5" t="s">
        <v>21</v>
      </c>
      <c r="I6290" s="5" t="s">
        <v>15359</v>
      </c>
      <c r="J6290" s="12" t="str">
        <f>HYPERLINK("https://www.boe.es/gazeta/dias/1802/03/30/pdfs/GMD-1802-26.pdf#page=5","Abrir facsímil")</f>
        <v>Abrir facsímil</v>
      </c>
      <c r="K6290" s="15" t="s">
        <v>23</v>
      </c>
    </row>
    <row r="6291" spans="1:11" ht="42" customHeight="1">
      <c r="A6291" s="4" t="s">
        <v>15360</v>
      </c>
      <c r="B6291" s="5" t="s">
        <v>15360</v>
      </c>
      <c r="C6291" s="5" t="s">
        <v>35</v>
      </c>
      <c r="D6291" s="5" t="s">
        <v>36</v>
      </c>
      <c r="E6291" s="5" t="s">
        <v>49</v>
      </c>
      <c r="F6291" s="9">
        <v>83</v>
      </c>
      <c r="G6291" s="9">
        <v>1015</v>
      </c>
      <c r="H6291" s="5" t="s">
        <v>21</v>
      </c>
      <c r="I6291" s="5" t="s">
        <v>15361</v>
      </c>
      <c r="J6291" s="12" t="str">
        <f>HYPERLINK("https://www.boe.es/gazeta/dias/1802/10/12/pdfs/GMD-1802-83.pdf#page=3","Abrir facsímil")</f>
        <v>Abrir facsímil</v>
      </c>
      <c r="K6291" s="15" t="s">
        <v>23</v>
      </c>
    </row>
    <row r="6292" spans="1:11" ht="42" customHeight="1">
      <c r="A6292" s="4" t="s">
        <v>15360</v>
      </c>
      <c r="B6292" s="5" t="s">
        <v>15360</v>
      </c>
      <c r="C6292" s="5" t="s">
        <v>35</v>
      </c>
      <c r="D6292" s="5" t="s">
        <v>36</v>
      </c>
      <c r="E6292" s="5" t="s">
        <v>311</v>
      </c>
      <c r="F6292" s="9">
        <v>88</v>
      </c>
      <c r="G6292" s="9">
        <v>1091</v>
      </c>
      <c r="H6292" s="5" t="s">
        <v>21</v>
      </c>
      <c r="I6292" s="5" t="s">
        <v>15362</v>
      </c>
      <c r="J6292" s="12" t="str">
        <f>HYPERLINK("https://www.boe.es/gazeta/dias/1802/10/29/pdfs/GMD-1802-88.pdf#page=7","Abrir facsímil")</f>
        <v>Abrir facsímil</v>
      </c>
      <c r="K6292" s="15" t="s">
        <v>23</v>
      </c>
    </row>
    <row r="6293" spans="1:11" ht="42" customHeight="1">
      <c r="A6293" s="4" t="s">
        <v>15363</v>
      </c>
      <c r="B6293" s="5" t="s">
        <v>15363</v>
      </c>
      <c r="C6293" s="5" t="s">
        <v>29</v>
      </c>
      <c r="D6293" s="5" t="s">
        <v>30</v>
      </c>
      <c r="E6293" s="5" t="s">
        <v>814</v>
      </c>
      <c r="F6293" s="9">
        <v>41</v>
      </c>
      <c r="G6293" s="9">
        <v>488</v>
      </c>
      <c r="H6293" s="5" t="s">
        <v>21</v>
      </c>
      <c r="I6293" s="5" t="s">
        <v>15364</v>
      </c>
      <c r="J6293" s="12" t="str">
        <f>HYPERLINK("https://www.boe.es/gazeta/dias/1802/05/21/pdfs/GMD-1802-41.pdf#page=4","Abrir facsímil")</f>
        <v>Abrir facsímil</v>
      </c>
      <c r="K6293" s="15" t="s">
        <v>23</v>
      </c>
    </row>
    <row r="6294" spans="1:11" ht="42" customHeight="1">
      <c r="A6294" s="4" t="s">
        <v>15365</v>
      </c>
      <c r="B6294" s="5" t="s">
        <v>15366</v>
      </c>
      <c r="C6294" s="5" t="s">
        <v>18</v>
      </c>
      <c r="D6294" s="5" t="s">
        <v>19</v>
      </c>
      <c r="E6294" s="5" t="s">
        <v>20</v>
      </c>
      <c r="F6294" s="9">
        <v>84</v>
      </c>
      <c r="G6294" s="9">
        <v>1041</v>
      </c>
      <c r="H6294" s="5" t="s">
        <v>21</v>
      </c>
      <c r="I6294" s="5" t="s">
        <v>15367</v>
      </c>
      <c r="J6294" s="12" t="str">
        <f>HYPERLINK("https://www.boe.es/gazeta/dias/1802/10/15/pdfs/GMD-1802-84.pdf#page=9","Abrir facsímil")</f>
        <v>Abrir facsímil</v>
      </c>
      <c r="K6294" s="15" t="s">
        <v>23</v>
      </c>
    </row>
    <row r="6295" spans="1:11" ht="42" customHeight="1">
      <c r="A6295" s="4" t="s">
        <v>15368</v>
      </c>
      <c r="B6295" s="5" t="s">
        <v>15369</v>
      </c>
      <c r="C6295" s="5" t="s">
        <v>18</v>
      </c>
      <c r="D6295" s="5" t="s">
        <v>19</v>
      </c>
      <c r="E6295" s="5" t="s">
        <v>20</v>
      </c>
      <c r="F6295" s="9">
        <v>84</v>
      </c>
      <c r="G6295" s="9">
        <v>1041</v>
      </c>
      <c r="H6295" s="5" t="s">
        <v>21</v>
      </c>
      <c r="I6295" s="5" t="s">
        <v>15370</v>
      </c>
      <c r="J6295" s="12" t="str">
        <f>HYPERLINK("https://www.boe.es/gazeta/dias/1802/10/15/pdfs/GMD-1802-84.pdf#page=9","Abrir facsímil")</f>
        <v>Abrir facsímil</v>
      </c>
      <c r="K6295" s="15" t="s">
        <v>23</v>
      </c>
    </row>
    <row r="6296" spans="1:11" ht="42" customHeight="1">
      <c r="A6296" s="4" t="s">
        <v>15371</v>
      </c>
      <c r="B6296" s="5" t="s">
        <v>15372</v>
      </c>
      <c r="C6296" s="5" t="s">
        <v>18</v>
      </c>
      <c r="D6296" s="5" t="s">
        <v>19</v>
      </c>
      <c r="E6296" s="5" t="s">
        <v>20</v>
      </c>
      <c r="F6296" s="9">
        <v>84</v>
      </c>
      <c r="G6296" s="9">
        <v>1044</v>
      </c>
      <c r="H6296" s="5" t="s">
        <v>21</v>
      </c>
      <c r="I6296" s="5" t="s">
        <v>15373</v>
      </c>
      <c r="J6296" s="12" t="str">
        <f>HYPERLINK("https://www.boe.es/gazeta/dias/1802/10/15/pdfs/GMD-1802-84.pdf#page=12","Abrir facsímil")</f>
        <v>Abrir facsímil</v>
      </c>
      <c r="K6296" s="15" t="s">
        <v>23</v>
      </c>
    </row>
    <row r="6297" spans="1:11" ht="42" customHeight="1">
      <c r="A6297" s="4" t="s">
        <v>15374</v>
      </c>
      <c r="B6297" s="5" t="s">
        <v>15375</v>
      </c>
      <c r="C6297" s="5" t="s">
        <v>18</v>
      </c>
      <c r="D6297" s="5" t="s">
        <v>19</v>
      </c>
      <c r="E6297" s="5" t="s">
        <v>49</v>
      </c>
      <c r="F6297" s="9">
        <v>83</v>
      </c>
      <c r="G6297" s="9">
        <v>1022</v>
      </c>
      <c r="H6297" s="5" t="s">
        <v>21</v>
      </c>
      <c r="I6297" s="5" t="s">
        <v>15376</v>
      </c>
      <c r="J6297" s="12" t="str">
        <f>HYPERLINK("https://www.boe.es/gazeta/dias/1802/10/12/pdfs/GMD-1802-83.pdf#page=10","Abrir facsímil")</f>
        <v>Abrir facsímil</v>
      </c>
      <c r="K6297" s="15" t="s">
        <v>23</v>
      </c>
    </row>
    <row r="6298" spans="1:11" ht="42" customHeight="1">
      <c r="A6298" s="4" t="s">
        <v>15377</v>
      </c>
      <c r="B6298" s="5" t="s">
        <v>15378</v>
      </c>
      <c r="C6298" s="5" t="s">
        <v>18</v>
      </c>
      <c r="D6298" s="5" t="s">
        <v>19</v>
      </c>
      <c r="E6298" s="5" t="s">
        <v>453</v>
      </c>
      <c r="F6298" s="9">
        <v>52</v>
      </c>
      <c r="G6298" s="9">
        <v>632</v>
      </c>
      <c r="H6298" s="5" t="s">
        <v>21</v>
      </c>
      <c r="I6298" s="5" t="s">
        <v>15379</v>
      </c>
      <c r="J6298" s="12" t="str">
        <f>HYPERLINK("https://www.boe.es/gazeta/dias/1802/06/29/pdfs/GMD-1802-52.pdf#page=8","Abrir facsímil")</f>
        <v>Abrir facsímil</v>
      </c>
      <c r="K6298" s="15" t="s">
        <v>23</v>
      </c>
    </row>
    <row r="6299" spans="1:11" ht="42" customHeight="1">
      <c r="A6299" s="4" t="s">
        <v>15380</v>
      </c>
      <c r="B6299" s="5" t="s">
        <v>15381</v>
      </c>
      <c r="C6299" s="5" t="s">
        <v>29</v>
      </c>
      <c r="D6299" s="5" t="s">
        <v>30</v>
      </c>
      <c r="E6299" s="5" t="s">
        <v>749</v>
      </c>
      <c r="F6299" s="9">
        <v>97</v>
      </c>
      <c r="G6299" s="9">
        <v>1203</v>
      </c>
      <c r="H6299" s="5" t="s">
        <v>21</v>
      </c>
      <c r="I6299" s="5" t="s">
        <v>15382</v>
      </c>
      <c r="J6299" s="12" t="str">
        <f>HYPERLINK("https://www.boe.es/gazeta/dias/1802/11/30/pdfs/GMD-1802-97.pdf#page=11","Abrir facsímil")</f>
        <v>Abrir facsímil</v>
      </c>
      <c r="K6299" s="15" t="s">
        <v>23</v>
      </c>
    </row>
    <row r="6300" spans="1:11" ht="42" customHeight="1">
      <c r="A6300" s="4" t="s">
        <v>15383</v>
      </c>
      <c r="B6300" s="5" t="s">
        <v>15383</v>
      </c>
      <c r="C6300" s="5" t="s">
        <v>35</v>
      </c>
      <c r="D6300" s="5" t="s">
        <v>36</v>
      </c>
      <c r="E6300" s="5" t="s">
        <v>642</v>
      </c>
      <c r="F6300" s="9">
        <v>51</v>
      </c>
      <c r="G6300" s="9">
        <v>621</v>
      </c>
      <c r="H6300" s="5" t="s">
        <v>21</v>
      </c>
      <c r="I6300" s="5" t="s">
        <v>15384</v>
      </c>
      <c r="J6300" s="12" t="str">
        <f>HYPERLINK("https://www.boe.es/gazeta/dias/1802/06/25/pdfs/GMD-1802-51.pdf#page=9","Abrir facsímil")</f>
        <v>Abrir facsímil</v>
      </c>
      <c r="K6300" s="15" t="s">
        <v>23</v>
      </c>
    </row>
    <row r="6301" spans="1:11" ht="42" customHeight="1">
      <c r="A6301" s="4" t="s">
        <v>15385</v>
      </c>
      <c r="B6301" s="5" t="s">
        <v>15386</v>
      </c>
      <c r="C6301" s="5" t="s">
        <v>18</v>
      </c>
      <c r="D6301" s="5" t="s">
        <v>19</v>
      </c>
      <c r="E6301" s="5" t="s">
        <v>49</v>
      </c>
      <c r="F6301" s="9">
        <v>83</v>
      </c>
      <c r="G6301" s="9">
        <v>1023</v>
      </c>
      <c r="H6301" s="5" t="s">
        <v>21</v>
      </c>
      <c r="I6301" s="5" t="s">
        <v>15387</v>
      </c>
      <c r="J6301" s="12" t="str">
        <f>HYPERLINK("https://www.boe.es/gazeta/dias/1802/10/12/pdfs/GMD-1802-83.pdf#page=11","Abrir facsímil")</f>
        <v>Abrir facsímil</v>
      </c>
      <c r="K6301" s="15" t="s">
        <v>23</v>
      </c>
    </row>
    <row r="6302" spans="1:11" ht="42" customHeight="1">
      <c r="A6302" s="4" t="s">
        <v>15388</v>
      </c>
      <c r="B6302" s="5" t="s">
        <v>15389</v>
      </c>
      <c r="C6302" s="5" t="s">
        <v>18</v>
      </c>
      <c r="D6302" s="5" t="s">
        <v>19</v>
      </c>
      <c r="E6302" s="5" t="s">
        <v>31</v>
      </c>
      <c r="F6302" s="9">
        <v>27</v>
      </c>
      <c r="G6302" s="9">
        <v>317</v>
      </c>
      <c r="H6302" s="5" t="s">
        <v>21</v>
      </c>
      <c r="I6302" s="5" t="s">
        <v>15390</v>
      </c>
      <c r="J6302" s="12" t="str">
        <f>HYPERLINK("https://www.boe.es/gazeta/dias/1802/04/02/pdfs/GMD-1802-27.pdf#page=13","Abrir facsímil")</f>
        <v>Abrir facsímil</v>
      </c>
      <c r="K6302" s="15" t="s">
        <v>23</v>
      </c>
    </row>
    <row r="6303" spans="1:11" ht="42" customHeight="1">
      <c r="A6303" s="4" t="s">
        <v>15391</v>
      </c>
      <c r="B6303" s="5" t="s">
        <v>15392</v>
      </c>
      <c r="C6303" s="5" t="s">
        <v>29</v>
      </c>
      <c r="D6303" s="5" t="s">
        <v>30</v>
      </c>
      <c r="E6303" s="5" t="s">
        <v>232</v>
      </c>
      <c r="F6303" s="9">
        <v>30</v>
      </c>
      <c r="G6303" s="9">
        <v>350</v>
      </c>
      <c r="H6303" s="5" t="s">
        <v>21</v>
      </c>
      <c r="I6303" s="5" t="s">
        <v>15393</v>
      </c>
      <c r="J6303" s="12" t="str">
        <f>HYPERLINK("https://www.boe.es/gazeta/dias/1802/04/13/pdfs/GMD-1802-30.pdf#page=6","Abrir facsímil")</f>
        <v>Abrir facsímil</v>
      </c>
      <c r="K6303" s="15" t="s">
        <v>23</v>
      </c>
    </row>
    <row r="6304" spans="1:11" ht="42" customHeight="1">
      <c r="A6304" s="4" t="s">
        <v>15394</v>
      </c>
      <c r="B6304" s="5" t="s">
        <v>15394</v>
      </c>
      <c r="C6304" s="5" t="s">
        <v>35</v>
      </c>
      <c r="D6304" s="5" t="s">
        <v>36</v>
      </c>
      <c r="E6304" s="5" t="s">
        <v>439</v>
      </c>
      <c r="F6304" s="9">
        <v>76</v>
      </c>
      <c r="G6304" s="9">
        <v>934</v>
      </c>
      <c r="H6304" s="5" t="s">
        <v>21</v>
      </c>
      <c r="I6304" s="5" t="s">
        <v>15395</v>
      </c>
      <c r="J6304" s="12" t="str">
        <f>HYPERLINK("https://www.boe.es/gazeta/dias/1802/09/17/pdfs/GMD-1802-76.pdf#page=6","Abrir facsímil")</f>
        <v>Abrir facsímil</v>
      </c>
      <c r="K6304" s="15" t="s">
        <v>23</v>
      </c>
    </row>
    <row r="6305" spans="1:11" ht="42" customHeight="1">
      <c r="A6305" s="4" t="s">
        <v>15396</v>
      </c>
      <c r="B6305" s="5" t="s">
        <v>15397</v>
      </c>
      <c r="C6305" s="5" t="s">
        <v>18</v>
      </c>
      <c r="D6305" s="5" t="s">
        <v>19</v>
      </c>
      <c r="E6305" s="5" t="s">
        <v>20</v>
      </c>
      <c r="F6305" s="9">
        <v>84</v>
      </c>
      <c r="G6305" s="9">
        <v>1040</v>
      </c>
      <c r="H6305" s="5" t="s">
        <v>21</v>
      </c>
      <c r="I6305" s="5" t="s">
        <v>15398</v>
      </c>
      <c r="J6305" s="12" t="str">
        <f>HYPERLINK("https://www.boe.es/gazeta/dias/1802/10/15/pdfs/GMD-1802-84.pdf#page=8","Abrir facsímil")</f>
        <v>Abrir facsímil</v>
      </c>
      <c r="K6305" s="15" t="s">
        <v>23</v>
      </c>
    </row>
    <row r="6306" spans="1:11" ht="42" customHeight="1">
      <c r="A6306" s="4" t="s">
        <v>15399</v>
      </c>
      <c r="B6306" s="5" t="s">
        <v>15400</v>
      </c>
      <c r="C6306" s="5" t="s">
        <v>18</v>
      </c>
      <c r="D6306" s="5" t="s">
        <v>19</v>
      </c>
      <c r="E6306" s="5" t="s">
        <v>670</v>
      </c>
      <c r="F6306" s="9">
        <v>40</v>
      </c>
      <c r="G6306" s="9">
        <v>482</v>
      </c>
      <c r="H6306" s="5" t="s">
        <v>21</v>
      </c>
      <c r="I6306" s="5" t="s">
        <v>15401</v>
      </c>
      <c r="J6306" s="12" t="str">
        <f>HYPERLINK("https://www.boe.es/gazeta/dias/1802/05/18/pdfs/GMD-1802-40.pdf#page=10","Abrir facsímil")</f>
        <v>Abrir facsímil</v>
      </c>
      <c r="K6306" s="15" t="s">
        <v>23</v>
      </c>
    </row>
    <row r="6307" spans="1:11" ht="42" customHeight="1">
      <c r="A6307" s="4" t="s">
        <v>15402</v>
      </c>
      <c r="B6307" s="5" t="s">
        <v>15403</v>
      </c>
      <c r="C6307" s="5" t="s">
        <v>29</v>
      </c>
      <c r="D6307" s="5" t="s">
        <v>30</v>
      </c>
      <c r="E6307" s="5" t="s">
        <v>678</v>
      </c>
      <c r="F6307" s="9">
        <v>15</v>
      </c>
      <c r="G6307" s="9">
        <v>158</v>
      </c>
      <c r="H6307" s="5" t="s">
        <v>21</v>
      </c>
      <c r="I6307" s="5" t="s">
        <v>15404</v>
      </c>
      <c r="J6307" s="12" t="str">
        <f>HYPERLINK("https://www.boe.es/gazeta/dias/1802/02/19/pdfs/GMD-1802-15.pdf#page=10","Abrir facsímil")</f>
        <v>Abrir facsímil</v>
      </c>
      <c r="K6307" s="15" t="s">
        <v>23</v>
      </c>
    </row>
    <row r="6308" spans="1:11" ht="42" customHeight="1">
      <c r="A6308" s="4" t="s">
        <v>15405</v>
      </c>
      <c r="B6308" s="5" t="s">
        <v>15406</v>
      </c>
      <c r="C6308" s="5" t="s">
        <v>18</v>
      </c>
      <c r="D6308" s="5" t="s">
        <v>19</v>
      </c>
      <c r="E6308" s="5" t="s">
        <v>49</v>
      </c>
      <c r="F6308" s="9">
        <v>83</v>
      </c>
      <c r="G6308" s="9">
        <v>1024</v>
      </c>
      <c r="H6308" s="5" t="s">
        <v>21</v>
      </c>
      <c r="I6308" s="5" t="s">
        <v>15407</v>
      </c>
      <c r="J6308" s="12" t="str">
        <f>HYPERLINK("https://www.boe.es/gazeta/dias/1802/10/12/pdfs/GMD-1802-83.pdf#page=12","Abrir facsímil")</f>
        <v>Abrir facsímil</v>
      </c>
      <c r="K6308" s="15" t="s">
        <v>23</v>
      </c>
    </row>
    <row r="6309" spans="1:11" ht="42" customHeight="1">
      <c r="A6309" s="4" t="s">
        <v>15408</v>
      </c>
      <c r="B6309" s="5" t="s">
        <v>15409</v>
      </c>
      <c r="C6309" s="5" t="s">
        <v>42</v>
      </c>
      <c r="D6309" s="5" t="s">
        <v>43</v>
      </c>
      <c r="E6309" s="5" t="s">
        <v>44</v>
      </c>
      <c r="F6309" s="9">
        <v>99</v>
      </c>
      <c r="G6309" s="9" t="s">
        <v>262</v>
      </c>
      <c r="H6309" s="5" t="s">
        <v>21</v>
      </c>
      <c r="I6309" s="5" t="s">
        <v>15410</v>
      </c>
      <c r="J6309" s="12" t="str">
        <f>HYPERLINK("https://www.boe.es/gazeta/dias/1802/12/07/pdfs/GMD-D-1802-99.pdf#page=8","Abrir facsímil")</f>
        <v>Abrir facsímil</v>
      </c>
      <c r="K6309" s="15" t="s">
        <v>23</v>
      </c>
    </row>
    <row r="6310" spans="1:11" ht="42" customHeight="1">
      <c r="A6310" s="4" t="s">
        <v>15411</v>
      </c>
      <c r="B6310" s="5" t="s">
        <v>15412</v>
      </c>
      <c r="C6310" s="5" t="s">
        <v>42</v>
      </c>
      <c r="D6310" s="5" t="s">
        <v>43</v>
      </c>
      <c r="E6310" s="5" t="s">
        <v>44</v>
      </c>
      <c r="F6310" s="9">
        <v>99</v>
      </c>
      <c r="G6310" s="9" t="s">
        <v>222</v>
      </c>
      <c r="H6310" s="5" t="s">
        <v>21</v>
      </c>
      <c r="I6310" s="5" t="s">
        <v>15413</v>
      </c>
      <c r="J6310" s="12" t="str">
        <f>HYPERLINK("https://www.boe.es/gazeta/dias/1802/12/07/pdfs/GMD-D-1802-99.pdf#page=5","Abrir facsímil")</f>
        <v>Abrir facsímil</v>
      </c>
      <c r="K6310" s="15" t="s">
        <v>23</v>
      </c>
    </row>
    <row r="6311" spans="1:11" ht="42" customHeight="1">
      <c r="A6311" s="4" t="s">
        <v>15414</v>
      </c>
      <c r="B6311" s="5" t="s">
        <v>15415</v>
      </c>
      <c r="C6311" s="5" t="s">
        <v>42</v>
      </c>
      <c r="D6311" s="5" t="s">
        <v>43</v>
      </c>
      <c r="E6311" s="5" t="s">
        <v>44</v>
      </c>
      <c r="F6311" s="9">
        <v>99</v>
      </c>
      <c r="G6311" s="9" t="s">
        <v>779</v>
      </c>
      <c r="H6311" s="5" t="s">
        <v>21</v>
      </c>
      <c r="I6311" s="5" t="s">
        <v>15416</v>
      </c>
      <c r="J6311" s="12" t="str">
        <f>HYPERLINK("https://www.boe.es/gazeta/dias/1802/12/07/pdfs/GMD-D-1802-99.pdf#page=13","Abrir facsímil")</f>
        <v>Abrir facsímil</v>
      </c>
      <c r="K6311" s="15" t="s">
        <v>23</v>
      </c>
    </row>
    <row r="6312" spans="1:11" ht="42" customHeight="1">
      <c r="A6312" s="4" t="s">
        <v>15417</v>
      </c>
      <c r="B6312" s="5" t="s">
        <v>15418</v>
      </c>
      <c r="C6312" s="5" t="s">
        <v>35</v>
      </c>
      <c r="D6312" s="5" t="s">
        <v>36</v>
      </c>
      <c r="E6312" s="5" t="s">
        <v>389</v>
      </c>
      <c r="F6312" s="9">
        <v>96</v>
      </c>
      <c r="G6312" s="9">
        <v>1186</v>
      </c>
      <c r="H6312" s="5" t="s">
        <v>21</v>
      </c>
      <c r="I6312" s="5" t="s">
        <v>15419</v>
      </c>
      <c r="J6312" s="12" t="str">
        <f>HYPERLINK("https://www.boe.es/gazeta/dias/1802/11/26/pdfs/GMD-1802-96.pdf#page=6","Abrir facsímil")</f>
        <v>Abrir facsímil</v>
      </c>
      <c r="K6312" s="15" t="s">
        <v>23</v>
      </c>
    </row>
    <row r="6313" spans="1:11" ht="42" customHeight="1">
      <c r="A6313" s="4" t="s">
        <v>15420</v>
      </c>
      <c r="B6313" s="5" t="s">
        <v>15421</v>
      </c>
      <c r="C6313" s="5" t="s">
        <v>160</v>
      </c>
      <c r="D6313" s="5" t="s">
        <v>91</v>
      </c>
      <c r="E6313" s="5" t="s">
        <v>745</v>
      </c>
      <c r="F6313" s="9">
        <v>92</v>
      </c>
      <c r="G6313" s="9">
        <v>1139</v>
      </c>
      <c r="H6313" s="5" t="s">
        <v>21</v>
      </c>
      <c r="I6313" s="5" t="s">
        <v>15422</v>
      </c>
      <c r="J6313" s="12" t="str">
        <f>HYPERLINK("https://www.boe.es/gazeta/dias/1802/11/12/pdfs/GMD-1802-92.pdf#page=7","Abrir facsímil")</f>
        <v>Abrir facsímil</v>
      </c>
      <c r="K6313" s="15" t="s">
        <v>23</v>
      </c>
    </row>
    <row r="6314" spans="1:11" ht="42" customHeight="1">
      <c r="A6314" s="4" t="s">
        <v>15423</v>
      </c>
      <c r="B6314" s="5" t="s">
        <v>15424</v>
      </c>
      <c r="C6314" s="5" t="s">
        <v>160</v>
      </c>
      <c r="D6314" s="5" t="s">
        <v>91</v>
      </c>
      <c r="E6314" s="5" t="s">
        <v>165</v>
      </c>
      <c r="F6314" s="9">
        <v>3</v>
      </c>
      <c r="G6314" s="9">
        <v>23</v>
      </c>
      <c r="H6314" s="5" t="s">
        <v>21</v>
      </c>
      <c r="I6314" s="5" t="s">
        <v>15425</v>
      </c>
      <c r="J6314" s="12" t="str">
        <f>HYPERLINK("https://www.boe.es/gazeta/dias/1802/01/08/pdfs/GMD-1802-3.pdf#page=3","Abrir facsímil")</f>
        <v>Abrir facsímil</v>
      </c>
      <c r="K6314" s="15" t="s">
        <v>23</v>
      </c>
    </row>
    <row r="6315" spans="1:11" ht="42" customHeight="1">
      <c r="A6315" s="4" t="s">
        <v>15426</v>
      </c>
      <c r="B6315" s="5" t="s">
        <v>15427</v>
      </c>
      <c r="C6315" s="5" t="s">
        <v>35</v>
      </c>
      <c r="D6315" s="5" t="s">
        <v>36</v>
      </c>
      <c r="E6315" s="5" t="s">
        <v>165</v>
      </c>
      <c r="F6315" s="9">
        <v>3</v>
      </c>
      <c r="G6315" s="9">
        <v>23</v>
      </c>
      <c r="H6315" s="5" t="s">
        <v>21</v>
      </c>
      <c r="I6315" s="5" t="s">
        <v>15428</v>
      </c>
      <c r="J6315" s="12" t="str">
        <f>HYPERLINK("https://www.boe.es/gazeta/dias/1802/01/08/pdfs/GMD-1802-3.pdf#page=3","Abrir facsímil")</f>
        <v>Abrir facsímil</v>
      </c>
      <c r="K6315" s="15" t="s">
        <v>23</v>
      </c>
    </row>
    <row r="6316" spans="1:11" ht="42" customHeight="1">
      <c r="A6316" s="4" t="s">
        <v>15426</v>
      </c>
      <c r="B6316" s="5" t="s">
        <v>15427</v>
      </c>
      <c r="C6316" s="5" t="s">
        <v>18</v>
      </c>
      <c r="D6316" s="5" t="s">
        <v>19</v>
      </c>
      <c r="E6316" s="5" t="s">
        <v>814</v>
      </c>
      <c r="F6316" s="9">
        <v>41</v>
      </c>
      <c r="G6316" s="9">
        <v>488</v>
      </c>
      <c r="H6316" s="5" t="s">
        <v>21</v>
      </c>
      <c r="I6316" s="5" t="s">
        <v>15429</v>
      </c>
      <c r="J6316" s="12" t="str">
        <f>HYPERLINK("https://www.boe.es/gazeta/dias/1802/05/21/pdfs/GMD-1802-41.pdf#page=4","Abrir facsímil")</f>
        <v>Abrir facsímil</v>
      </c>
      <c r="K6316" s="15" t="s">
        <v>23</v>
      </c>
    </row>
    <row r="6317" spans="1:11" ht="42" customHeight="1">
      <c r="A6317" s="4" t="s">
        <v>15426</v>
      </c>
      <c r="B6317" s="5" t="s">
        <v>15427</v>
      </c>
      <c r="C6317" s="5" t="s">
        <v>35</v>
      </c>
      <c r="D6317" s="5" t="s">
        <v>36</v>
      </c>
      <c r="E6317" s="5" t="s">
        <v>453</v>
      </c>
      <c r="F6317" s="9">
        <v>52</v>
      </c>
      <c r="G6317" s="9">
        <v>626</v>
      </c>
      <c r="H6317" s="5" t="s">
        <v>21</v>
      </c>
      <c r="I6317" s="5" t="s">
        <v>15430</v>
      </c>
      <c r="J6317" s="12" t="str">
        <f>HYPERLINK("https://www.boe.es/gazeta/dias/1802/06/29/pdfs/GMD-1802-52.pdf#page=2","Abrir facsímil")</f>
        <v>Abrir facsímil</v>
      </c>
      <c r="K6317" s="15" t="s">
        <v>23</v>
      </c>
    </row>
    <row r="6318" spans="1:11" ht="42" customHeight="1">
      <c r="A6318" s="4" t="s">
        <v>15426</v>
      </c>
      <c r="B6318" s="5" t="s">
        <v>15427</v>
      </c>
      <c r="C6318" s="5" t="s">
        <v>29</v>
      </c>
      <c r="D6318" s="5" t="s">
        <v>30</v>
      </c>
      <c r="E6318" s="5" t="s">
        <v>181</v>
      </c>
      <c r="F6318" s="9">
        <v>55</v>
      </c>
      <c r="G6318" s="9">
        <v>661</v>
      </c>
      <c r="H6318" s="5" t="s">
        <v>21</v>
      </c>
      <c r="I6318" s="5" t="s">
        <v>15431</v>
      </c>
      <c r="J6318" s="12" t="str">
        <f>HYPERLINK("https://www.boe.es/gazeta/dias/1802/07/09/pdfs/GMD-1802-55.pdf#page=5","Abrir facsímil")</f>
        <v>Abrir facsímil</v>
      </c>
      <c r="K6318" s="15" t="s">
        <v>23</v>
      </c>
    </row>
    <row r="6319" spans="1:11" ht="42" customHeight="1">
      <c r="A6319" s="4" t="s">
        <v>15432</v>
      </c>
      <c r="B6319" s="5" t="s">
        <v>15433</v>
      </c>
      <c r="C6319" s="5" t="s">
        <v>29</v>
      </c>
      <c r="D6319" s="5" t="s">
        <v>30</v>
      </c>
      <c r="E6319" s="5" t="s">
        <v>1381</v>
      </c>
      <c r="F6319" s="9">
        <v>17</v>
      </c>
      <c r="G6319" s="9">
        <v>185</v>
      </c>
      <c r="H6319" s="5" t="s">
        <v>21</v>
      </c>
      <c r="I6319" s="5" t="s">
        <v>15434</v>
      </c>
      <c r="J6319" s="12" t="str">
        <f>HYPERLINK("https://www.boe.es/gazeta/dias/1802/02/26/pdfs/GMD-1802-17.pdf#page=9","Abrir facsímil")</f>
        <v>Abrir facsímil</v>
      </c>
      <c r="K6319" s="15" t="s">
        <v>23</v>
      </c>
    </row>
    <row r="6320" spans="1:11" ht="42" customHeight="1">
      <c r="A6320" s="4" t="s">
        <v>15435</v>
      </c>
      <c r="B6320" s="5" t="s">
        <v>15436</v>
      </c>
      <c r="C6320" s="5" t="s">
        <v>42</v>
      </c>
      <c r="D6320" s="5" t="s">
        <v>43</v>
      </c>
      <c r="E6320" s="5" t="s">
        <v>44</v>
      </c>
      <c r="F6320" s="9">
        <v>99</v>
      </c>
      <c r="G6320" s="9" t="s">
        <v>550</v>
      </c>
      <c r="H6320" s="5" t="s">
        <v>21</v>
      </c>
      <c r="I6320" s="5" t="s">
        <v>15437</v>
      </c>
      <c r="J6320" s="12" t="str">
        <f>HYPERLINK("https://www.boe.es/gazeta/dias/1802/12/07/pdfs/GMD-D-1802-99.pdf#page=16","Abrir facsímil")</f>
        <v>Abrir facsímil</v>
      </c>
      <c r="K6320" s="15" t="s">
        <v>23</v>
      </c>
    </row>
    <row r="6321" spans="1:11" ht="42" customHeight="1">
      <c r="A6321" s="4" t="s">
        <v>15438</v>
      </c>
      <c r="B6321" s="5" t="s">
        <v>15438</v>
      </c>
      <c r="C6321" s="5" t="s">
        <v>42</v>
      </c>
      <c r="D6321" s="5" t="s">
        <v>43</v>
      </c>
      <c r="E6321" s="5" t="s">
        <v>44</v>
      </c>
      <c r="F6321" s="9">
        <v>99</v>
      </c>
      <c r="G6321" s="9" t="s">
        <v>544</v>
      </c>
      <c r="H6321" s="5" t="s">
        <v>21</v>
      </c>
      <c r="I6321" s="5" t="s">
        <v>15439</v>
      </c>
      <c r="J6321" s="12" t="str">
        <f>HYPERLINK("https://www.boe.es/gazeta/dias/1802/12/07/pdfs/GMD-D-1802-99.pdf#page=11","Abrir facsímil")</f>
        <v>Abrir facsímil</v>
      </c>
      <c r="K6321" s="15" t="s">
        <v>23</v>
      </c>
    </row>
    <row r="6322" spans="1:11" ht="42" customHeight="1">
      <c r="A6322" s="4" t="s">
        <v>15440</v>
      </c>
      <c r="B6322" s="5" t="s">
        <v>15441</v>
      </c>
      <c r="C6322" s="5" t="s">
        <v>18</v>
      </c>
      <c r="D6322" s="5" t="s">
        <v>19</v>
      </c>
      <c r="E6322" s="5" t="s">
        <v>900</v>
      </c>
      <c r="F6322" s="9">
        <v>16</v>
      </c>
      <c r="G6322" s="9">
        <v>169</v>
      </c>
      <c r="H6322" s="5" t="s">
        <v>21</v>
      </c>
      <c r="I6322" s="5" t="s">
        <v>15442</v>
      </c>
      <c r="J6322" s="12" t="str">
        <f>HYPERLINK("https://www.boe.es/gazeta/dias/1802/02/23/pdfs/GMD-1802-16.pdf#page=9","Abrir facsímil")</f>
        <v>Abrir facsímil</v>
      </c>
      <c r="K6322" s="15" t="s">
        <v>23</v>
      </c>
    </row>
    <row r="6323" spans="1:11" ht="42" customHeight="1">
      <c r="A6323" s="4" t="s">
        <v>15443</v>
      </c>
      <c r="B6323" s="5" t="s">
        <v>15444</v>
      </c>
      <c r="C6323" s="5" t="s">
        <v>160</v>
      </c>
      <c r="D6323" s="5" t="s">
        <v>91</v>
      </c>
      <c r="E6323" s="5" t="s">
        <v>60</v>
      </c>
      <c r="F6323" s="9">
        <v>5</v>
      </c>
      <c r="G6323" s="9">
        <v>51</v>
      </c>
      <c r="H6323" s="5" t="s">
        <v>21</v>
      </c>
      <c r="I6323" s="5" t="s">
        <v>15445</v>
      </c>
      <c r="J6323" s="12" t="str">
        <f>HYPERLINK("https://www.boe.es/gazeta/dias/1802/01/15/pdfs/GMD-1802-5.pdf#page=7","Abrir facsímil")</f>
        <v>Abrir facsímil</v>
      </c>
      <c r="K6323" s="15" t="s">
        <v>23</v>
      </c>
    </row>
    <row r="6324" spans="1:11" ht="42" customHeight="1">
      <c r="A6324" s="4" t="s">
        <v>15446</v>
      </c>
      <c r="B6324" s="5" t="s">
        <v>15447</v>
      </c>
      <c r="C6324" s="5" t="s">
        <v>29</v>
      </c>
      <c r="D6324" s="5" t="s">
        <v>30</v>
      </c>
      <c r="E6324" s="5" t="s">
        <v>453</v>
      </c>
      <c r="F6324" s="9">
        <v>52</v>
      </c>
      <c r="G6324" s="9">
        <v>625</v>
      </c>
      <c r="H6324" s="5" t="s">
        <v>21</v>
      </c>
      <c r="I6324" s="5" t="s">
        <v>15448</v>
      </c>
      <c r="J6324" s="12" t="str">
        <f>HYPERLINK("https://www.boe.es/gazeta/dias/1802/06/29/pdfs/GMD-1802-52.pdf#page=1","Abrir facsímil")</f>
        <v>Abrir facsímil</v>
      </c>
      <c r="K6324" s="15" t="s">
        <v>23</v>
      </c>
    </row>
    <row r="6325" spans="1:11" ht="42" customHeight="1">
      <c r="A6325" s="4" t="s">
        <v>15449</v>
      </c>
      <c r="B6325" s="5" t="s">
        <v>15450</v>
      </c>
      <c r="C6325" s="5" t="s">
        <v>18</v>
      </c>
      <c r="D6325" s="5" t="s">
        <v>19</v>
      </c>
      <c r="E6325" s="5" t="s">
        <v>172</v>
      </c>
      <c r="F6325" s="9">
        <v>35</v>
      </c>
      <c r="G6325" s="9">
        <v>413</v>
      </c>
      <c r="H6325" s="5" t="s">
        <v>21</v>
      </c>
      <c r="I6325" s="5" t="s">
        <v>15451</v>
      </c>
      <c r="J6325" s="12" t="str">
        <f>HYPERLINK("https://www.boe.es/gazeta/dias/1802/04/30/pdfs/GMD-1802-35.pdf#page=13","Abrir facsímil")</f>
        <v>Abrir facsímil</v>
      </c>
      <c r="K6325" s="15" t="s">
        <v>23</v>
      </c>
    </row>
    <row r="6326" spans="1:11" ht="42" customHeight="1">
      <c r="A6326" s="4" t="s">
        <v>15452</v>
      </c>
      <c r="B6326" s="5" t="s">
        <v>15453</v>
      </c>
      <c r="C6326" s="5" t="s">
        <v>18</v>
      </c>
      <c r="D6326" s="5" t="s">
        <v>19</v>
      </c>
      <c r="E6326" s="5" t="s">
        <v>20</v>
      </c>
      <c r="F6326" s="9">
        <v>84</v>
      </c>
      <c r="G6326" s="9">
        <v>1042</v>
      </c>
      <c r="H6326" s="5" t="s">
        <v>21</v>
      </c>
      <c r="I6326" s="5" t="s">
        <v>15454</v>
      </c>
      <c r="J6326" s="12" t="str">
        <f>HYPERLINK("https://www.boe.es/gazeta/dias/1802/10/15/pdfs/GMD-1802-84.pdf#page=10","Abrir facsímil")</f>
        <v>Abrir facsímil</v>
      </c>
      <c r="K6326" s="15" t="s">
        <v>23</v>
      </c>
    </row>
    <row r="6327" spans="1:11" ht="42" customHeight="1">
      <c r="A6327" s="4" t="s">
        <v>15455</v>
      </c>
      <c r="B6327" s="5" t="s">
        <v>15456</v>
      </c>
      <c r="C6327" s="5" t="s">
        <v>18</v>
      </c>
      <c r="D6327" s="5" t="s">
        <v>19</v>
      </c>
      <c r="E6327" s="5" t="s">
        <v>20</v>
      </c>
      <c r="F6327" s="9">
        <v>84</v>
      </c>
      <c r="G6327" s="9">
        <v>1040</v>
      </c>
      <c r="H6327" s="5" t="s">
        <v>21</v>
      </c>
      <c r="I6327" s="5" t="s">
        <v>15457</v>
      </c>
      <c r="J6327" s="12" t="str">
        <f>HYPERLINK("https://www.boe.es/gazeta/dias/1802/10/15/pdfs/GMD-1802-84.pdf#page=8","Abrir facsímil")</f>
        <v>Abrir facsímil</v>
      </c>
      <c r="K6327" s="15" t="s">
        <v>23</v>
      </c>
    </row>
    <row r="6328" spans="1:11" ht="42" customHeight="1">
      <c r="A6328" s="4" t="s">
        <v>15458</v>
      </c>
      <c r="B6328" s="5" t="s">
        <v>15459</v>
      </c>
      <c r="C6328" s="5" t="s">
        <v>18</v>
      </c>
      <c r="D6328" s="5" t="s">
        <v>19</v>
      </c>
      <c r="E6328" s="5" t="s">
        <v>20</v>
      </c>
      <c r="F6328" s="9">
        <v>84</v>
      </c>
      <c r="G6328" s="9">
        <v>1046</v>
      </c>
      <c r="H6328" s="5" t="s">
        <v>21</v>
      </c>
      <c r="I6328" s="5" t="s">
        <v>15460</v>
      </c>
      <c r="J6328" s="12" t="str">
        <f>HYPERLINK("https://www.boe.es/gazeta/dias/1802/10/15/pdfs/GMD-1802-84.pdf#page=14","Abrir facsímil")</f>
        <v>Abrir facsímil</v>
      </c>
      <c r="K6328" s="15" t="s">
        <v>23</v>
      </c>
    </row>
    <row r="6329" spans="1:11" ht="42" customHeight="1">
      <c r="A6329" s="4" t="s">
        <v>15461</v>
      </c>
      <c r="B6329" s="5" t="s">
        <v>15462</v>
      </c>
      <c r="C6329" s="5" t="s">
        <v>18</v>
      </c>
      <c r="D6329" s="5" t="s">
        <v>19</v>
      </c>
      <c r="E6329" s="5" t="s">
        <v>20</v>
      </c>
      <c r="F6329" s="9">
        <v>84</v>
      </c>
      <c r="G6329" s="9">
        <v>1044</v>
      </c>
      <c r="H6329" s="5" t="s">
        <v>21</v>
      </c>
      <c r="I6329" s="5" t="s">
        <v>15463</v>
      </c>
      <c r="J6329" s="12" t="str">
        <f>HYPERLINK("https://www.boe.es/gazeta/dias/1802/10/15/pdfs/GMD-1802-84.pdf#page=12","Abrir facsímil")</f>
        <v>Abrir facsímil</v>
      </c>
      <c r="K6329" s="15" t="s">
        <v>23</v>
      </c>
    </row>
    <row r="6330" spans="1:11" ht="42" customHeight="1">
      <c r="A6330" s="4" t="s">
        <v>15464</v>
      </c>
      <c r="B6330" s="5" t="s">
        <v>15465</v>
      </c>
      <c r="C6330" s="5" t="s">
        <v>29</v>
      </c>
      <c r="D6330" s="5" t="s">
        <v>30</v>
      </c>
      <c r="E6330" s="5" t="s">
        <v>258</v>
      </c>
      <c r="F6330" s="9">
        <v>63</v>
      </c>
      <c r="G6330" s="9">
        <v>769</v>
      </c>
      <c r="H6330" s="5" t="s">
        <v>21</v>
      </c>
      <c r="I6330" s="5" t="s">
        <v>15466</v>
      </c>
      <c r="J6330" s="12" t="str">
        <f>HYPERLINK("https://www.boe.es/gazeta/dias/1802/08/03/pdfs/GMD-1802-63.pdf#page=9","Abrir facsímil")</f>
        <v>Abrir facsímil</v>
      </c>
      <c r="K6330" s="15" t="s">
        <v>23</v>
      </c>
    </row>
    <row r="6331" spans="1:11" ht="42" customHeight="1">
      <c r="A6331" s="4" t="s">
        <v>15467</v>
      </c>
      <c r="B6331" s="5" t="s">
        <v>15468</v>
      </c>
      <c r="C6331" s="5" t="s">
        <v>18</v>
      </c>
      <c r="D6331" s="5" t="s">
        <v>19</v>
      </c>
      <c r="E6331" s="5" t="s">
        <v>49</v>
      </c>
      <c r="F6331" s="9">
        <v>83</v>
      </c>
      <c r="G6331" s="9">
        <v>1025</v>
      </c>
      <c r="H6331" s="5" t="s">
        <v>21</v>
      </c>
      <c r="I6331" s="5" t="s">
        <v>15469</v>
      </c>
      <c r="J6331" s="12" t="str">
        <f>HYPERLINK("https://www.boe.es/gazeta/dias/1802/10/12/pdfs/GMD-1802-83.pdf#page=13","Abrir facsímil")</f>
        <v>Abrir facsímil</v>
      </c>
      <c r="K6331" s="15" t="s">
        <v>23</v>
      </c>
    </row>
    <row r="6332" spans="1:11" ht="42" customHeight="1">
      <c r="A6332" s="4" t="s">
        <v>15470</v>
      </c>
      <c r="B6332" s="5" t="s">
        <v>15471</v>
      </c>
      <c r="C6332" s="5" t="s">
        <v>29</v>
      </c>
      <c r="D6332" s="5" t="s">
        <v>30</v>
      </c>
      <c r="E6332" s="5" t="s">
        <v>1051</v>
      </c>
      <c r="F6332" s="9">
        <v>43</v>
      </c>
      <c r="G6332" s="9">
        <v>518</v>
      </c>
      <c r="H6332" s="5" t="s">
        <v>21</v>
      </c>
      <c r="I6332" s="5" t="s">
        <v>15472</v>
      </c>
      <c r="J6332" s="12" t="str">
        <f>HYPERLINK("https://www.boe.es/gazeta/dias/1802/05/28/pdfs/GMD-1802-43.pdf#page=10","Abrir facsímil")</f>
        <v>Abrir facsímil</v>
      </c>
      <c r="K6332" s="15" t="s">
        <v>23</v>
      </c>
    </row>
    <row r="6333" spans="1:11" ht="42" customHeight="1">
      <c r="A6333" s="4" t="s">
        <v>15473</v>
      </c>
      <c r="B6333" s="5" t="s">
        <v>15474</v>
      </c>
      <c r="C6333" s="5" t="s">
        <v>18</v>
      </c>
      <c r="D6333" s="5" t="s">
        <v>19</v>
      </c>
      <c r="E6333" s="5" t="s">
        <v>25</v>
      </c>
      <c r="F6333" s="9">
        <v>44</v>
      </c>
      <c r="G6333" s="9">
        <v>533</v>
      </c>
      <c r="H6333" s="5" t="s">
        <v>21</v>
      </c>
      <c r="I6333" s="5" t="s">
        <v>15475</v>
      </c>
      <c r="J6333" s="12" t="str">
        <f>HYPERLINK("https://www.boe.es/gazeta/dias/1802/06/01/pdfs/GMD-1802-44.pdf#page=9","Abrir facsímil")</f>
        <v>Abrir facsímil</v>
      </c>
      <c r="K6333" s="15" t="s">
        <v>23</v>
      </c>
    </row>
    <row r="6334" spans="1:11" ht="42" customHeight="1">
      <c r="A6334" s="4" t="s">
        <v>15476</v>
      </c>
      <c r="B6334" s="5" t="s">
        <v>15477</v>
      </c>
      <c r="C6334" s="5" t="s">
        <v>18</v>
      </c>
      <c r="D6334" s="5" t="s">
        <v>19</v>
      </c>
      <c r="E6334" s="5" t="s">
        <v>49</v>
      </c>
      <c r="F6334" s="9">
        <v>83</v>
      </c>
      <c r="G6334" s="9">
        <v>1025</v>
      </c>
      <c r="H6334" s="5" t="s">
        <v>21</v>
      </c>
      <c r="I6334" s="5" t="s">
        <v>15478</v>
      </c>
      <c r="J6334" s="12" t="str">
        <f>HYPERLINK("https://www.boe.es/gazeta/dias/1802/10/12/pdfs/GMD-1802-83.pdf#page=13","Abrir facsímil")</f>
        <v>Abrir facsímil</v>
      </c>
      <c r="K6334" s="15" t="s">
        <v>23</v>
      </c>
    </row>
    <row r="6335" spans="1:11" ht="42" customHeight="1">
      <c r="A6335" s="4" t="s">
        <v>15479</v>
      </c>
      <c r="B6335" s="5" t="s">
        <v>15480</v>
      </c>
      <c r="C6335" s="5" t="s">
        <v>29</v>
      </c>
      <c r="D6335" s="5" t="s">
        <v>30</v>
      </c>
      <c r="E6335" s="5" t="s">
        <v>31</v>
      </c>
      <c r="F6335" s="9">
        <v>27</v>
      </c>
      <c r="G6335" s="9">
        <v>317</v>
      </c>
      <c r="H6335" s="5" t="s">
        <v>21</v>
      </c>
      <c r="I6335" s="5" t="s">
        <v>15481</v>
      </c>
      <c r="J6335" s="12" t="str">
        <f>HYPERLINK("https://www.boe.es/gazeta/dias/1802/04/02/pdfs/GMD-1802-27.pdf#page=13","Abrir facsímil")</f>
        <v>Abrir facsímil</v>
      </c>
      <c r="K6335" s="15" t="s">
        <v>23</v>
      </c>
    </row>
    <row r="6336" spans="1:11" ht="42" customHeight="1">
      <c r="A6336" s="4" t="s">
        <v>15482</v>
      </c>
      <c r="B6336" s="5" t="s">
        <v>15483</v>
      </c>
      <c r="C6336" s="5" t="s">
        <v>29</v>
      </c>
      <c r="D6336" s="5" t="s">
        <v>30</v>
      </c>
      <c r="E6336" s="5" t="s">
        <v>49</v>
      </c>
      <c r="F6336" s="9">
        <v>83</v>
      </c>
      <c r="G6336" s="9">
        <v>1023</v>
      </c>
      <c r="H6336" s="5" t="s">
        <v>21</v>
      </c>
      <c r="I6336" s="5" t="s">
        <v>15484</v>
      </c>
      <c r="J6336" s="12" t="str">
        <f>HYPERLINK("https://www.boe.es/gazeta/dias/1802/10/12/pdfs/GMD-1802-83.pdf#page=11","Abrir facsímil")</f>
        <v>Abrir facsímil</v>
      </c>
      <c r="K6336" s="15" t="s">
        <v>23</v>
      </c>
    </row>
    <row r="6337" spans="1:11" ht="42" customHeight="1">
      <c r="A6337" s="4" t="s">
        <v>15485</v>
      </c>
      <c r="B6337" s="5" t="s">
        <v>15486</v>
      </c>
      <c r="C6337" s="5" t="s">
        <v>18</v>
      </c>
      <c r="D6337" s="5" t="s">
        <v>19</v>
      </c>
      <c r="E6337" s="5" t="s">
        <v>49</v>
      </c>
      <c r="F6337" s="9">
        <v>83</v>
      </c>
      <c r="G6337" s="9">
        <v>1023</v>
      </c>
      <c r="H6337" s="5" t="s">
        <v>21</v>
      </c>
      <c r="I6337" s="5" t="s">
        <v>15487</v>
      </c>
      <c r="J6337" s="12" t="str">
        <f>HYPERLINK("https://www.boe.es/gazeta/dias/1802/10/12/pdfs/GMD-1802-83.pdf#page=11","Abrir facsímil")</f>
        <v>Abrir facsímil</v>
      </c>
      <c r="K6337" s="15" t="s">
        <v>23</v>
      </c>
    </row>
    <row r="6338" spans="1:11" ht="42" customHeight="1">
      <c r="A6338" s="4" t="s">
        <v>15488</v>
      </c>
      <c r="B6338" s="5" t="s">
        <v>15489</v>
      </c>
      <c r="C6338" s="5" t="s">
        <v>18</v>
      </c>
      <c r="D6338" s="5" t="s">
        <v>19</v>
      </c>
      <c r="E6338" s="5" t="s">
        <v>49</v>
      </c>
      <c r="F6338" s="9">
        <v>83</v>
      </c>
      <c r="G6338" s="9">
        <v>1023</v>
      </c>
      <c r="H6338" s="5" t="s">
        <v>21</v>
      </c>
      <c r="I6338" s="5" t="s">
        <v>15490</v>
      </c>
      <c r="J6338" s="12" t="str">
        <f>HYPERLINK("https://www.boe.es/gazeta/dias/1802/10/12/pdfs/GMD-1802-83.pdf#page=11","Abrir facsímil")</f>
        <v>Abrir facsímil</v>
      </c>
      <c r="K6338" s="15" t="s">
        <v>23</v>
      </c>
    </row>
    <row r="6339" spans="1:11" ht="42" customHeight="1">
      <c r="A6339" s="4" t="s">
        <v>15491</v>
      </c>
      <c r="B6339" s="5" t="s">
        <v>15492</v>
      </c>
      <c r="C6339" s="5" t="s">
        <v>18</v>
      </c>
      <c r="D6339" s="5" t="s">
        <v>19</v>
      </c>
      <c r="E6339" s="5" t="s">
        <v>635</v>
      </c>
      <c r="F6339" s="9">
        <v>47</v>
      </c>
      <c r="G6339" s="9">
        <v>573</v>
      </c>
      <c r="H6339" s="5" t="s">
        <v>21</v>
      </c>
      <c r="I6339" s="5" t="s">
        <v>15493</v>
      </c>
      <c r="J6339" s="12" t="str">
        <f>HYPERLINK("https://www.boe.es/gazeta/dias/1802/06/11/pdfs/GMD-1802-47.pdf#page=9","Abrir facsímil")</f>
        <v>Abrir facsímil</v>
      </c>
      <c r="K6339" s="15" t="s">
        <v>23</v>
      </c>
    </row>
    <row r="6340" spans="1:11" ht="42" customHeight="1">
      <c r="A6340" s="4" t="s">
        <v>15494</v>
      </c>
      <c r="B6340" s="5" t="s">
        <v>15495</v>
      </c>
      <c r="C6340" s="5" t="s">
        <v>90</v>
      </c>
      <c r="D6340" s="5" t="s">
        <v>91</v>
      </c>
      <c r="E6340" s="5" t="s">
        <v>389</v>
      </c>
      <c r="F6340" s="9">
        <v>96</v>
      </c>
      <c r="G6340" s="9">
        <v>1189</v>
      </c>
      <c r="H6340" s="5" t="s">
        <v>21</v>
      </c>
      <c r="I6340" s="5" t="s">
        <v>15496</v>
      </c>
      <c r="J6340" s="12" t="str">
        <f>HYPERLINK("https://www.boe.es/gazeta/dias/1802/11/26/pdfs/GMD-1802-96.pdf#page=9","Abrir facsímil")</f>
        <v>Abrir facsímil</v>
      </c>
      <c r="K6340" s="15" t="s">
        <v>23</v>
      </c>
    </row>
    <row r="6341" spans="1:11" ht="42" customHeight="1">
      <c r="A6341" s="4" t="s">
        <v>15497</v>
      </c>
      <c r="B6341" s="5" t="s">
        <v>15497</v>
      </c>
      <c r="C6341" s="5" t="s">
        <v>35</v>
      </c>
      <c r="D6341" s="5" t="s">
        <v>36</v>
      </c>
      <c r="E6341" s="5" t="s">
        <v>109</v>
      </c>
      <c r="F6341" s="9">
        <v>10</v>
      </c>
      <c r="G6341" s="9">
        <v>96</v>
      </c>
      <c r="H6341" s="5" t="s">
        <v>21</v>
      </c>
      <c r="I6341" s="5" t="s">
        <v>15498</v>
      </c>
      <c r="J6341" s="12" t="str">
        <f>HYPERLINK("https://www.boe.es/gazeta/dias/1802/02/02/pdfs/GMD-1802-10.pdf#page=4","Abrir facsímil")</f>
        <v>Abrir facsímil</v>
      </c>
      <c r="K6341" s="15" t="s">
        <v>23</v>
      </c>
    </row>
    <row r="6342" spans="1:11" ht="42" customHeight="1">
      <c r="A6342" s="4" t="s">
        <v>15497</v>
      </c>
      <c r="B6342" s="5" t="s">
        <v>15497</v>
      </c>
      <c r="C6342" s="5" t="s">
        <v>18</v>
      </c>
      <c r="D6342" s="5" t="s">
        <v>19</v>
      </c>
      <c r="E6342" s="5" t="s">
        <v>678</v>
      </c>
      <c r="F6342" s="9">
        <v>15</v>
      </c>
      <c r="G6342" s="9">
        <v>153</v>
      </c>
      <c r="H6342" s="5" t="s">
        <v>21</v>
      </c>
      <c r="I6342" s="5" t="s">
        <v>15499</v>
      </c>
      <c r="J6342" s="12" t="str">
        <f>HYPERLINK("https://www.boe.es/gazeta/dias/1802/02/19/pdfs/GMD-1802-15.pdf#page=5","Abrir facsímil")</f>
        <v>Abrir facsímil</v>
      </c>
      <c r="K6342" s="15" t="s">
        <v>23</v>
      </c>
    </row>
    <row r="6343" spans="1:11" ht="42" customHeight="1">
      <c r="A6343" s="4" t="s">
        <v>15500</v>
      </c>
      <c r="B6343" s="5" t="s">
        <v>15500</v>
      </c>
      <c r="C6343" s="5" t="s">
        <v>29</v>
      </c>
      <c r="D6343" s="5" t="s">
        <v>30</v>
      </c>
      <c r="E6343" s="5" t="s">
        <v>60</v>
      </c>
      <c r="F6343" s="9">
        <v>5</v>
      </c>
      <c r="G6343" s="9">
        <v>48</v>
      </c>
      <c r="H6343" s="5" t="s">
        <v>21</v>
      </c>
      <c r="I6343" s="5" t="s">
        <v>15501</v>
      </c>
      <c r="J6343" s="12" t="str">
        <f>HYPERLINK("https://www.boe.es/gazeta/dias/1802/01/15/pdfs/GMD-1802-5.pdf#page=4","Abrir facsímil")</f>
        <v>Abrir facsímil</v>
      </c>
      <c r="K6343" s="15" t="s">
        <v>23</v>
      </c>
    </row>
    <row r="6344" spans="1:11" ht="42" customHeight="1">
      <c r="A6344" s="4" t="s">
        <v>15502</v>
      </c>
      <c r="B6344" s="5" t="s">
        <v>15503</v>
      </c>
      <c r="C6344" s="5" t="s">
        <v>29</v>
      </c>
      <c r="D6344" s="5" t="s">
        <v>30</v>
      </c>
      <c r="E6344" s="5" t="s">
        <v>670</v>
      </c>
      <c r="F6344" s="9">
        <v>40</v>
      </c>
      <c r="G6344" s="9">
        <v>481</v>
      </c>
      <c r="H6344" s="5" t="s">
        <v>21</v>
      </c>
      <c r="I6344" s="5" t="s">
        <v>15504</v>
      </c>
      <c r="J6344" s="12" t="str">
        <f>HYPERLINK("https://www.boe.es/gazeta/dias/1802/05/18/pdfs/GMD-1802-40.pdf#page=9","Abrir facsímil")</f>
        <v>Abrir facsímil</v>
      </c>
      <c r="K6344" s="15" t="s">
        <v>23</v>
      </c>
    </row>
    <row r="6345" spans="1:11" ht="42" customHeight="1">
      <c r="A6345" s="4" t="s">
        <v>15505</v>
      </c>
      <c r="B6345" s="5" t="s">
        <v>15506</v>
      </c>
      <c r="C6345" s="5" t="s">
        <v>35</v>
      </c>
      <c r="D6345" s="5" t="s">
        <v>36</v>
      </c>
      <c r="E6345" s="5" t="s">
        <v>146</v>
      </c>
      <c r="F6345" s="9">
        <v>42</v>
      </c>
      <c r="G6345" s="9">
        <v>503</v>
      </c>
      <c r="H6345" s="5" t="s">
        <v>21</v>
      </c>
      <c r="I6345" s="5" t="s">
        <v>15507</v>
      </c>
      <c r="J6345" s="12" t="str">
        <f>HYPERLINK("https://www.boe.es/gazeta/dias/1802/05/25/pdfs/GMD-1802-42.pdf#page=7","Abrir facsímil")</f>
        <v>Abrir facsímil</v>
      </c>
      <c r="K6345" s="15" t="s">
        <v>23</v>
      </c>
    </row>
    <row r="6346" spans="1:11" ht="42" customHeight="1">
      <c r="A6346" s="4" t="s">
        <v>15508</v>
      </c>
      <c r="B6346" s="5" t="s">
        <v>15509</v>
      </c>
      <c r="C6346" s="5" t="s">
        <v>18</v>
      </c>
      <c r="D6346" s="5" t="s">
        <v>19</v>
      </c>
      <c r="E6346" s="5" t="s">
        <v>670</v>
      </c>
      <c r="F6346" s="9">
        <v>40</v>
      </c>
      <c r="G6346" s="9">
        <v>478</v>
      </c>
      <c r="H6346" s="5" t="s">
        <v>21</v>
      </c>
      <c r="I6346" s="5" t="s">
        <v>15510</v>
      </c>
      <c r="J6346" s="12" t="str">
        <f>HYPERLINK("https://www.boe.es/gazeta/dias/1802/05/18/pdfs/GMD-1802-40.pdf#page=6","Abrir facsímil")</f>
        <v>Abrir facsímil</v>
      </c>
      <c r="K6346" s="15" t="s">
        <v>23</v>
      </c>
    </row>
    <row r="6347" spans="1:11" ht="42" customHeight="1">
      <c r="A6347" s="4" t="s">
        <v>15511</v>
      </c>
      <c r="B6347" s="5" t="s">
        <v>15512</v>
      </c>
      <c r="C6347" s="5" t="s">
        <v>18</v>
      </c>
      <c r="D6347" s="5" t="s">
        <v>19</v>
      </c>
      <c r="E6347" s="5" t="s">
        <v>20</v>
      </c>
      <c r="F6347" s="9">
        <v>84</v>
      </c>
      <c r="G6347" s="9">
        <v>1040</v>
      </c>
      <c r="H6347" s="5" t="s">
        <v>21</v>
      </c>
      <c r="I6347" s="5" t="s">
        <v>15513</v>
      </c>
      <c r="J6347" s="12" t="str">
        <f>HYPERLINK("https://www.boe.es/gazeta/dias/1802/10/15/pdfs/GMD-1802-84.pdf#page=8","Abrir facsímil")</f>
        <v>Abrir facsímil</v>
      </c>
      <c r="K6347" s="15" t="s">
        <v>23</v>
      </c>
    </row>
    <row r="6348" spans="1:11" ht="42" customHeight="1">
      <c r="A6348" s="4" t="s">
        <v>15514</v>
      </c>
      <c r="B6348" s="5" t="s">
        <v>15515</v>
      </c>
      <c r="C6348" s="5" t="s">
        <v>42</v>
      </c>
      <c r="D6348" s="5" t="s">
        <v>43</v>
      </c>
      <c r="E6348" s="5" t="s">
        <v>44</v>
      </c>
      <c r="F6348" s="9">
        <v>99</v>
      </c>
      <c r="G6348" s="9" t="s">
        <v>548</v>
      </c>
      <c r="H6348" s="5" t="s">
        <v>21</v>
      </c>
      <c r="I6348" s="5" t="s">
        <v>15516</v>
      </c>
      <c r="J6348" s="12" t="str">
        <f>HYPERLINK("https://www.boe.es/gazeta/dias/1802/12/07/pdfs/GMD-D-1802-99.pdf#page=12","Abrir facsímil")</f>
        <v>Abrir facsímil</v>
      </c>
      <c r="K6348" s="15" t="s">
        <v>23</v>
      </c>
    </row>
    <row r="6349" spans="1:11" ht="42" customHeight="1">
      <c r="A6349" s="4" t="s">
        <v>15517</v>
      </c>
      <c r="B6349" s="5" t="s">
        <v>15518</v>
      </c>
      <c r="C6349" s="5" t="s">
        <v>55</v>
      </c>
      <c r="D6349" s="5" t="s">
        <v>56</v>
      </c>
      <c r="E6349" s="5" t="s">
        <v>745</v>
      </c>
      <c r="F6349" s="9">
        <v>92</v>
      </c>
      <c r="G6349" s="9">
        <v>1140</v>
      </c>
      <c r="H6349" s="5" t="s">
        <v>21</v>
      </c>
      <c r="I6349" s="5" t="s">
        <v>15519</v>
      </c>
      <c r="J6349" s="12" t="str">
        <f>HYPERLINK("https://www.boe.es/gazeta/dias/1802/11/12/pdfs/GMD-1802-92.pdf#page=8","Abrir facsímil")</f>
        <v>Abrir facsímil</v>
      </c>
      <c r="K6349" s="15" t="s">
        <v>23</v>
      </c>
    </row>
    <row r="6350" spans="1:11" ht="42" customHeight="1">
      <c r="A6350" s="4" t="s">
        <v>15520</v>
      </c>
      <c r="B6350" s="5" t="s">
        <v>15520</v>
      </c>
      <c r="C6350" s="5" t="s">
        <v>18</v>
      </c>
      <c r="D6350" s="5" t="s">
        <v>19</v>
      </c>
      <c r="E6350" s="5" t="s">
        <v>25</v>
      </c>
      <c r="F6350" s="9">
        <v>44</v>
      </c>
      <c r="G6350" s="9">
        <v>535</v>
      </c>
      <c r="H6350" s="5" t="s">
        <v>21</v>
      </c>
      <c r="I6350" s="5" t="s">
        <v>15521</v>
      </c>
      <c r="J6350" s="12" t="str">
        <f>HYPERLINK("https://www.boe.es/gazeta/dias/1802/06/01/pdfs/GMD-1802-44.pdf#page=11","Abrir facsímil")</f>
        <v>Abrir facsímil</v>
      </c>
      <c r="K6350" s="15" t="s">
        <v>23</v>
      </c>
    </row>
    <row r="6351" spans="1:11" ht="42" customHeight="1">
      <c r="A6351" s="4" t="s">
        <v>15522</v>
      </c>
      <c r="B6351" s="5" t="s">
        <v>15523</v>
      </c>
      <c r="C6351" s="5" t="s">
        <v>42</v>
      </c>
      <c r="D6351" s="5" t="s">
        <v>43</v>
      </c>
      <c r="E6351" s="5" t="s">
        <v>44</v>
      </c>
      <c r="F6351" s="9">
        <v>99</v>
      </c>
      <c r="G6351" s="9" t="s">
        <v>544</v>
      </c>
      <c r="H6351" s="5" t="s">
        <v>21</v>
      </c>
      <c r="I6351" s="5" t="s">
        <v>15524</v>
      </c>
      <c r="J6351" s="12" t="str">
        <f>HYPERLINK("https://www.boe.es/gazeta/dias/1802/12/07/pdfs/GMD-D-1802-99.pdf#page=11","Abrir facsímil")</f>
        <v>Abrir facsímil</v>
      </c>
      <c r="K6351" s="15" t="s">
        <v>23</v>
      </c>
    </row>
    <row r="6352" spans="1:11" ht="42" customHeight="1">
      <c r="A6352" s="4" t="s">
        <v>15525</v>
      </c>
      <c r="B6352" s="5" t="s">
        <v>15526</v>
      </c>
      <c r="C6352" s="5" t="s">
        <v>29</v>
      </c>
      <c r="D6352" s="5" t="s">
        <v>30</v>
      </c>
      <c r="E6352" s="5" t="s">
        <v>152</v>
      </c>
      <c r="F6352" s="9">
        <v>25</v>
      </c>
      <c r="G6352" s="9">
        <v>286</v>
      </c>
      <c r="H6352" s="5" t="s">
        <v>21</v>
      </c>
      <c r="I6352" s="5" t="s">
        <v>15527</v>
      </c>
      <c r="J6352" s="12" t="str">
        <f>HYPERLINK("https://www.boe.es/gazeta/dias/1802/03/26/pdfs/GMD-1802-25.pdf#page=10","Abrir facsímil")</f>
        <v>Abrir facsímil</v>
      </c>
      <c r="K6352" s="15" t="s">
        <v>23</v>
      </c>
    </row>
    <row r="6353" spans="1:11" ht="42" customHeight="1">
      <c r="A6353" s="4" t="s">
        <v>15525</v>
      </c>
      <c r="B6353" s="5" t="s">
        <v>15526</v>
      </c>
      <c r="C6353" s="5" t="s">
        <v>18</v>
      </c>
      <c r="D6353" s="5" t="s">
        <v>19</v>
      </c>
      <c r="E6353" s="5" t="s">
        <v>49</v>
      </c>
      <c r="F6353" s="9">
        <v>83</v>
      </c>
      <c r="G6353" s="9">
        <v>1022</v>
      </c>
      <c r="H6353" s="5" t="s">
        <v>21</v>
      </c>
      <c r="I6353" s="5" t="s">
        <v>15528</v>
      </c>
      <c r="J6353" s="12" t="str">
        <f>HYPERLINK("https://www.boe.es/gazeta/dias/1802/10/12/pdfs/GMD-1802-83.pdf#page=10","Abrir facsímil")</f>
        <v>Abrir facsímil</v>
      </c>
      <c r="K6353" s="15" t="s">
        <v>23</v>
      </c>
    </row>
    <row r="6354" spans="1:11" ht="42" customHeight="1">
      <c r="A6354" s="4" t="s">
        <v>15529</v>
      </c>
      <c r="B6354" s="5" t="s">
        <v>15529</v>
      </c>
      <c r="C6354" s="5" t="s">
        <v>42</v>
      </c>
      <c r="D6354" s="5" t="s">
        <v>43</v>
      </c>
      <c r="E6354" s="5" t="s">
        <v>44</v>
      </c>
      <c r="F6354" s="9">
        <v>99</v>
      </c>
      <c r="G6354" s="9" t="s">
        <v>779</v>
      </c>
      <c r="H6354" s="5" t="s">
        <v>21</v>
      </c>
      <c r="I6354" s="5" t="s">
        <v>15530</v>
      </c>
      <c r="J6354" s="12" t="str">
        <f>HYPERLINK("https://www.boe.es/gazeta/dias/1802/12/07/pdfs/GMD-D-1802-99.pdf#page=13","Abrir facsímil")</f>
        <v>Abrir facsímil</v>
      </c>
      <c r="K6354" s="15" t="s">
        <v>23</v>
      </c>
    </row>
    <row r="6355" spans="1:11" ht="42" customHeight="1">
      <c r="A6355" s="4" t="s">
        <v>15531</v>
      </c>
      <c r="B6355" s="5" t="s">
        <v>15532</v>
      </c>
      <c r="C6355" s="5" t="s">
        <v>29</v>
      </c>
      <c r="D6355" s="5" t="s">
        <v>30</v>
      </c>
      <c r="E6355" s="5" t="s">
        <v>670</v>
      </c>
      <c r="F6355" s="9">
        <v>40</v>
      </c>
      <c r="G6355" s="9">
        <v>481</v>
      </c>
      <c r="H6355" s="5" t="s">
        <v>21</v>
      </c>
      <c r="I6355" s="5" t="s">
        <v>15533</v>
      </c>
      <c r="J6355" s="12" t="str">
        <f>HYPERLINK("https://www.boe.es/gazeta/dias/1802/05/18/pdfs/GMD-1802-40.pdf#page=9","Abrir facsímil")</f>
        <v>Abrir facsímil</v>
      </c>
      <c r="K6355" s="15" t="s">
        <v>23</v>
      </c>
    </row>
    <row r="6356" spans="1:11" ht="42" customHeight="1">
      <c r="A6356" s="4" t="s">
        <v>15534</v>
      </c>
      <c r="B6356" s="5" t="s">
        <v>15535</v>
      </c>
      <c r="C6356" s="5" t="s">
        <v>18</v>
      </c>
      <c r="D6356" s="5" t="s">
        <v>19</v>
      </c>
      <c r="E6356" s="5" t="s">
        <v>49</v>
      </c>
      <c r="F6356" s="9">
        <v>83</v>
      </c>
      <c r="G6356" s="9">
        <v>1023</v>
      </c>
      <c r="H6356" s="5" t="s">
        <v>21</v>
      </c>
      <c r="I6356" s="5" t="s">
        <v>15536</v>
      </c>
      <c r="J6356" s="12" t="str">
        <f>HYPERLINK("https://www.boe.es/gazeta/dias/1802/10/12/pdfs/GMD-1802-83.pdf#page=11","Abrir facsímil")</f>
        <v>Abrir facsímil</v>
      </c>
      <c r="K6356" s="15" t="s">
        <v>23</v>
      </c>
    </row>
    <row r="6357" spans="1:11" ht="42" customHeight="1">
      <c r="A6357" s="4" t="s">
        <v>15537</v>
      </c>
      <c r="B6357" s="5" t="s">
        <v>15537</v>
      </c>
      <c r="C6357" s="5" t="s">
        <v>29</v>
      </c>
      <c r="D6357" s="5" t="s">
        <v>30</v>
      </c>
      <c r="E6357" s="5" t="s">
        <v>20</v>
      </c>
      <c r="F6357" s="9">
        <v>84</v>
      </c>
      <c r="G6357" s="9">
        <v>1048</v>
      </c>
      <c r="H6357" s="5" t="s">
        <v>21</v>
      </c>
      <c r="I6357" s="5" t="s">
        <v>15538</v>
      </c>
      <c r="J6357" s="12" t="str">
        <f>HYPERLINK("https://www.boe.es/gazeta/dias/1802/10/15/pdfs/GMD-1802-84.pdf#page=16","Abrir facsímil")</f>
        <v>Abrir facsímil</v>
      </c>
      <c r="K6357" s="15" t="s">
        <v>23</v>
      </c>
    </row>
    <row r="6358" spans="1:11" ht="42" customHeight="1">
      <c r="A6358" s="4" t="s">
        <v>15539</v>
      </c>
      <c r="B6358" s="5" t="s">
        <v>15540</v>
      </c>
      <c r="C6358" s="5" t="s">
        <v>29</v>
      </c>
      <c r="D6358" s="5" t="s">
        <v>30</v>
      </c>
      <c r="E6358" s="5" t="s">
        <v>181</v>
      </c>
      <c r="F6358" s="9">
        <v>55</v>
      </c>
      <c r="G6358" s="9">
        <v>668</v>
      </c>
      <c r="H6358" s="5" t="s">
        <v>21</v>
      </c>
      <c r="I6358" s="5" t="s">
        <v>15541</v>
      </c>
      <c r="J6358" s="12" t="str">
        <f>HYPERLINK("https://www.boe.es/gazeta/dias/1802/07/09/pdfs/GMD-1802-55.pdf#page=12","Abrir facsímil")</f>
        <v>Abrir facsímil</v>
      </c>
      <c r="K6358" s="15" t="s">
        <v>23</v>
      </c>
    </row>
    <row r="6359" spans="1:11" ht="42" customHeight="1">
      <c r="A6359" s="4" t="s">
        <v>15542</v>
      </c>
      <c r="B6359" s="5" t="s">
        <v>15543</v>
      </c>
      <c r="C6359" s="5" t="s">
        <v>42</v>
      </c>
      <c r="D6359" s="5" t="s">
        <v>43</v>
      </c>
      <c r="E6359" s="5" t="s">
        <v>44</v>
      </c>
      <c r="F6359" s="9">
        <v>99</v>
      </c>
      <c r="G6359" s="9" t="s">
        <v>544</v>
      </c>
      <c r="H6359" s="5" t="s">
        <v>21</v>
      </c>
      <c r="I6359" s="5" t="s">
        <v>15544</v>
      </c>
      <c r="J6359" s="12" t="str">
        <f>HYPERLINK("https://www.boe.es/gazeta/dias/1802/12/07/pdfs/GMD-D-1802-99.pdf#page=11","Abrir facsímil")</f>
        <v>Abrir facsímil</v>
      </c>
      <c r="K6359" s="15" t="s">
        <v>23</v>
      </c>
    </row>
    <row r="6360" spans="1:11" ht="42" customHeight="1">
      <c r="A6360" s="4" t="s">
        <v>15545</v>
      </c>
      <c r="B6360" s="5" t="s">
        <v>15546</v>
      </c>
      <c r="C6360" s="5" t="s">
        <v>42</v>
      </c>
      <c r="D6360" s="5" t="s">
        <v>43</v>
      </c>
      <c r="E6360" s="5" t="s">
        <v>44</v>
      </c>
      <c r="F6360" s="9">
        <v>99</v>
      </c>
      <c r="G6360" s="9" t="s">
        <v>295</v>
      </c>
      <c r="H6360" s="5" t="s">
        <v>21</v>
      </c>
      <c r="I6360" s="5" t="s">
        <v>15547</v>
      </c>
      <c r="J6360" s="12" t="str">
        <f>HYPERLINK("https://www.boe.es/gazeta/dias/1802/12/07/pdfs/GMD-D-1802-99.pdf#page=7","Abrir facsímil")</f>
        <v>Abrir facsímil</v>
      </c>
      <c r="K6360" s="15" t="s">
        <v>23</v>
      </c>
    </row>
    <row r="6361" spans="1:11" ht="42" customHeight="1">
      <c r="A6361" s="4" t="s">
        <v>15548</v>
      </c>
      <c r="B6361" s="5" t="s">
        <v>15549</v>
      </c>
      <c r="C6361" s="5" t="s">
        <v>55</v>
      </c>
      <c r="D6361" s="5" t="s">
        <v>56</v>
      </c>
      <c r="E6361" s="5" t="s">
        <v>1749</v>
      </c>
      <c r="F6361" s="9">
        <v>60</v>
      </c>
      <c r="G6361" s="9">
        <v>727</v>
      </c>
      <c r="H6361" s="5" t="s">
        <v>21</v>
      </c>
      <c r="I6361" s="5" t="s">
        <v>15550</v>
      </c>
      <c r="J6361" s="12" t="str">
        <f>HYPERLINK("https://www.boe.es/gazeta/dias/1802/07/23/pdfs/GMD-1802-60.pdf#page=11","Abrir facsímil")</f>
        <v>Abrir facsímil</v>
      </c>
      <c r="K6361" s="15" t="s">
        <v>23</v>
      </c>
    </row>
    <row r="6362" spans="1:11" ht="42" customHeight="1">
      <c r="A6362" s="4" t="s">
        <v>15551</v>
      </c>
      <c r="B6362" s="5" t="s">
        <v>15552</v>
      </c>
      <c r="C6362" s="5" t="s">
        <v>42</v>
      </c>
      <c r="D6362" s="5" t="s">
        <v>43</v>
      </c>
      <c r="E6362" s="5" t="s">
        <v>44</v>
      </c>
      <c r="F6362" s="9">
        <v>99</v>
      </c>
      <c r="G6362" s="9" t="s">
        <v>554</v>
      </c>
      <c r="H6362" s="5" t="s">
        <v>21</v>
      </c>
      <c r="I6362" s="5" t="s">
        <v>15553</v>
      </c>
      <c r="J6362" s="12" t="str">
        <f>HYPERLINK("https://www.boe.es/gazeta/dias/1802/12/07/pdfs/GMD-D-1802-99.pdf#page=4","Abrir facsímil")</f>
        <v>Abrir facsímil</v>
      </c>
      <c r="K6362" s="15" t="s">
        <v>23</v>
      </c>
    </row>
    <row r="6363" spans="1:11" ht="42" customHeight="1">
      <c r="A6363" s="4" t="s">
        <v>15554</v>
      </c>
      <c r="B6363" s="5" t="s">
        <v>15555</v>
      </c>
      <c r="C6363" s="5" t="s">
        <v>18</v>
      </c>
      <c r="D6363" s="5" t="s">
        <v>19</v>
      </c>
      <c r="E6363" s="5" t="s">
        <v>31</v>
      </c>
      <c r="F6363" s="9">
        <v>27</v>
      </c>
      <c r="G6363" s="9">
        <v>317</v>
      </c>
      <c r="H6363" s="5" t="s">
        <v>21</v>
      </c>
      <c r="I6363" s="5" t="s">
        <v>15556</v>
      </c>
      <c r="J6363" s="12" t="str">
        <f>HYPERLINK("https://www.boe.es/gazeta/dias/1802/04/02/pdfs/GMD-1802-27.pdf#page=13","Abrir facsímil")</f>
        <v>Abrir facsímil</v>
      </c>
      <c r="K6363" s="15" t="s">
        <v>23</v>
      </c>
    </row>
    <row r="6364" spans="1:11" ht="42" customHeight="1">
      <c r="A6364" s="4" t="s">
        <v>15557</v>
      </c>
      <c r="B6364" s="5" t="s">
        <v>15558</v>
      </c>
      <c r="C6364" s="5" t="s">
        <v>18</v>
      </c>
      <c r="D6364" s="5" t="s">
        <v>19</v>
      </c>
      <c r="E6364" s="5" t="s">
        <v>20</v>
      </c>
      <c r="F6364" s="9">
        <v>84</v>
      </c>
      <c r="G6364" s="9">
        <v>1039</v>
      </c>
      <c r="H6364" s="5" t="s">
        <v>21</v>
      </c>
      <c r="I6364" s="5" t="s">
        <v>15559</v>
      </c>
      <c r="J6364" s="12" t="str">
        <f>HYPERLINK("https://www.boe.es/gazeta/dias/1802/10/15/pdfs/GMD-1802-84.pdf#page=7","Abrir facsímil")</f>
        <v>Abrir facsímil</v>
      </c>
      <c r="K6364" s="15" t="s">
        <v>23</v>
      </c>
    </row>
    <row r="6365" spans="1:11" ht="42" customHeight="1">
      <c r="A6365" s="4" t="s">
        <v>15560</v>
      </c>
      <c r="B6365" s="5" t="s">
        <v>15561</v>
      </c>
      <c r="C6365" s="5" t="s">
        <v>29</v>
      </c>
      <c r="D6365" s="5" t="s">
        <v>30</v>
      </c>
      <c r="E6365" s="5" t="s">
        <v>389</v>
      </c>
      <c r="F6365" s="9">
        <v>96</v>
      </c>
      <c r="G6365" s="9">
        <v>1189</v>
      </c>
      <c r="H6365" s="5" t="s">
        <v>21</v>
      </c>
      <c r="I6365" s="5" t="s">
        <v>15562</v>
      </c>
      <c r="J6365" s="12" t="str">
        <f>HYPERLINK("https://www.boe.es/gazeta/dias/1802/11/26/pdfs/GMD-1802-96.pdf#page=9","Abrir facsímil")</f>
        <v>Abrir facsímil</v>
      </c>
      <c r="K6365" s="15" t="s">
        <v>23</v>
      </c>
    </row>
    <row r="6366" spans="1:11" ht="42" customHeight="1">
      <c r="A6366" s="4" t="s">
        <v>15563</v>
      </c>
      <c r="B6366" s="5" t="s">
        <v>15564</v>
      </c>
      <c r="C6366" s="5" t="s">
        <v>29</v>
      </c>
      <c r="D6366" s="5" t="s">
        <v>30</v>
      </c>
      <c r="E6366" s="5" t="s">
        <v>152</v>
      </c>
      <c r="F6366" s="9">
        <v>25</v>
      </c>
      <c r="G6366" s="9">
        <v>286</v>
      </c>
      <c r="H6366" s="5" t="s">
        <v>21</v>
      </c>
      <c r="I6366" s="5" t="s">
        <v>15565</v>
      </c>
      <c r="J6366" s="12" t="str">
        <f>HYPERLINK("https://www.boe.es/gazeta/dias/1802/03/26/pdfs/GMD-1802-25.pdf#page=10","Abrir facsímil")</f>
        <v>Abrir facsímil</v>
      </c>
      <c r="K6366" s="15" t="s">
        <v>23</v>
      </c>
    </row>
    <row r="6367" spans="1:11" ht="42" customHeight="1">
      <c r="A6367" s="4" t="s">
        <v>15566</v>
      </c>
      <c r="B6367" s="5" t="s">
        <v>15567</v>
      </c>
      <c r="C6367" s="5" t="s">
        <v>18</v>
      </c>
      <c r="D6367" s="5" t="s">
        <v>19</v>
      </c>
      <c r="E6367" s="5" t="s">
        <v>206</v>
      </c>
      <c r="F6367" s="9">
        <v>22</v>
      </c>
      <c r="G6367" s="9">
        <v>240</v>
      </c>
      <c r="H6367" s="5" t="s">
        <v>21</v>
      </c>
      <c r="I6367" s="5" t="s">
        <v>15568</v>
      </c>
      <c r="J6367" s="12" t="str">
        <f>HYPERLINK("https://www.boe.es/gazeta/dias/1802/03/16/pdfs/GMD-1802-22.pdf#page=8","Abrir facsímil")</f>
        <v>Abrir facsímil</v>
      </c>
      <c r="K6367" s="15" t="s">
        <v>23</v>
      </c>
    </row>
    <row r="6368" spans="1:11" ht="42" customHeight="1">
      <c r="A6368" s="4" t="s">
        <v>15569</v>
      </c>
      <c r="B6368" s="5" t="s">
        <v>15570</v>
      </c>
      <c r="C6368" s="5" t="s">
        <v>29</v>
      </c>
      <c r="D6368" s="5" t="s">
        <v>30</v>
      </c>
      <c r="E6368" s="5" t="s">
        <v>299</v>
      </c>
      <c r="F6368" s="9">
        <v>19</v>
      </c>
      <c r="G6368" s="9">
        <v>210</v>
      </c>
      <c r="H6368" s="5" t="s">
        <v>21</v>
      </c>
      <c r="I6368" s="5" t="s">
        <v>15571</v>
      </c>
      <c r="J6368" s="12" t="str">
        <f>HYPERLINK("https://www.boe.es/gazeta/dias/1802/03/05/pdfs/GMD-1802-19.pdf#page=10","Abrir facsímil")</f>
        <v>Abrir facsímil</v>
      </c>
      <c r="K6368" s="15" t="s">
        <v>23</v>
      </c>
    </row>
    <row r="6369" spans="1:11" ht="42" customHeight="1">
      <c r="A6369" s="4" t="s">
        <v>15572</v>
      </c>
      <c r="B6369" s="5" t="s">
        <v>15573</v>
      </c>
      <c r="C6369" s="5" t="s">
        <v>29</v>
      </c>
      <c r="D6369" s="5" t="s">
        <v>30</v>
      </c>
      <c r="E6369" s="5" t="s">
        <v>152</v>
      </c>
      <c r="F6369" s="9">
        <v>25</v>
      </c>
      <c r="G6369" s="9">
        <v>286</v>
      </c>
      <c r="H6369" s="5" t="s">
        <v>21</v>
      </c>
      <c r="I6369" s="5" t="s">
        <v>15574</v>
      </c>
      <c r="J6369" s="12" t="str">
        <f>HYPERLINK("https://www.boe.es/gazeta/dias/1802/03/26/pdfs/GMD-1802-25.pdf#page=10","Abrir facsímil")</f>
        <v>Abrir facsímil</v>
      </c>
      <c r="K6369" s="15" t="s">
        <v>23</v>
      </c>
    </row>
    <row r="6370" spans="1:11" ht="42" customHeight="1">
      <c r="A6370" s="4" t="s">
        <v>15575</v>
      </c>
      <c r="B6370" s="5" t="s">
        <v>15576</v>
      </c>
      <c r="C6370" s="5" t="s">
        <v>29</v>
      </c>
      <c r="D6370" s="5" t="s">
        <v>30</v>
      </c>
      <c r="E6370" s="5" t="s">
        <v>381</v>
      </c>
      <c r="F6370" s="9">
        <v>13</v>
      </c>
      <c r="G6370" s="9">
        <v>131</v>
      </c>
      <c r="H6370" s="5" t="s">
        <v>21</v>
      </c>
      <c r="I6370" s="5" t="s">
        <v>15577</v>
      </c>
      <c r="J6370" s="12" t="str">
        <f>HYPERLINK("https://www.boe.es/gazeta/dias/1802/02/12/pdfs/GMD-1802-13.pdf#page=7","Abrir facsímil")</f>
        <v>Abrir facsímil</v>
      </c>
      <c r="K6370" s="15" t="s">
        <v>23</v>
      </c>
    </row>
    <row r="6371" spans="1:11" ht="42" customHeight="1">
      <c r="A6371" s="4" t="s">
        <v>15575</v>
      </c>
      <c r="B6371" s="5" t="s">
        <v>15576</v>
      </c>
      <c r="C6371" s="5" t="s">
        <v>18</v>
      </c>
      <c r="D6371" s="5" t="s">
        <v>19</v>
      </c>
      <c r="E6371" s="5" t="s">
        <v>49</v>
      </c>
      <c r="F6371" s="9">
        <v>83</v>
      </c>
      <c r="G6371" s="9">
        <v>1024</v>
      </c>
      <c r="H6371" s="5" t="s">
        <v>21</v>
      </c>
      <c r="I6371" s="5" t="s">
        <v>15578</v>
      </c>
      <c r="J6371" s="12" t="str">
        <f>HYPERLINK("https://www.boe.es/gazeta/dias/1802/10/12/pdfs/GMD-1802-83.pdf#page=12","Abrir facsímil")</f>
        <v>Abrir facsímil</v>
      </c>
      <c r="K6371" s="15" t="s">
        <v>23</v>
      </c>
    </row>
    <row r="6372" spans="1:11" ht="42" customHeight="1">
      <c r="A6372" s="4" t="s">
        <v>15579</v>
      </c>
      <c r="B6372" s="5" t="s">
        <v>15580</v>
      </c>
      <c r="C6372" s="5" t="s">
        <v>29</v>
      </c>
      <c r="D6372" s="5" t="s">
        <v>30</v>
      </c>
      <c r="E6372" s="5" t="s">
        <v>328</v>
      </c>
      <c r="F6372" s="9">
        <v>45</v>
      </c>
      <c r="G6372" s="9">
        <v>545</v>
      </c>
      <c r="H6372" s="5" t="s">
        <v>21</v>
      </c>
      <c r="I6372" s="5" t="s">
        <v>15581</v>
      </c>
      <c r="J6372" s="12" t="str">
        <f>HYPERLINK("https://www.boe.es/gazeta/dias/1802/06/04/pdfs/GMD-1802-45.pdf#page=9","Abrir facsímil")</f>
        <v>Abrir facsímil</v>
      </c>
      <c r="K6372" s="15" t="s">
        <v>23</v>
      </c>
    </row>
    <row r="6373" spans="1:11" ht="42" customHeight="1">
      <c r="A6373" s="4" t="s">
        <v>15579</v>
      </c>
      <c r="B6373" s="5" t="s">
        <v>15580</v>
      </c>
      <c r="C6373" s="5" t="s">
        <v>42</v>
      </c>
      <c r="D6373" s="5" t="s">
        <v>43</v>
      </c>
      <c r="E6373" s="5" t="s">
        <v>44</v>
      </c>
      <c r="F6373" s="9">
        <v>99</v>
      </c>
      <c r="G6373" s="9" t="s">
        <v>322</v>
      </c>
      <c r="H6373" s="5" t="s">
        <v>21</v>
      </c>
      <c r="I6373" s="5" t="s">
        <v>15582</v>
      </c>
      <c r="J6373" s="12" t="str">
        <f>HYPERLINK("https://www.boe.es/gazeta/dias/1802/12/07/pdfs/GMD-D-1802-99.pdf#page=10","Abrir facsímil")</f>
        <v>Abrir facsímil</v>
      </c>
      <c r="K6373" s="15" t="s">
        <v>23</v>
      </c>
    </row>
    <row r="6374" spans="1:11" ht="42" customHeight="1">
      <c r="A6374" s="4" t="s">
        <v>15583</v>
      </c>
      <c r="B6374" s="5" t="s">
        <v>15584</v>
      </c>
      <c r="C6374" s="5" t="s">
        <v>29</v>
      </c>
      <c r="D6374" s="5" t="s">
        <v>30</v>
      </c>
      <c r="E6374" s="5" t="s">
        <v>385</v>
      </c>
      <c r="F6374" s="9">
        <v>70</v>
      </c>
      <c r="G6374" s="9">
        <v>862</v>
      </c>
      <c r="H6374" s="5" t="s">
        <v>21</v>
      </c>
      <c r="I6374" s="5" t="s">
        <v>15585</v>
      </c>
      <c r="J6374" s="12" t="str">
        <f>HYPERLINK("https://www.boe.es/gazeta/dias/1802/08/27/pdfs/GMD-1802-70.pdf#page=10","Abrir facsímil")</f>
        <v>Abrir facsímil</v>
      </c>
      <c r="K6374" s="15" t="s">
        <v>23</v>
      </c>
    </row>
    <row r="6375" spans="1:11" ht="42" customHeight="1">
      <c r="A6375" s="4" t="s">
        <v>15586</v>
      </c>
      <c r="B6375" s="5" t="s">
        <v>15587</v>
      </c>
      <c r="C6375" s="5" t="s">
        <v>18</v>
      </c>
      <c r="D6375" s="5" t="s">
        <v>19</v>
      </c>
      <c r="E6375" s="5" t="s">
        <v>631</v>
      </c>
      <c r="F6375" s="9">
        <v>36</v>
      </c>
      <c r="G6375" s="9">
        <v>430</v>
      </c>
      <c r="H6375" s="5" t="s">
        <v>21</v>
      </c>
      <c r="I6375" s="5" t="s">
        <v>15588</v>
      </c>
      <c r="J6375" s="12" t="str">
        <f>HYPERLINK("https://www.boe.es/gazeta/dias/1802/05/04/pdfs/GMD-1802-36.pdf#page=10","Abrir facsímil")</f>
        <v>Abrir facsímil</v>
      </c>
      <c r="K6375" s="15" t="s">
        <v>23</v>
      </c>
    </row>
    <row r="6376" spans="1:11" ht="42" customHeight="1">
      <c r="A6376" s="4" t="s">
        <v>15586</v>
      </c>
      <c r="B6376" s="5" t="s">
        <v>15587</v>
      </c>
      <c r="C6376" s="5" t="s">
        <v>18</v>
      </c>
      <c r="D6376" s="5" t="s">
        <v>19</v>
      </c>
      <c r="E6376" s="5" t="s">
        <v>49</v>
      </c>
      <c r="F6376" s="9">
        <v>83</v>
      </c>
      <c r="G6376" s="9">
        <v>1023</v>
      </c>
      <c r="H6376" s="5" t="s">
        <v>21</v>
      </c>
      <c r="I6376" s="5" t="s">
        <v>15589</v>
      </c>
      <c r="J6376" s="12" t="str">
        <f>HYPERLINK("https://www.boe.es/gazeta/dias/1802/10/12/pdfs/GMD-1802-83.pdf#page=11","Abrir facsímil")</f>
        <v>Abrir facsímil</v>
      </c>
      <c r="K6376" s="15" t="s">
        <v>23</v>
      </c>
    </row>
    <row r="6377" spans="1:11" ht="42" customHeight="1">
      <c r="A6377" s="4" t="s">
        <v>15590</v>
      </c>
      <c r="B6377" s="5" t="s">
        <v>15591</v>
      </c>
      <c r="C6377" s="5" t="s">
        <v>160</v>
      </c>
      <c r="D6377" s="5" t="s">
        <v>91</v>
      </c>
      <c r="E6377" s="5" t="s">
        <v>163</v>
      </c>
      <c r="F6377" s="9">
        <v>1</v>
      </c>
      <c r="G6377" s="9">
        <v>7</v>
      </c>
      <c r="H6377" s="5" t="s">
        <v>21</v>
      </c>
      <c r="I6377" s="5" t="s">
        <v>15592</v>
      </c>
      <c r="J6377" s="12" t="str">
        <f>HYPERLINK("https://www.boe.es/gazeta/dias/1802/01/01/pdfs/GMD-1802-1.pdf#page=7","Abrir facsímil")</f>
        <v>Abrir facsímil</v>
      </c>
      <c r="K6377" s="15" t="s">
        <v>23</v>
      </c>
    </row>
    <row r="6378" spans="1:11" ht="42" customHeight="1">
      <c r="A6378" s="4" t="s">
        <v>15593</v>
      </c>
      <c r="B6378" s="5" t="s">
        <v>15594</v>
      </c>
      <c r="C6378" s="5" t="s">
        <v>29</v>
      </c>
      <c r="D6378" s="5" t="s">
        <v>30</v>
      </c>
      <c r="E6378" s="5" t="s">
        <v>453</v>
      </c>
      <c r="F6378" s="9">
        <v>52</v>
      </c>
      <c r="G6378" s="9">
        <v>631</v>
      </c>
      <c r="H6378" s="5" t="s">
        <v>21</v>
      </c>
      <c r="I6378" s="5" t="s">
        <v>15595</v>
      </c>
      <c r="J6378" s="12" t="str">
        <f>HYPERLINK("https://www.boe.es/gazeta/dias/1802/06/29/pdfs/GMD-1802-52.pdf#page=7","Abrir facsímil")</f>
        <v>Abrir facsímil</v>
      </c>
      <c r="K6378" s="15" t="s">
        <v>23</v>
      </c>
    </row>
    <row r="6379" spans="1:11" ht="42" customHeight="1">
      <c r="A6379" s="4" t="s">
        <v>15593</v>
      </c>
      <c r="B6379" s="5" t="s">
        <v>15594</v>
      </c>
      <c r="C6379" s="5" t="s">
        <v>29</v>
      </c>
      <c r="D6379" s="5" t="s">
        <v>30</v>
      </c>
      <c r="E6379" s="5" t="s">
        <v>491</v>
      </c>
      <c r="F6379" s="9">
        <v>57</v>
      </c>
      <c r="G6379" s="9">
        <v>689</v>
      </c>
      <c r="H6379" s="5" t="s">
        <v>21</v>
      </c>
      <c r="I6379" s="5" t="s">
        <v>15596</v>
      </c>
      <c r="J6379" s="12" t="str">
        <f>HYPERLINK("https://www.boe.es/gazeta/dias/1802/07/16/pdfs/GMD-1802-57.pdf#page=9","Abrir facsímil")</f>
        <v>Abrir facsímil</v>
      </c>
      <c r="K6379" s="15" t="s">
        <v>23</v>
      </c>
    </row>
    <row r="6380" spans="1:11" ht="42" customHeight="1">
      <c r="A6380" s="4" t="s">
        <v>15593</v>
      </c>
      <c r="B6380" s="5" t="s">
        <v>15594</v>
      </c>
      <c r="C6380" s="5" t="s">
        <v>29</v>
      </c>
      <c r="D6380" s="5" t="s">
        <v>30</v>
      </c>
      <c r="E6380" s="5" t="s">
        <v>142</v>
      </c>
      <c r="F6380" s="9">
        <v>64</v>
      </c>
      <c r="G6380" s="9">
        <v>782</v>
      </c>
      <c r="H6380" s="5" t="s">
        <v>21</v>
      </c>
      <c r="I6380" s="5" t="s">
        <v>15597</v>
      </c>
      <c r="J6380" s="12" t="str">
        <f>HYPERLINK("https://www.boe.es/gazeta/dias/1802/08/06/pdfs/GMD-1802-64.pdf#page=10","Abrir facsímil")</f>
        <v>Abrir facsímil</v>
      </c>
      <c r="K6380" s="15" t="s">
        <v>23</v>
      </c>
    </row>
    <row r="6381" spans="1:11" ht="42" customHeight="1">
      <c r="A6381" s="4" t="s">
        <v>15598</v>
      </c>
      <c r="B6381" s="5" t="s">
        <v>15599</v>
      </c>
      <c r="C6381" s="5" t="s">
        <v>29</v>
      </c>
      <c r="D6381" s="5" t="s">
        <v>30</v>
      </c>
      <c r="E6381" s="5" t="s">
        <v>71</v>
      </c>
      <c r="F6381" s="9">
        <v>21</v>
      </c>
      <c r="G6381" s="9">
        <v>233</v>
      </c>
      <c r="H6381" s="5" t="s">
        <v>21</v>
      </c>
      <c r="I6381" s="5" t="s">
        <v>15600</v>
      </c>
      <c r="J6381" s="12" t="str">
        <f>HYPERLINK("https://www.boe.es/gazeta/dias/1802/03/12/pdfs/GMD-1802-21.pdf#page=9","Abrir facsímil")</f>
        <v>Abrir facsímil</v>
      </c>
      <c r="K6381" s="15" t="s">
        <v>23</v>
      </c>
    </row>
    <row r="6382" spans="1:11" ht="42" customHeight="1">
      <c r="A6382" s="4" t="s">
        <v>15598</v>
      </c>
      <c r="B6382" s="5" t="s">
        <v>15599</v>
      </c>
      <c r="C6382" s="5" t="s">
        <v>29</v>
      </c>
      <c r="D6382" s="5" t="s">
        <v>30</v>
      </c>
      <c r="E6382" s="5" t="s">
        <v>206</v>
      </c>
      <c r="F6382" s="9">
        <v>22</v>
      </c>
      <c r="G6382" s="9">
        <v>241</v>
      </c>
      <c r="H6382" s="5" t="s">
        <v>21</v>
      </c>
      <c r="I6382" s="5" t="s">
        <v>15601</v>
      </c>
      <c r="J6382" s="12" t="str">
        <f>HYPERLINK("https://www.boe.es/gazeta/dias/1802/03/16/pdfs/GMD-1802-22.pdf#page=9","Abrir facsímil")</f>
        <v>Abrir facsímil</v>
      </c>
      <c r="K6382" s="15" t="s">
        <v>23</v>
      </c>
    </row>
    <row r="6383" spans="1:11" ht="42" customHeight="1">
      <c r="A6383" s="4" t="s">
        <v>15598</v>
      </c>
      <c r="B6383" s="5" t="s">
        <v>15599</v>
      </c>
      <c r="C6383" s="5" t="s">
        <v>42</v>
      </c>
      <c r="D6383" s="5" t="s">
        <v>43</v>
      </c>
      <c r="E6383" s="5" t="s">
        <v>44</v>
      </c>
      <c r="F6383" s="9">
        <v>99</v>
      </c>
      <c r="G6383" s="9" t="s">
        <v>78</v>
      </c>
      <c r="H6383" s="5" t="s">
        <v>21</v>
      </c>
      <c r="I6383" s="5" t="s">
        <v>15602</v>
      </c>
      <c r="J6383" s="12" t="str">
        <f>HYPERLINK("https://www.boe.es/gazeta/dias/1802/12/07/pdfs/GMD-D-1802-99.pdf#page=15","Abrir facsímil")</f>
        <v>Abrir facsímil</v>
      </c>
      <c r="K6383" s="15" t="s">
        <v>23</v>
      </c>
    </row>
    <row r="6384" spans="1:11" ht="42" customHeight="1">
      <c r="A6384" s="4" t="s">
        <v>15598</v>
      </c>
      <c r="B6384" s="5" t="s">
        <v>15599</v>
      </c>
      <c r="C6384" s="5" t="s">
        <v>42</v>
      </c>
      <c r="D6384" s="5" t="s">
        <v>43</v>
      </c>
      <c r="E6384" s="5" t="s">
        <v>44</v>
      </c>
      <c r="F6384" s="9">
        <v>99</v>
      </c>
      <c r="G6384" s="9" t="s">
        <v>272</v>
      </c>
      <c r="H6384" s="5" t="s">
        <v>21</v>
      </c>
      <c r="I6384" s="5" t="s">
        <v>15603</v>
      </c>
      <c r="J6384" s="12" t="str">
        <f>HYPERLINK("https://www.boe.es/gazeta/dias/1802/12/07/pdfs/GMD-D-1802-99.pdf#page=3","Abrir facsímil")</f>
        <v>Abrir facsímil</v>
      </c>
      <c r="K6384" s="15" t="s">
        <v>23</v>
      </c>
    </row>
    <row r="6385" spans="1:11" ht="42" customHeight="1">
      <c r="A6385" s="4" t="s">
        <v>15604</v>
      </c>
      <c r="B6385" s="5" t="s">
        <v>15605</v>
      </c>
      <c r="C6385" s="5" t="s">
        <v>18</v>
      </c>
      <c r="D6385" s="5" t="s">
        <v>19</v>
      </c>
      <c r="E6385" s="5" t="s">
        <v>49</v>
      </c>
      <c r="F6385" s="9">
        <v>83</v>
      </c>
      <c r="G6385" s="9">
        <v>1025</v>
      </c>
      <c r="H6385" s="5" t="s">
        <v>21</v>
      </c>
      <c r="I6385" s="5" t="s">
        <v>15606</v>
      </c>
      <c r="J6385" s="12" t="str">
        <f>HYPERLINK("https://www.boe.es/gazeta/dias/1802/10/12/pdfs/GMD-1802-83.pdf#page=13","Abrir facsímil")</f>
        <v>Abrir facsímil</v>
      </c>
      <c r="K6385" s="15" t="s">
        <v>23</v>
      </c>
    </row>
    <row r="6386" spans="1:11" ht="42" customHeight="1">
      <c r="A6386" s="4" t="s">
        <v>15607</v>
      </c>
      <c r="B6386" s="5" t="s">
        <v>15608</v>
      </c>
      <c r="C6386" s="5" t="s">
        <v>55</v>
      </c>
      <c r="D6386" s="5" t="s">
        <v>56</v>
      </c>
      <c r="E6386" s="5" t="s">
        <v>146</v>
      </c>
      <c r="F6386" s="9">
        <v>42</v>
      </c>
      <c r="G6386" s="9">
        <v>507</v>
      </c>
      <c r="H6386" s="5" t="s">
        <v>21</v>
      </c>
      <c r="I6386" s="5" t="s">
        <v>15609</v>
      </c>
      <c r="J6386" s="12" t="str">
        <f>HYPERLINK("https://www.boe.es/gazeta/dias/1802/05/25/pdfs/GMD-1802-42.pdf#page=11","Abrir facsímil")</f>
        <v>Abrir facsímil</v>
      </c>
      <c r="K6386" s="15" t="s">
        <v>23</v>
      </c>
    </row>
    <row r="6387" spans="1:11" ht="42" customHeight="1">
      <c r="A6387" s="4" t="s">
        <v>15610</v>
      </c>
      <c r="B6387" s="5" t="s">
        <v>15611</v>
      </c>
      <c r="C6387" s="5" t="s">
        <v>42</v>
      </c>
      <c r="D6387" s="5" t="s">
        <v>43</v>
      </c>
      <c r="E6387" s="5" t="s">
        <v>44</v>
      </c>
      <c r="F6387" s="9">
        <v>99</v>
      </c>
      <c r="G6387" s="9" t="s">
        <v>295</v>
      </c>
      <c r="H6387" s="5" t="s">
        <v>21</v>
      </c>
      <c r="I6387" s="5" t="s">
        <v>15612</v>
      </c>
      <c r="J6387" s="12" t="str">
        <f>HYPERLINK("https://www.boe.es/gazeta/dias/1802/12/07/pdfs/GMD-D-1802-99.pdf#page=7","Abrir facsímil")</f>
        <v>Abrir facsímil</v>
      </c>
      <c r="K6387" s="15" t="s">
        <v>23</v>
      </c>
    </row>
    <row r="6388" spans="1:11" ht="42" customHeight="1">
      <c r="A6388" s="4" t="s">
        <v>15613</v>
      </c>
      <c r="B6388" s="5" t="s">
        <v>15614</v>
      </c>
      <c r="C6388" s="5" t="s">
        <v>18</v>
      </c>
      <c r="D6388" s="5" t="s">
        <v>19</v>
      </c>
      <c r="E6388" s="5" t="s">
        <v>20</v>
      </c>
      <c r="F6388" s="9">
        <v>84</v>
      </c>
      <c r="G6388" s="9">
        <v>1044</v>
      </c>
      <c r="H6388" s="5" t="s">
        <v>21</v>
      </c>
      <c r="I6388" s="5" t="s">
        <v>15615</v>
      </c>
      <c r="J6388" s="12" t="str">
        <f>HYPERLINK("https://www.boe.es/gazeta/dias/1802/10/15/pdfs/GMD-1802-84.pdf#page=12","Abrir facsímil")</f>
        <v>Abrir facsímil</v>
      </c>
      <c r="K6388" s="15" t="s">
        <v>23</v>
      </c>
    </row>
    <row r="6389" spans="1:11" ht="42" customHeight="1">
      <c r="A6389" s="4" t="s">
        <v>15616</v>
      </c>
      <c r="B6389" s="5" t="s">
        <v>15616</v>
      </c>
      <c r="C6389" s="5" t="s">
        <v>18</v>
      </c>
      <c r="D6389" s="5" t="s">
        <v>19</v>
      </c>
      <c r="E6389" s="5" t="s">
        <v>20</v>
      </c>
      <c r="F6389" s="9">
        <v>84</v>
      </c>
      <c r="G6389" s="9">
        <v>1046</v>
      </c>
      <c r="H6389" s="5" t="s">
        <v>21</v>
      </c>
      <c r="I6389" s="5" t="s">
        <v>15617</v>
      </c>
      <c r="J6389" s="12" t="str">
        <f>HYPERLINK("https://www.boe.es/gazeta/dias/1802/10/15/pdfs/GMD-1802-84.pdf#page=14","Abrir facsímil")</f>
        <v>Abrir facsímil</v>
      </c>
      <c r="K6389" s="15" t="s">
        <v>23</v>
      </c>
    </row>
    <row r="6390" spans="1:11" ht="42" customHeight="1">
      <c r="A6390" s="4" t="s">
        <v>15618</v>
      </c>
      <c r="B6390" s="5" t="s">
        <v>15619</v>
      </c>
      <c r="C6390" s="5" t="s">
        <v>18</v>
      </c>
      <c r="D6390" s="5" t="s">
        <v>19</v>
      </c>
      <c r="E6390" s="5" t="s">
        <v>49</v>
      </c>
      <c r="F6390" s="9">
        <v>83</v>
      </c>
      <c r="G6390" s="9">
        <v>1025</v>
      </c>
      <c r="H6390" s="5" t="s">
        <v>21</v>
      </c>
      <c r="I6390" s="5" t="s">
        <v>15620</v>
      </c>
      <c r="J6390" s="12" t="str">
        <f>HYPERLINK("https://www.boe.es/gazeta/dias/1802/10/12/pdfs/GMD-1802-83.pdf#page=13","Abrir facsímil")</f>
        <v>Abrir facsímil</v>
      </c>
      <c r="K6390" s="15" t="s">
        <v>23</v>
      </c>
    </row>
    <row r="6391" spans="1:11" ht="42" customHeight="1">
      <c r="A6391" s="4" t="s">
        <v>15621</v>
      </c>
      <c r="B6391" s="5" t="s">
        <v>15622</v>
      </c>
      <c r="C6391" s="5" t="s">
        <v>18</v>
      </c>
      <c r="D6391" s="5" t="s">
        <v>19</v>
      </c>
      <c r="E6391" s="5" t="s">
        <v>49</v>
      </c>
      <c r="F6391" s="9">
        <v>83</v>
      </c>
      <c r="G6391" s="9">
        <v>1025</v>
      </c>
      <c r="H6391" s="5" t="s">
        <v>21</v>
      </c>
      <c r="I6391" s="5" t="s">
        <v>15623</v>
      </c>
      <c r="J6391" s="12" t="str">
        <f>HYPERLINK("https://www.boe.es/gazeta/dias/1802/10/12/pdfs/GMD-1802-83.pdf#page=13","Abrir facsímil")</f>
        <v>Abrir facsímil</v>
      </c>
      <c r="K6391" s="15" t="s">
        <v>23</v>
      </c>
    </row>
    <row r="6392" spans="1:11" ht="42" customHeight="1">
      <c r="A6392" s="4" t="s">
        <v>15624</v>
      </c>
      <c r="B6392" s="5" t="s">
        <v>15625</v>
      </c>
      <c r="C6392" s="5" t="s">
        <v>18</v>
      </c>
      <c r="D6392" s="5" t="s">
        <v>19</v>
      </c>
      <c r="E6392" s="5" t="s">
        <v>49</v>
      </c>
      <c r="F6392" s="9">
        <v>83</v>
      </c>
      <c r="G6392" s="9">
        <v>1024</v>
      </c>
      <c r="H6392" s="5" t="s">
        <v>21</v>
      </c>
      <c r="I6392" s="5" t="s">
        <v>15626</v>
      </c>
      <c r="J6392" s="12" t="str">
        <f>HYPERLINK("https://www.boe.es/gazeta/dias/1802/10/12/pdfs/GMD-1802-83.pdf#page=12","Abrir facsímil")</f>
        <v>Abrir facsímil</v>
      </c>
      <c r="K6392" s="15" t="s">
        <v>23</v>
      </c>
    </row>
    <row r="6393" spans="1:11" ht="42" customHeight="1">
      <c r="A6393" s="4" t="s">
        <v>15627</v>
      </c>
      <c r="B6393" s="5" t="s">
        <v>15628</v>
      </c>
      <c r="C6393" s="5" t="s">
        <v>29</v>
      </c>
      <c r="D6393" s="5" t="s">
        <v>30</v>
      </c>
      <c r="E6393" s="5" t="s">
        <v>881</v>
      </c>
      <c r="F6393" s="9">
        <v>65</v>
      </c>
      <c r="G6393" s="9">
        <v>795</v>
      </c>
      <c r="H6393" s="5" t="s">
        <v>21</v>
      </c>
      <c r="I6393" s="5" t="s">
        <v>15629</v>
      </c>
      <c r="J6393" s="12" t="str">
        <f>HYPERLINK("https://www.boe.es/gazeta/dias/1802/08/10/pdfs/GMD-1802-65.pdf#page=11","Abrir facsímil")</f>
        <v>Abrir facsímil</v>
      </c>
      <c r="K6393" s="15" t="s">
        <v>23</v>
      </c>
    </row>
    <row r="6394" spans="1:11" ht="42" customHeight="1">
      <c r="A6394" s="4" t="s">
        <v>15630</v>
      </c>
      <c r="B6394" s="5" t="s">
        <v>15631</v>
      </c>
      <c r="C6394" s="5" t="s">
        <v>18</v>
      </c>
      <c r="D6394" s="5" t="s">
        <v>19</v>
      </c>
      <c r="E6394" s="5" t="s">
        <v>814</v>
      </c>
      <c r="F6394" s="9">
        <v>41</v>
      </c>
      <c r="G6394" s="9">
        <v>493</v>
      </c>
      <c r="H6394" s="5" t="s">
        <v>21</v>
      </c>
      <c r="I6394" s="5" t="s">
        <v>15632</v>
      </c>
      <c r="J6394" s="12" t="str">
        <f>HYPERLINK("https://www.boe.es/gazeta/dias/1802/05/21/pdfs/GMD-1802-41.pdf#page=9","Abrir facsímil")</f>
        <v>Abrir facsímil</v>
      </c>
      <c r="K6394" s="15" t="s">
        <v>23</v>
      </c>
    </row>
    <row r="6395" spans="1:11" ht="42" customHeight="1">
      <c r="A6395" s="4" t="s">
        <v>15633</v>
      </c>
      <c r="B6395" s="5" t="s">
        <v>15634</v>
      </c>
      <c r="C6395" s="5" t="s">
        <v>42</v>
      </c>
      <c r="D6395" s="5" t="s">
        <v>43</v>
      </c>
      <c r="E6395" s="5" t="s">
        <v>44</v>
      </c>
      <c r="F6395" s="9">
        <v>99</v>
      </c>
      <c r="G6395" s="9" t="s">
        <v>548</v>
      </c>
      <c r="H6395" s="5" t="s">
        <v>21</v>
      </c>
      <c r="I6395" s="5" t="s">
        <v>15635</v>
      </c>
      <c r="J6395" s="12" t="str">
        <f>HYPERLINK("https://www.boe.es/gazeta/dias/1802/12/07/pdfs/GMD-D-1802-99.pdf#page=12","Abrir facsímil")</f>
        <v>Abrir facsímil</v>
      </c>
      <c r="K6395" s="15" t="s">
        <v>23</v>
      </c>
    </row>
    <row r="6396" spans="1:11" ht="42" customHeight="1">
      <c r="A6396" s="4" t="s">
        <v>15636</v>
      </c>
      <c r="B6396" s="5" t="s">
        <v>15637</v>
      </c>
      <c r="C6396" s="5" t="s">
        <v>29</v>
      </c>
      <c r="D6396" s="5" t="s">
        <v>30</v>
      </c>
      <c r="E6396" s="5" t="s">
        <v>1289</v>
      </c>
      <c r="F6396" s="9">
        <v>72</v>
      </c>
      <c r="G6396" s="9">
        <v>888</v>
      </c>
      <c r="H6396" s="5" t="s">
        <v>21</v>
      </c>
      <c r="I6396" s="5" t="s">
        <v>15638</v>
      </c>
      <c r="J6396" s="12" t="str">
        <f>HYPERLINK("https://www.boe.es/gazeta/dias/1802/09/03/pdfs/GMD-1802-72.pdf#page=8","Abrir facsímil")</f>
        <v>Abrir facsímil</v>
      </c>
      <c r="K6396" s="15" t="s">
        <v>23</v>
      </c>
    </row>
    <row r="6397" spans="1:11" ht="42" customHeight="1">
      <c r="A6397" s="4" t="s">
        <v>15639</v>
      </c>
      <c r="B6397" s="5" t="s">
        <v>15639</v>
      </c>
      <c r="C6397" s="5" t="s">
        <v>29</v>
      </c>
      <c r="D6397" s="5" t="s">
        <v>30</v>
      </c>
      <c r="E6397" s="5" t="s">
        <v>328</v>
      </c>
      <c r="F6397" s="9">
        <v>45</v>
      </c>
      <c r="G6397" s="9">
        <v>547</v>
      </c>
      <c r="H6397" s="5" t="s">
        <v>21</v>
      </c>
      <c r="I6397" s="5" t="s">
        <v>15640</v>
      </c>
      <c r="J6397" s="12" t="str">
        <f>HYPERLINK("https://www.boe.es/gazeta/dias/1802/06/04/pdfs/GMD-1802-45.pdf#page=11","Abrir facsímil")</f>
        <v>Abrir facsímil</v>
      </c>
      <c r="K6397" s="15" t="s">
        <v>23</v>
      </c>
    </row>
    <row r="6398" spans="1:11" ht="42" customHeight="1">
      <c r="A6398" s="4" t="s">
        <v>15641</v>
      </c>
      <c r="B6398" s="5" t="s">
        <v>15642</v>
      </c>
      <c r="C6398" s="5" t="s">
        <v>42</v>
      </c>
      <c r="D6398" s="5" t="s">
        <v>43</v>
      </c>
      <c r="E6398" s="5" t="s">
        <v>44</v>
      </c>
      <c r="F6398" s="9">
        <v>99</v>
      </c>
      <c r="G6398" s="9" t="s">
        <v>45</v>
      </c>
      <c r="H6398" s="5" t="s">
        <v>21</v>
      </c>
      <c r="I6398" s="5" t="s">
        <v>15643</v>
      </c>
      <c r="J6398" s="12" t="str">
        <f>HYPERLINK("https://www.boe.es/gazeta/dias/1802/12/07/pdfs/GMD-D-1802-99.pdf#page=14","Abrir facsímil")</f>
        <v>Abrir facsímil</v>
      </c>
      <c r="K6398" s="15" t="s">
        <v>23</v>
      </c>
    </row>
    <row r="6399" spans="1:11" ht="42" customHeight="1">
      <c r="A6399" s="4" t="s">
        <v>15644</v>
      </c>
      <c r="B6399" s="5" t="s">
        <v>15645</v>
      </c>
      <c r="C6399" s="5" t="s">
        <v>29</v>
      </c>
      <c r="D6399" s="5" t="s">
        <v>30</v>
      </c>
      <c r="E6399" s="5" t="s">
        <v>604</v>
      </c>
      <c r="F6399" s="9">
        <v>100</v>
      </c>
      <c r="G6399" s="9">
        <v>1235</v>
      </c>
      <c r="H6399" s="5" t="s">
        <v>21</v>
      </c>
      <c r="I6399" s="5" t="s">
        <v>15646</v>
      </c>
      <c r="J6399" s="12" t="str">
        <f>HYPERLINK("https://www.boe.es/gazeta/dias/1802/12/10/pdfs/GMD-1802-100.pdf#page=7","Abrir facsímil")</f>
        <v>Abrir facsímil</v>
      </c>
      <c r="K6399" s="15" t="s">
        <v>23</v>
      </c>
    </row>
    <row r="6400" spans="1:11" ht="42" customHeight="1">
      <c r="A6400" s="4" t="s">
        <v>15647</v>
      </c>
      <c r="B6400" s="5" t="s">
        <v>15648</v>
      </c>
      <c r="C6400" s="5" t="s">
        <v>29</v>
      </c>
      <c r="D6400" s="5" t="s">
        <v>30</v>
      </c>
      <c r="E6400" s="5" t="s">
        <v>163</v>
      </c>
      <c r="F6400" s="9">
        <v>1</v>
      </c>
      <c r="G6400" s="9">
        <v>8</v>
      </c>
      <c r="H6400" s="5" t="s">
        <v>21</v>
      </c>
      <c r="I6400" s="5" t="s">
        <v>15649</v>
      </c>
      <c r="J6400" s="12" t="str">
        <f>HYPERLINK("https://www.boe.es/gazeta/dias/1802/01/01/pdfs/GMD-1802-1.pdf#page=8","Abrir facsímil")</f>
        <v>Abrir facsímil</v>
      </c>
      <c r="K6400" s="15" t="s">
        <v>23</v>
      </c>
    </row>
    <row r="6401" spans="1:11" ht="42" customHeight="1">
      <c r="A6401" s="4" t="s">
        <v>15647</v>
      </c>
      <c r="B6401" s="5" t="s">
        <v>15648</v>
      </c>
      <c r="C6401" s="5" t="s">
        <v>29</v>
      </c>
      <c r="D6401" s="5" t="s">
        <v>30</v>
      </c>
      <c r="E6401" s="5" t="s">
        <v>165</v>
      </c>
      <c r="F6401" s="9">
        <v>3</v>
      </c>
      <c r="G6401" s="9">
        <v>28</v>
      </c>
      <c r="H6401" s="5" t="s">
        <v>21</v>
      </c>
      <c r="I6401" s="5" t="s">
        <v>15650</v>
      </c>
      <c r="J6401" s="12" t="str">
        <f>HYPERLINK("https://www.boe.es/gazeta/dias/1802/01/08/pdfs/GMD-1802-3.pdf#page=8","Abrir facsímil")</f>
        <v>Abrir facsímil</v>
      </c>
      <c r="K6401" s="15" t="s">
        <v>23</v>
      </c>
    </row>
    <row r="6402" spans="1:11" ht="42" customHeight="1">
      <c r="A6402" s="4" t="s">
        <v>15647</v>
      </c>
      <c r="B6402" s="5" t="s">
        <v>15648</v>
      </c>
      <c r="C6402" s="5" t="s">
        <v>29</v>
      </c>
      <c r="D6402" s="5" t="s">
        <v>30</v>
      </c>
      <c r="E6402" s="5" t="s">
        <v>1407</v>
      </c>
      <c r="F6402" s="9">
        <v>8</v>
      </c>
      <c r="G6402" s="9">
        <v>79</v>
      </c>
      <c r="H6402" s="5" t="s">
        <v>21</v>
      </c>
      <c r="I6402" s="5" t="s">
        <v>15651</v>
      </c>
      <c r="J6402" s="12" t="str">
        <f>HYPERLINK("https://www.boe.es/gazeta/dias/1802/01/26/pdfs/GMD-1802-8.pdf#page=7","Abrir facsímil")</f>
        <v>Abrir facsímil</v>
      </c>
      <c r="K6402" s="15" t="s">
        <v>23</v>
      </c>
    </row>
    <row r="6403" spans="1:11" ht="42" customHeight="1">
      <c r="A6403" s="4" t="s">
        <v>15647</v>
      </c>
      <c r="B6403" s="5" t="s">
        <v>15648</v>
      </c>
      <c r="C6403" s="5" t="s">
        <v>29</v>
      </c>
      <c r="D6403" s="5" t="s">
        <v>30</v>
      </c>
      <c r="E6403" s="5" t="s">
        <v>109</v>
      </c>
      <c r="F6403" s="9">
        <v>10</v>
      </c>
      <c r="G6403" s="9">
        <v>100</v>
      </c>
      <c r="H6403" s="5" t="s">
        <v>21</v>
      </c>
      <c r="I6403" s="5" t="s">
        <v>15652</v>
      </c>
      <c r="J6403" s="12" t="str">
        <f>HYPERLINK("https://www.boe.es/gazeta/dias/1802/02/02/pdfs/GMD-1802-10.pdf#page=8","Abrir facsímil")</f>
        <v>Abrir facsímil</v>
      </c>
      <c r="K6403" s="15" t="s">
        <v>23</v>
      </c>
    </row>
    <row r="6404" spans="1:11" ht="42" customHeight="1">
      <c r="A6404" s="4" t="s">
        <v>15647</v>
      </c>
      <c r="B6404" s="5" t="s">
        <v>15648</v>
      </c>
      <c r="C6404" s="5" t="s">
        <v>29</v>
      </c>
      <c r="D6404" s="5" t="s">
        <v>30</v>
      </c>
      <c r="E6404" s="5" t="s">
        <v>131</v>
      </c>
      <c r="F6404" s="9">
        <v>11</v>
      </c>
      <c r="G6404" s="9">
        <v>115</v>
      </c>
      <c r="H6404" s="5" t="s">
        <v>21</v>
      </c>
      <c r="I6404" s="5" t="s">
        <v>15653</v>
      </c>
      <c r="J6404" s="12" t="str">
        <f>HYPERLINK("https://www.boe.es/gazeta/dias/1802/02/05/pdfs/GMD-1802-11.pdf#page=11","Abrir facsímil")</f>
        <v>Abrir facsímil</v>
      </c>
      <c r="K6404" s="15" t="s">
        <v>23</v>
      </c>
    </row>
    <row r="6405" spans="1:11" ht="42" customHeight="1">
      <c r="A6405" s="4" t="s">
        <v>15647</v>
      </c>
      <c r="B6405" s="5" t="s">
        <v>15648</v>
      </c>
      <c r="C6405" s="5" t="s">
        <v>29</v>
      </c>
      <c r="D6405" s="5" t="s">
        <v>30</v>
      </c>
      <c r="E6405" s="5" t="s">
        <v>865</v>
      </c>
      <c r="F6405" s="9">
        <v>12</v>
      </c>
      <c r="G6405" s="9">
        <v>123</v>
      </c>
      <c r="H6405" s="5" t="s">
        <v>21</v>
      </c>
      <c r="I6405" s="5" t="s">
        <v>15654</v>
      </c>
      <c r="J6405" s="12" t="str">
        <f>HYPERLINK("https://www.boe.es/gazeta/dias/1802/02/09/pdfs/GMD-1802-12.pdf#page=7","Abrir facsímil")</f>
        <v>Abrir facsímil</v>
      </c>
      <c r="K6405" s="15" t="s">
        <v>23</v>
      </c>
    </row>
    <row r="6406" spans="1:11" ht="42" customHeight="1">
      <c r="A6406" s="4" t="s">
        <v>15647</v>
      </c>
      <c r="B6406" s="5" t="s">
        <v>15648</v>
      </c>
      <c r="C6406" s="5" t="s">
        <v>160</v>
      </c>
      <c r="D6406" s="5" t="s">
        <v>91</v>
      </c>
      <c r="E6406" s="5" t="s">
        <v>381</v>
      </c>
      <c r="F6406" s="9">
        <v>13</v>
      </c>
      <c r="G6406" s="9">
        <v>131</v>
      </c>
      <c r="H6406" s="5" t="s">
        <v>21</v>
      </c>
      <c r="I6406" s="5" t="s">
        <v>15655</v>
      </c>
      <c r="J6406" s="12" t="str">
        <f>HYPERLINK("https://www.boe.es/gazeta/dias/1802/02/12/pdfs/GMD-1802-13.pdf#page=7","Abrir facsímil")</f>
        <v>Abrir facsímil</v>
      </c>
      <c r="K6406" s="15" t="s">
        <v>23</v>
      </c>
    </row>
    <row r="6407" spans="1:11" ht="42" customHeight="1">
      <c r="A6407" s="4" t="s">
        <v>15647</v>
      </c>
      <c r="B6407" s="5" t="s">
        <v>15648</v>
      </c>
      <c r="C6407" s="5" t="s">
        <v>29</v>
      </c>
      <c r="D6407" s="5" t="s">
        <v>30</v>
      </c>
      <c r="E6407" s="5" t="s">
        <v>247</v>
      </c>
      <c r="F6407" s="9">
        <v>14</v>
      </c>
      <c r="G6407" s="9">
        <v>146</v>
      </c>
      <c r="H6407" s="5" t="s">
        <v>21</v>
      </c>
      <c r="I6407" s="5" t="s">
        <v>15656</v>
      </c>
      <c r="J6407" s="12" t="str">
        <f>HYPERLINK("https://www.boe.es/gazeta/dias/1802/02/16/pdfs/GMD-1802-14.pdf#page=10","Abrir facsímil")</f>
        <v>Abrir facsímil</v>
      </c>
      <c r="K6407" s="15" t="s">
        <v>23</v>
      </c>
    </row>
    <row r="6408" spans="1:11" ht="42" customHeight="1">
      <c r="A6408" s="4" t="s">
        <v>15647</v>
      </c>
      <c r="B6408" s="5" t="s">
        <v>15648</v>
      </c>
      <c r="C6408" s="5" t="s">
        <v>29</v>
      </c>
      <c r="D6408" s="5" t="s">
        <v>30</v>
      </c>
      <c r="E6408" s="5" t="s">
        <v>900</v>
      </c>
      <c r="F6408" s="9">
        <v>16</v>
      </c>
      <c r="G6408" s="9">
        <v>170</v>
      </c>
      <c r="H6408" s="5" t="s">
        <v>21</v>
      </c>
      <c r="I6408" s="5" t="s">
        <v>15657</v>
      </c>
      <c r="J6408" s="12" t="str">
        <f>HYPERLINK("https://www.boe.es/gazeta/dias/1802/02/23/pdfs/GMD-1802-16.pdf#page=10","Abrir facsímil")</f>
        <v>Abrir facsímil</v>
      </c>
      <c r="K6408" s="15" t="s">
        <v>23</v>
      </c>
    </row>
    <row r="6409" spans="1:11" ht="42" customHeight="1">
      <c r="A6409" s="4" t="s">
        <v>15647</v>
      </c>
      <c r="B6409" s="5" t="s">
        <v>15648</v>
      </c>
      <c r="C6409" s="5" t="s">
        <v>29</v>
      </c>
      <c r="D6409" s="5" t="s">
        <v>30</v>
      </c>
      <c r="E6409" s="5" t="s">
        <v>1381</v>
      </c>
      <c r="F6409" s="9">
        <v>17</v>
      </c>
      <c r="G6409" s="9">
        <v>187</v>
      </c>
      <c r="H6409" s="5" t="s">
        <v>21</v>
      </c>
      <c r="I6409" s="5" t="s">
        <v>15658</v>
      </c>
      <c r="J6409" s="12" t="str">
        <f>HYPERLINK("https://www.boe.es/gazeta/dias/1802/02/26/pdfs/GMD-1802-17.pdf#page=11","Abrir facsímil")</f>
        <v>Abrir facsímil</v>
      </c>
      <c r="K6409" s="15" t="s">
        <v>23</v>
      </c>
    </row>
    <row r="6410" spans="1:11" ht="42" customHeight="1">
      <c r="A6410" s="4" t="s">
        <v>15647</v>
      </c>
      <c r="B6410" s="5" t="s">
        <v>15648</v>
      </c>
      <c r="C6410" s="5" t="s">
        <v>29</v>
      </c>
      <c r="D6410" s="5" t="s">
        <v>30</v>
      </c>
      <c r="E6410" s="5" t="s">
        <v>1097</v>
      </c>
      <c r="F6410" s="9">
        <v>20</v>
      </c>
      <c r="G6410" s="9">
        <v>223</v>
      </c>
      <c r="H6410" s="5" t="s">
        <v>21</v>
      </c>
      <c r="I6410" s="5" t="s">
        <v>15659</v>
      </c>
      <c r="J6410" s="12" t="str">
        <f>HYPERLINK("https://www.boe.es/gazeta/dias/1802/03/09/pdfs/GMD-1802-20.pdf#page=11","Abrir facsímil")</f>
        <v>Abrir facsímil</v>
      </c>
      <c r="K6410" s="15" t="s">
        <v>23</v>
      </c>
    </row>
    <row r="6411" spans="1:11" ht="42" customHeight="1">
      <c r="A6411" s="4" t="s">
        <v>15647</v>
      </c>
      <c r="B6411" s="5" t="s">
        <v>15648</v>
      </c>
      <c r="C6411" s="5" t="s">
        <v>29</v>
      </c>
      <c r="D6411" s="5" t="s">
        <v>30</v>
      </c>
      <c r="E6411" s="5" t="s">
        <v>71</v>
      </c>
      <c r="F6411" s="9">
        <v>21</v>
      </c>
      <c r="G6411" s="9">
        <v>234</v>
      </c>
      <c r="H6411" s="5" t="s">
        <v>21</v>
      </c>
      <c r="I6411" s="5" t="s">
        <v>15660</v>
      </c>
      <c r="J6411" s="12" t="str">
        <f>HYPERLINK("https://www.boe.es/gazeta/dias/1802/03/12/pdfs/GMD-1802-21.pdf#page=10","Abrir facsímil")</f>
        <v>Abrir facsímil</v>
      </c>
      <c r="K6411" s="15" t="s">
        <v>23</v>
      </c>
    </row>
    <row r="6412" spans="1:11" ht="42" customHeight="1">
      <c r="A6412" s="4" t="s">
        <v>15647</v>
      </c>
      <c r="B6412" s="5" t="s">
        <v>15648</v>
      </c>
      <c r="C6412" s="5" t="s">
        <v>29</v>
      </c>
      <c r="D6412" s="5" t="s">
        <v>30</v>
      </c>
      <c r="E6412" s="5" t="s">
        <v>206</v>
      </c>
      <c r="F6412" s="9">
        <v>22</v>
      </c>
      <c r="G6412" s="9">
        <v>252</v>
      </c>
      <c r="H6412" s="5" t="s">
        <v>21</v>
      </c>
      <c r="I6412" s="5" t="s">
        <v>15661</v>
      </c>
      <c r="J6412" s="12" t="str">
        <f>HYPERLINK("https://www.boe.es/gazeta/dias/1802/03/16/pdfs/GMD-C-1802-22.pdf#page=8","Abrir facsímil")</f>
        <v>Abrir facsímil</v>
      </c>
      <c r="K6412" s="15" t="s">
        <v>23</v>
      </c>
    </row>
    <row r="6413" spans="1:11" ht="42" customHeight="1">
      <c r="A6413" s="4" t="s">
        <v>15647</v>
      </c>
      <c r="B6413" s="5" t="s">
        <v>15648</v>
      </c>
      <c r="C6413" s="5" t="s">
        <v>29</v>
      </c>
      <c r="D6413" s="5" t="s">
        <v>30</v>
      </c>
      <c r="E6413" s="5" t="s">
        <v>152</v>
      </c>
      <c r="F6413" s="9">
        <v>25</v>
      </c>
      <c r="G6413" s="9">
        <v>287</v>
      </c>
      <c r="H6413" s="5" t="s">
        <v>21</v>
      </c>
      <c r="I6413" s="5" t="s">
        <v>15662</v>
      </c>
      <c r="J6413" s="12" t="str">
        <f>HYPERLINK("https://www.boe.es/gazeta/dias/1802/03/26/pdfs/GMD-1802-25.pdf#page=11","Abrir facsímil")</f>
        <v>Abrir facsímil</v>
      </c>
      <c r="K6413" s="15" t="s">
        <v>23</v>
      </c>
    </row>
    <row r="6414" spans="1:11" ht="42" customHeight="1">
      <c r="A6414" s="4" t="s">
        <v>15647</v>
      </c>
      <c r="B6414" s="5" t="s">
        <v>15648</v>
      </c>
      <c r="C6414" s="5" t="s">
        <v>29</v>
      </c>
      <c r="D6414" s="5" t="s">
        <v>30</v>
      </c>
      <c r="E6414" s="5" t="s">
        <v>86</v>
      </c>
      <c r="F6414" s="9">
        <v>26</v>
      </c>
      <c r="G6414" s="9">
        <v>299</v>
      </c>
      <c r="H6414" s="5" t="s">
        <v>21</v>
      </c>
      <c r="I6414" s="5" t="s">
        <v>15663</v>
      </c>
      <c r="J6414" s="12" t="str">
        <f>HYPERLINK("https://www.boe.es/gazeta/dias/1802/03/30/pdfs/GMD-1802-26.pdf#page=11","Abrir facsímil")</f>
        <v>Abrir facsímil</v>
      </c>
      <c r="K6414" s="15" t="s">
        <v>23</v>
      </c>
    </row>
    <row r="6415" spans="1:11" ht="42" customHeight="1">
      <c r="A6415" s="4" t="s">
        <v>15647</v>
      </c>
      <c r="B6415" s="5" t="s">
        <v>15648</v>
      </c>
      <c r="C6415" s="5" t="s">
        <v>29</v>
      </c>
      <c r="D6415" s="5" t="s">
        <v>30</v>
      </c>
      <c r="E6415" s="5" t="s">
        <v>170</v>
      </c>
      <c r="F6415" s="9">
        <v>28</v>
      </c>
      <c r="G6415" s="9">
        <v>331</v>
      </c>
      <c r="H6415" s="5" t="s">
        <v>21</v>
      </c>
      <c r="I6415" s="5" t="s">
        <v>15664</v>
      </c>
      <c r="J6415" s="12" t="str">
        <f>HYPERLINK("https://www.boe.es/gazeta/dias/1802/04/06/pdfs/GMD-1802-28.pdf#page=11","Abrir facsímil")</f>
        <v>Abrir facsímil</v>
      </c>
      <c r="K6415" s="15" t="s">
        <v>23</v>
      </c>
    </row>
    <row r="6416" spans="1:11" ht="42" customHeight="1">
      <c r="A6416" s="4" t="s">
        <v>15665</v>
      </c>
      <c r="B6416" s="5" t="s">
        <v>15666</v>
      </c>
      <c r="C6416" s="5" t="s">
        <v>29</v>
      </c>
      <c r="D6416" s="5" t="s">
        <v>30</v>
      </c>
      <c r="E6416" s="5" t="s">
        <v>232</v>
      </c>
      <c r="F6416" s="9">
        <v>30</v>
      </c>
      <c r="G6416" s="9">
        <v>351</v>
      </c>
      <c r="H6416" s="5" t="s">
        <v>21</v>
      </c>
      <c r="I6416" s="5" t="s">
        <v>15667</v>
      </c>
      <c r="J6416" s="12" t="str">
        <f>HYPERLINK("https://www.boe.es/gazeta/dias/1802/04/13/pdfs/GMD-1802-30.pdf#page=7","Abrir facsímil")</f>
        <v>Abrir facsímil</v>
      </c>
      <c r="K6416" s="15" t="s">
        <v>23</v>
      </c>
    </row>
    <row r="6417" spans="1:11" ht="42" customHeight="1">
      <c r="A6417" s="4" t="s">
        <v>15647</v>
      </c>
      <c r="B6417" s="5" t="s">
        <v>15648</v>
      </c>
      <c r="C6417" s="5" t="s">
        <v>29</v>
      </c>
      <c r="D6417" s="5" t="s">
        <v>30</v>
      </c>
      <c r="E6417" s="5" t="s">
        <v>1959</v>
      </c>
      <c r="F6417" s="9">
        <v>34</v>
      </c>
      <c r="G6417" s="9">
        <v>399</v>
      </c>
      <c r="H6417" s="5" t="s">
        <v>21</v>
      </c>
      <c r="I6417" s="5" t="s">
        <v>15668</v>
      </c>
      <c r="J6417" s="12" t="str">
        <f>HYPERLINK("https://www.boe.es/gazeta/dias/1802/04/27/pdfs/GMD-1802-34.pdf#page=11","Abrir facsímil")</f>
        <v>Abrir facsímil</v>
      </c>
      <c r="K6417" s="15" t="s">
        <v>23</v>
      </c>
    </row>
    <row r="6418" spans="1:11" ht="42" customHeight="1">
      <c r="A6418" s="4" t="s">
        <v>15647</v>
      </c>
      <c r="B6418" s="5" t="s">
        <v>15648</v>
      </c>
      <c r="C6418" s="5" t="s">
        <v>29</v>
      </c>
      <c r="D6418" s="5" t="s">
        <v>30</v>
      </c>
      <c r="E6418" s="5" t="s">
        <v>172</v>
      </c>
      <c r="F6418" s="9">
        <v>35</v>
      </c>
      <c r="G6418" s="9">
        <v>415</v>
      </c>
      <c r="H6418" s="5" t="s">
        <v>21</v>
      </c>
      <c r="I6418" s="5" t="s">
        <v>15669</v>
      </c>
      <c r="J6418" s="12" t="str">
        <f>HYPERLINK("https://www.boe.es/gazeta/dias/1802/04/30/pdfs/GMD-1802-35.pdf#page=15","Abrir facsímil")</f>
        <v>Abrir facsímil</v>
      </c>
      <c r="K6418" s="15" t="s">
        <v>23</v>
      </c>
    </row>
    <row r="6419" spans="1:11" ht="42" customHeight="1">
      <c r="A6419" s="4" t="s">
        <v>15647</v>
      </c>
      <c r="B6419" s="5" t="s">
        <v>15648</v>
      </c>
      <c r="C6419" s="5" t="s">
        <v>29</v>
      </c>
      <c r="D6419" s="5" t="s">
        <v>30</v>
      </c>
      <c r="E6419" s="5" t="s">
        <v>328</v>
      </c>
      <c r="F6419" s="9">
        <v>45</v>
      </c>
      <c r="G6419" s="9">
        <v>547</v>
      </c>
      <c r="H6419" s="5" t="s">
        <v>21</v>
      </c>
      <c r="I6419" s="5" t="s">
        <v>15670</v>
      </c>
      <c r="J6419" s="12" t="str">
        <f>HYPERLINK("https://www.boe.es/gazeta/dias/1802/06/04/pdfs/GMD-1802-45.pdf#page=11","Abrir facsímil")</f>
        <v>Abrir facsímil</v>
      </c>
      <c r="K6419" s="15" t="s">
        <v>23</v>
      </c>
    </row>
    <row r="6420" spans="1:11" ht="42" customHeight="1">
      <c r="A6420" s="4" t="s">
        <v>15647</v>
      </c>
      <c r="B6420" s="5" t="s">
        <v>15648</v>
      </c>
      <c r="C6420" s="5" t="s">
        <v>29</v>
      </c>
      <c r="D6420" s="5" t="s">
        <v>30</v>
      </c>
      <c r="E6420" s="5" t="s">
        <v>192</v>
      </c>
      <c r="F6420" s="9">
        <v>53</v>
      </c>
      <c r="G6420" s="9">
        <v>643</v>
      </c>
      <c r="H6420" s="5" t="s">
        <v>21</v>
      </c>
      <c r="I6420" s="5" t="s">
        <v>15671</v>
      </c>
      <c r="J6420" s="12" t="str">
        <f>HYPERLINK("https://www.boe.es/gazeta/dias/1802/07/02/pdfs/GMD-1802-53.pdf#page=11","Abrir facsímil")</f>
        <v>Abrir facsímil</v>
      </c>
      <c r="K6420" s="15" t="s">
        <v>23</v>
      </c>
    </row>
    <row r="6421" spans="1:11" ht="42" customHeight="1">
      <c r="A6421" s="4" t="s">
        <v>15647</v>
      </c>
      <c r="B6421" s="5" t="s">
        <v>15648</v>
      </c>
      <c r="C6421" s="5" t="s">
        <v>160</v>
      </c>
      <c r="D6421" s="5" t="s">
        <v>91</v>
      </c>
      <c r="E6421" s="5" t="s">
        <v>491</v>
      </c>
      <c r="F6421" s="9">
        <v>57</v>
      </c>
      <c r="G6421" s="9">
        <v>691</v>
      </c>
      <c r="H6421" s="5" t="s">
        <v>21</v>
      </c>
      <c r="I6421" s="5" t="s">
        <v>15672</v>
      </c>
      <c r="J6421" s="12" t="str">
        <f>HYPERLINK("https://www.boe.es/gazeta/dias/1802/07/16/pdfs/GMD-1802-57.pdf#page=11","Abrir facsímil")</f>
        <v>Abrir facsímil</v>
      </c>
      <c r="K6421" s="15" t="s">
        <v>23</v>
      </c>
    </row>
    <row r="6422" spans="1:11" ht="42" customHeight="1">
      <c r="A6422" s="4" t="s">
        <v>15647</v>
      </c>
      <c r="B6422" s="5" t="s">
        <v>15648</v>
      </c>
      <c r="C6422" s="5" t="s">
        <v>29</v>
      </c>
      <c r="D6422" s="5" t="s">
        <v>30</v>
      </c>
      <c r="E6422" s="5" t="s">
        <v>436</v>
      </c>
      <c r="F6422" s="9">
        <v>58</v>
      </c>
      <c r="G6422" s="9">
        <v>703</v>
      </c>
      <c r="H6422" s="5" t="s">
        <v>21</v>
      </c>
      <c r="I6422" s="5" t="s">
        <v>15673</v>
      </c>
      <c r="J6422" s="12" t="str">
        <f>HYPERLINK("https://www.boe.es/gazeta/dias/1802/07/20/pdfs/GMD-1802-58.pdf#page=11","Abrir facsímil")</f>
        <v>Abrir facsímil</v>
      </c>
      <c r="K6422" s="15" t="s">
        <v>23</v>
      </c>
    </row>
    <row r="6423" spans="1:11" ht="42" customHeight="1">
      <c r="A6423" s="4" t="s">
        <v>15647</v>
      </c>
      <c r="B6423" s="5" t="s">
        <v>15648</v>
      </c>
      <c r="C6423" s="5" t="s">
        <v>29</v>
      </c>
      <c r="D6423" s="5" t="s">
        <v>30</v>
      </c>
      <c r="E6423" s="5" t="s">
        <v>1374</v>
      </c>
      <c r="F6423" s="9">
        <v>71</v>
      </c>
      <c r="G6423" s="9">
        <v>875</v>
      </c>
      <c r="H6423" s="5" t="s">
        <v>21</v>
      </c>
      <c r="I6423" s="5" t="s">
        <v>15674</v>
      </c>
      <c r="J6423" s="12" t="str">
        <f>HYPERLINK("https://www.boe.es/gazeta/dias/1802/08/31/pdfs/GMD-1802-71.pdf#page=11","Abrir facsímil")</f>
        <v>Abrir facsímil</v>
      </c>
      <c r="K6423" s="15" t="s">
        <v>23</v>
      </c>
    </row>
    <row r="6424" spans="1:11" ht="42" customHeight="1">
      <c r="A6424" s="4" t="s">
        <v>15647</v>
      </c>
      <c r="B6424" s="5" t="s">
        <v>15648</v>
      </c>
      <c r="C6424" s="5" t="s">
        <v>160</v>
      </c>
      <c r="D6424" s="5" t="s">
        <v>91</v>
      </c>
      <c r="E6424" s="5" t="s">
        <v>102</v>
      </c>
      <c r="F6424" s="9">
        <v>73</v>
      </c>
      <c r="G6424" s="9">
        <v>903</v>
      </c>
      <c r="H6424" s="5" t="s">
        <v>21</v>
      </c>
      <c r="I6424" s="5" t="s">
        <v>15675</v>
      </c>
      <c r="J6424" s="12" t="str">
        <f>HYPERLINK("https://www.boe.es/gazeta/dias/1802/09/07/pdfs/GMD-1802-73.pdf#page=11","Abrir facsímil")</f>
        <v>Abrir facsímil</v>
      </c>
      <c r="K6424" s="15" t="s">
        <v>23</v>
      </c>
    </row>
    <row r="6425" spans="1:11" ht="42" customHeight="1">
      <c r="A6425" s="4" t="s">
        <v>15647</v>
      </c>
      <c r="B6425" s="5" t="s">
        <v>15648</v>
      </c>
      <c r="C6425" s="5" t="s">
        <v>29</v>
      </c>
      <c r="D6425" s="5" t="s">
        <v>30</v>
      </c>
      <c r="E6425" s="5" t="s">
        <v>219</v>
      </c>
      <c r="F6425" s="9">
        <v>81</v>
      </c>
      <c r="G6425" s="9">
        <v>999</v>
      </c>
      <c r="H6425" s="5" t="s">
        <v>21</v>
      </c>
      <c r="I6425" s="5" t="s">
        <v>15676</v>
      </c>
      <c r="J6425" s="12" t="str">
        <f>HYPERLINK("https://www.boe.es/gazeta/dias/1802/10/05/pdfs/GMD-1802-81.pdf#page=11","Abrir facsímil")</f>
        <v>Abrir facsímil</v>
      </c>
      <c r="K6425" s="15" t="s">
        <v>23</v>
      </c>
    </row>
    <row r="6426" spans="1:11" ht="42" customHeight="1">
      <c r="A6426" s="4" t="s">
        <v>15677</v>
      </c>
      <c r="B6426" s="5" t="s">
        <v>15678</v>
      </c>
      <c r="C6426" s="5" t="s">
        <v>29</v>
      </c>
      <c r="D6426" s="5" t="s">
        <v>30</v>
      </c>
      <c r="E6426" s="5" t="s">
        <v>635</v>
      </c>
      <c r="F6426" s="9">
        <v>47</v>
      </c>
      <c r="G6426" s="9">
        <v>575</v>
      </c>
      <c r="H6426" s="5" t="s">
        <v>21</v>
      </c>
      <c r="I6426" s="5" t="s">
        <v>15679</v>
      </c>
      <c r="J6426" s="12" t="str">
        <f>HYPERLINK("https://www.boe.es/gazeta/dias/1802/06/11/pdfs/GMD-1802-47.pdf#page=11","Abrir facsímil")</f>
        <v>Abrir facsímil</v>
      </c>
      <c r="K6426" s="15" t="s">
        <v>23</v>
      </c>
    </row>
    <row r="6427" spans="1:11" ht="42" customHeight="1">
      <c r="A6427" s="4" t="s">
        <v>15680</v>
      </c>
      <c r="B6427" s="5" t="s">
        <v>15681</v>
      </c>
      <c r="C6427" s="5" t="s">
        <v>18</v>
      </c>
      <c r="D6427" s="5" t="s">
        <v>19</v>
      </c>
      <c r="E6427" s="5" t="s">
        <v>20</v>
      </c>
      <c r="F6427" s="9">
        <v>84</v>
      </c>
      <c r="G6427" s="9">
        <v>1040</v>
      </c>
      <c r="H6427" s="5" t="s">
        <v>21</v>
      </c>
      <c r="I6427" s="5" t="s">
        <v>15682</v>
      </c>
      <c r="J6427" s="12" t="str">
        <f>HYPERLINK("https://www.boe.es/gazeta/dias/1802/10/15/pdfs/GMD-1802-84.pdf#page=8","Abrir facsímil")</f>
        <v>Abrir facsímil</v>
      </c>
      <c r="K6427" s="15" t="s">
        <v>23</v>
      </c>
    </row>
    <row r="6428" spans="1:11" ht="42" customHeight="1">
      <c r="A6428" s="4" t="s">
        <v>15683</v>
      </c>
      <c r="B6428" s="5" t="s">
        <v>15684</v>
      </c>
      <c r="C6428" s="5" t="s">
        <v>18</v>
      </c>
      <c r="D6428" s="5" t="s">
        <v>19</v>
      </c>
      <c r="E6428" s="5" t="s">
        <v>714</v>
      </c>
      <c r="F6428" s="9">
        <v>89</v>
      </c>
      <c r="G6428" s="9">
        <v>1106</v>
      </c>
      <c r="H6428" s="5" t="s">
        <v>21</v>
      </c>
      <c r="I6428" s="5" t="s">
        <v>15685</v>
      </c>
      <c r="J6428" s="12" t="str">
        <f>HYPERLINK("https://www.boe.es/gazeta/dias/1802/11/02/pdfs/GMD-1802-89.pdf#page=10","Abrir facsímil")</f>
        <v>Abrir facsímil</v>
      </c>
      <c r="K6428" s="15" t="s">
        <v>23</v>
      </c>
    </row>
    <row r="6429" spans="1:11" ht="42" customHeight="1">
      <c r="A6429" s="4" t="s">
        <v>15686</v>
      </c>
      <c r="B6429" s="5" t="s">
        <v>15686</v>
      </c>
      <c r="C6429" s="5" t="s">
        <v>42</v>
      </c>
      <c r="D6429" s="5" t="s">
        <v>43</v>
      </c>
      <c r="E6429" s="5" t="s">
        <v>44</v>
      </c>
      <c r="F6429" s="9">
        <v>99</v>
      </c>
      <c r="G6429" s="9" t="s">
        <v>558</v>
      </c>
      <c r="H6429" s="5" t="s">
        <v>21</v>
      </c>
      <c r="I6429" s="5" t="s">
        <v>15687</v>
      </c>
      <c r="J6429" s="12" t="str">
        <f>HYPERLINK("https://www.boe.es/gazeta/dias/1802/12/07/pdfs/GMD-D-1802-99.pdf#page=1","Abrir facsímil")</f>
        <v>Abrir facsímil</v>
      </c>
      <c r="K6429" s="15" t="s">
        <v>23</v>
      </c>
    </row>
    <row r="6430" spans="1:11" ht="42" customHeight="1">
      <c r="A6430" s="4" t="s">
        <v>15688</v>
      </c>
      <c r="B6430" s="5" t="s">
        <v>15689</v>
      </c>
      <c r="C6430" s="5" t="s">
        <v>29</v>
      </c>
      <c r="D6430" s="5" t="s">
        <v>30</v>
      </c>
      <c r="E6430" s="5" t="s">
        <v>635</v>
      </c>
      <c r="F6430" s="9">
        <v>47</v>
      </c>
      <c r="G6430" s="9">
        <v>574</v>
      </c>
      <c r="H6430" s="5" t="s">
        <v>21</v>
      </c>
      <c r="I6430" s="5" t="s">
        <v>15690</v>
      </c>
      <c r="J6430" s="12" t="str">
        <f>HYPERLINK("https://www.boe.es/gazeta/dias/1802/06/11/pdfs/GMD-1802-47.pdf#page=10","Abrir facsímil")</f>
        <v>Abrir facsímil</v>
      </c>
      <c r="K6430" s="15" t="s">
        <v>23</v>
      </c>
    </row>
    <row r="6431" spans="1:11" ht="42" customHeight="1">
      <c r="A6431" s="4" t="s">
        <v>15691</v>
      </c>
      <c r="B6431" s="5" t="s">
        <v>15692</v>
      </c>
      <c r="C6431" s="5" t="s">
        <v>29</v>
      </c>
      <c r="D6431" s="5" t="s">
        <v>30</v>
      </c>
      <c r="E6431" s="5" t="s">
        <v>163</v>
      </c>
      <c r="F6431" s="9">
        <v>1</v>
      </c>
      <c r="G6431" s="9">
        <v>7</v>
      </c>
      <c r="H6431" s="5" t="s">
        <v>21</v>
      </c>
      <c r="I6431" s="5" t="s">
        <v>15693</v>
      </c>
      <c r="J6431" s="12" t="str">
        <f>HYPERLINK("https://www.boe.es/gazeta/dias/1802/01/01/pdfs/GMD-1802-1.pdf#page=7","Abrir facsímil")</f>
        <v>Abrir facsímil</v>
      </c>
      <c r="K6431" s="15" t="s">
        <v>23</v>
      </c>
    </row>
    <row r="6432" spans="1:11" ht="42" customHeight="1">
      <c r="A6432" s="4" t="s">
        <v>15694</v>
      </c>
      <c r="B6432" s="5" t="s">
        <v>15694</v>
      </c>
      <c r="C6432" s="5" t="s">
        <v>29</v>
      </c>
      <c r="D6432" s="5" t="s">
        <v>30</v>
      </c>
      <c r="E6432" s="5" t="s">
        <v>481</v>
      </c>
      <c r="F6432" s="9">
        <v>79</v>
      </c>
      <c r="G6432" s="9">
        <v>974</v>
      </c>
      <c r="H6432" s="5" t="s">
        <v>21</v>
      </c>
      <c r="I6432" s="5" t="s">
        <v>15695</v>
      </c>
      <c r="J6432" s="12" t="str">
        <f>HYPERLINK("https://www.boe.es/gazeta/dias/1802/09/28/pdfs/GMD-1802-79.pdf#page=10","Abrir facsímil")</f>
        <v>Abrir facsímil</v>
      </c>
      <c r="K6432" s="15" t="s">
        <v>23</v>
      </c>
    </row>
    <row r="6433" spans="1:11" ht="42" customHeight="1">
      <c r="A6433" s="4" t="s">
        <v>15696</v>
      </c>
      <c r="B6433" s="5" t="s">
        <v>15696</v>
      </c>
      <c r="C6433" s="5" t="s">
        <v>42</v>
      </c>
      <c r="D6433" s="5" t="s">
        <v>43</v>
      </c>
      <c r="E6433" s="5" t="s">
        <v>44</v>
      </c>
      <c r="F6433" s="9">
        <v>99</v>
      </c>
      <c r="G6433" s="9" t="s">
        <v>314</v>
      </c>
      <c r="H6433" s="5" t="s">
        <v>21</v>
      </c>
      <c r="I6433" s="5" t="s">
        <v>15697</v>
      </c>
      <c r="J6433" s="12" t="str">
        <f>HYPERLINK("https://www.boe.es/gazeta/dias/1802/12/07/pdfs/GMD-D-1802-99.pdf#page=2","Abrir facsímil")</f>
        <v>Abrir facsímil</v>
      </c>
      <c r="K6433" s="15" t="s">
        <v>23</v>
      </c>
    </row>
    <row r="6434" spans="1:11" ht="42" customHeight="1">
      <c r="A6434" s="4" t="s">
        <v>15698</v>
      </c>
      <c r="B6434" s="5" t="s">
        <v>15698</v>
      </c>
      <c r="C6434" s="5" t="s">
        <v>42</v>
      </c>
      <c r="D6434" s="5" t="s">
        <v>43</v>
      </c>
      <c r="E6434" s="5" t="s">
        <v>44</v>
      </c>
      <c r="F6434" s="9">
        <v>99</v>
      </c>
      <c r="G6434" s="9" t="s">
        <v>548</v>
      </c>
      <c r="H6434" s="5" t="s">
        <v>21</v>
      </c>
      <c r="I6434" s="5" t="s">
        <v>15699</v>
      </c>
      <c r="J6434" s="12" t="str">
        <f>HYPERLINK("https://www.boe.es/gazeta/dias/1802/12/07/pdfs/GMD-D-1802-99.pdf#page=12","Abrir facsímil")</f>
        <v>Abrir facsímil</v>
      </c>
      <c r="K6434" s="15" t="s">
        <v>23</v>
      </c>
    </row>
    <row r="6435" spans="1:11" ht="42" customHeight="1">
      <c r="A6435" s="4" t="s">
        <v>15700</v>
      </c>
      <c r="B6435" s="5" t="s">
        <v>15701</v>
      </c>
      <c r="C6435" s="5" t="s">
        <v>35</v>
      </c>
      <c r="D6435" s="5" t="s">
        <v>36</v>
      </c>
      <c r="E6435" s="5" t="s">
        <v>332</v>
      </c>
      <c r="F6435" s="9">
        <v>24</v>
      </c>
      <c r="G6435" s="9">
        <v>270</v>
      </c>
      <c r="H6435" s="5" t="s">
        <v>21</v>
      </c>
      <c r="I6435" s="5" t="s">
        <v>15702</v>
      </c>
      <c r="J6435" s="12" t="str">
        <f>HYPERLINK("https://www.boe.es/gazeta/dias/1802/03/23/pdfs/GMD-1802-24.pdf#page=6","Abrir facsímil")</f>
        <v>Abrir facsímil</v>
      </c>
      <c r="K6435" s="15" t="s">
        <v>23</v>
      </c>
    </row>
    <row r="6436" spans="1:11" ht="42" customHeight="1">
      <c r="A6436" s="4" t="s">
        <v>15700</v>
      </c>
      <c r="B6436" s="5" t="s">
        <v>15701</v>
      </c>
      <c r="C6436" s="5" t="s">
        <v>29</v>
      </c>
      <c r="D6436" s="5" t="s">
        <v>30</v>
      </c>
      <c r="E6436" s="5" t="s">
        <v>181</v>
      </c>
      <c r="F6436" s="9">
        <v>55</v>
      </c>
      <c r="G6436" s="9">
        <v>664</v>
      </c>
      <c r="H6436" s="5" t="s">
        <v>21</v>
      </c>
      <c r="I6436" s="5" t="s">
        <v>15703</v>
      </c>
      <c r="J6436" s="12" t="str">
        <f>HYPERLINK("https://www.boe.es/gazeta/dias/1802/07/09/pdfs/GMD-1802-55.pdf#page=8","Abrir facsímil")</f>
        <v>Abrir facsímil</v>
      </c>
      <c r="K6436" s="15" t="s">
        <v>23</v>
      </c>
    </row>
    <row r="6437" spans="1:11" ht="42" customHeight="1">
      <c r="A6437" s="4" t="s">
        <v>15704</v>
      </c>
      <c r="B6437" s="5" t="s">
        <v>15704</v>
      </c>
      <c r="C6437" s="5" t="s">
        <v>42</v>
      </c>
      <c r="D6437" s="5" t="s">
        <v>43</v>
      </c>
      <c r="E6437" s="5" t="s">
        <v>44</v>
      </c>
      <c r="F6437" s="9">
        <v>99</v>
      </c>
      <c r="G6437" s="9" t="s">
        <v>295</v>
      </c>
      <c r="H6437" s="5" t="s">
        <v>21</v>
      </c>
      <c r="I6437" s="5" t="s">
        <v>15705</v>
      </c>
      <c r="J6437" s="12" t="str">
        <f>HYPERLINK("https://www.boe.es/gazeta/dias/1802/12/07/pdfs/GMD-D-1802-99.pdf#page=7","Abrir facsímil")</f>
        <v>Abrir facsímil</v>
      </c>
      <c r="K6437" s="15" t="s">
        <v>23</v>
      </c>
    </row>
    <row r="6438" spans="1:11" ht="42" customHeight="1">
      <c r="A6438" s="4" t="s">
        <v>15706</v>
      </c>
      <c r="B6438" s="5" t="s">
        <v>15707</v>
      </c>
      <c r="C6438" s="5" t="s">
        <v>42</v>
      </c>
      <c r="D6438" s="5" t="s">
        <v>43</v>
      </c>
      <c r="E6438" s="5" t="s">
        <v>44</v>
      </c>
      <c r="F6438" s="9">
        <v>99</v>
      </c>
      <c r="G6438" s="9" t="s">
        <v>314</v>
      </c>
      <c r="H6438" s="5" t="s">
        <v>21</v>
      </c>
      <c r="I6438" s="5" t="s">
        <v>15708</v>
      </c>
      <c r="J6438" s="12" t="str">
        <f>HYPERLINK("https://www.boe.es/gazeta/dias/1802/12/07/pdfs/GMD-D-1802-99.pdf#page=2","Abrir facsímil")</f>
        <v>Abrir facsímil</v>
      </c>
      <c r="K6438" s="15" t="s">
        <v>23</v>
      </c>
    </row>
    <row r="6439" spans="1:11" ht="42" customHeight="1">
      <c r="A6439" s="4" t="s">
        <v>15709</v>
      </c>
      <c r="B6439" s="5" t="s">
        <v>15710</v>
      </c>
      <c r="C6439" s="5" t="s">
        <v>42</v>
      </c>
      <c r="D6439" s="5" t="s">
        <v>43</v>
      </c>
      <c r="E6439" s="5" t="s">
        <v>44</v>
      </c>
      <c r="F6439" s="9">
        <v>99</v>
      </c>
      <c r="G6439" s="9" t="s">
        <v>558</v>
      </c>
      <c r="H6439" s="5" t="s">
        <v>21</v>
      </c>
      <c r="I6439" s="5" t="s">
        <v>15711</v>
      </c>
      <c r="J6439" s="12" t="str">
        <f>HYPERLINK("https://www.boe.es/gazeta/dias/1802/12/07/pdfs/GMD-D-1802-99.pdf#page=1","Abrir facsímil")</f>
        <v>Abrir facsímil</v>
      </c>
      <c r="K6439" s="15" t="s">
        <v>23</v>
      </c>
    </row>
    <row r="6440" spans="1:11" ht="42" customHeight="1">
      <c r="A6440" s="4" t="s">
        <v>15712</v>
      </c>
      <c r="B6440" s="5" t="s">
        <v>15713</v>
      </c>
      <c r="C6440" s="5" t="s">
        <v>35</v>
      </c>
      <c r="D6440" s="5" t="s">
        <v>36</v>
      </c>
      <c r="E6440" s="5" t="s">
        <v>1829</v>
      </c>
      <c r="F6440" s="9">
        <v>32</v>
      </c>
      <c r="G6440" s="9">
        <v>377</v>
      </c>
      <c r="H6440" s="5" t="s">
        <v>21</v>
      </c>
      <c r="I6440" s="5" t="s">
        <v>15714</v>
      </c>
      <c r="J6440" s="12" t="str">
        <f>HYPERLINK("https://www.boe.es/gazeta/dias/1802/04/20/pdfs/GMD-1802-32.pdf#page=9","Abrir facsímil")</f>
        <v>Abrir facsímil</v>
      </c>
      <c r="K6440" s="15" t="s">
        <v>23</v>
      </c>
    </row>
    <row r="6441" spans="1:11" ht="42" customHeight="1">
      <c r="A6441" s="4" t="s">
        <v>15712</v>
      </c>
      <c r="B6441" s="5" t="s">
        <v>15713</v>
      </c>
      <c r="C6441" s="5" t="s">
        <v>18</v>
      </c>
      <c r="D6441" s="5" t="s">
        <v>19</v>
      </c>
      <c r="E6441" s="5" t="s">
        <v>670</v>
      </c>
      <c r="F6441" s="9">
        <v>40</v>
      </c>
      <c r="G6441" s="9">
        <v>478</v>
      </c>
      <c r="H6441" s="5" t="s">
        <v>21</v>
      </c>
      <c r="I6441" s="5" t="s">
        <v>15715</v>
      </c>
      <c r="J6441" s="12" t="str">
        <f>HYPERLINK("https://www.boe.es/gazeta/dias/1802/05/18/pdfs/GMD-1802-40.pdf#page=6","Abrir facsímil")</f>
        <v>Abrir facsímil</v>
      </c>
      <c r="K6441" s="15" t="s">
        <v>23</v>
      </c>
    </row>
    <row r="6442" spans="1:11" ht="42" customHeight="1">
      <c r="A6442" s="4" t="s">
        <v>15712</v>
      </c>
      <c r="B6442" s="5" t="s">
        <v>15713</v>
      </c>
      <c r="C6442" s="5" t="s">
        <v>29</v>
      </c>
      <c r="D6442" s="5" t="s">
        <v>30</v>
      </c>
      <c r="E6442" s="5" t="s">
        <v>258</v>
      </c>
      <c r="F6442" s="9">
        <v>63</v>
      </c>
      <c r="G6442" s="9">
        <v>767</v>
      </c>
      <c r="H6442" s="5" t="s">
        <v>21</v>
      </c>
      <c r="I6442" s="5" t="s">
        <v>15716</v>
      </c>
      <c r="J6442" s="12" t="str">
        <f>HYPERLINK("https://www.boe.es/gazeta/dias/1802/08/03/pdfs/GMD-1802-63.pdf#page=7","Abrir facsímil")</f>
        <v>Abrir facsímil</v>
      </c>
      <c r="K6442" s="15" t="s">
        <v>23</v>
      </c>
    </row>
    <row r="6443" spans="1:11" ht="42" customHeight="1">
      <c r="A6443" s="4" t="s">
        <v>15717</v>
      </c>
      <c r="B6443" s="5" t="s">
        <v>15718</v>
      </c>
      <c r="C6443" s="5" t="s">
        <v>42</v>
      </c>
      <c r="D6443" s="5" t="s">
        <v>43</v>
      </c>
      <c r="E6443" s="5" t="s">
        <v>44</v>
      </c>
      <c r="F6443" s="9">
        <v>99</v>
      </c>
      <c r="G6443" s="9" t="s">
        <v>544</v>
      </c>
      <c r="H6443" s="5" t="s">
        <v>21</v>
      </c>
      <c r="I6443" s="5" t="s">
        <v>15719</v>
      </c>
      <c r="J6443" s="12" t="str">
        <f>HYPERLINK("https://www.boe.es/gazeta/dias/1802/12/07/pdfs/GMD-D-1802-99.pdf#page=11","Abrir facsímil")</f>
        <v>Abrir facsímil</v>
      </c>
      <c r="K6443" s="15" t="s">
        <v>23</v>
      </c>
    </row>
    <row r="6444" spans="1:11" ht="42" customHeight="1">
      <c r="A6444" s="4" t="s">
        <v>15720</v>
      </c>
      <c r="B6444" s="5" t="s">
        <v>15720</v>
      </c>
      <c r="C6444" s="5" t="s">
        <v>18</v>
      </c>
      <c r="D6444" s="5" t="s">
        <v>19</v>
      </c>
      <c r="E6444" s="5" t="s">
        <v>20</v>
      </c>
      <c r="F6444" s="9">
        <v>84</v>
      </c>
      <c r="G6444" s="9">
        <v>1042</v>
      </c>
      <c r="H6444" s="5" t="s">
        <v>21</v>
      </c>
      <c r="I6444" s="5" t="s">
        <v>15721</v>
      </c>
      <c r="J6444" s="12" t="str">
        <f>HYPERLINK("https://www.boe.es/gazeta/dias/1802/10/15/pdfs/GMD-1802-84.pdf#page=10","Abrir facsímil")</f>
        <v>Abrir facsímil</v>
      </c>
      <c r="K6444" s="15" t="s">
        <v>23</v>
      </c>
    </row>
    <row r="6445" spans="1:11" ht="42" customHeight="1">
      <c r="A6445" s="4" t="s">
        <v>15722</v>
      </c>
      <c r="B6445" s="5" t="s">
        <v>15723</v>
      </c>
      <c r="C6445" s="5" t="s">
        <v>18</v>
      </c>
      <c r="D6445" s="5" t="s">
        <v>19</v>
      </c>
      <c r="E6445" s="5" t="s">
        <v>900</v>
      </c>
      <c r="F6445" s="9">
        <v>16</v>
      </c>
      <c r="G6445" s="9">
        <v>169</v>
      </c>
      <c r="H6445" s="5" t="s">
        <v>21</v>
      </c>
      <c r="I6445" s="5" t="s">
        <v>15724</v>
      </c>
      <c r="J6445" s="12" t="str">
        <f>HYPERLINK("https://www.boe.es/gazeta/dias/1802/02/23/pdfs/GMD-1802-16.pdf#page=9","Abrir facsímil")</f>
        <v>Abrir facsímil</v>
      </c>
      <c r="K6445" s="15" t="s">
        <v>23</v>
      </c>
    </row>
    <row r="6446" spans="1:11" ht="42" customHeight="1">
      <c r="A6446" s="4" t="s">
        <v>15725</v>
      </c>
      <c r="B6446" s="5" t="s">
        <v>15726</v>
      </c>
      <c r="C6446" s="5" t="s">
        <v>42</v>
      </c>
      <c r="D6446" s="5" t="s">
        <v>43</v>
      </c>
      <c r="E6446" s="5" t="s">
        <v>44</v>
      </c>
      <c r="F6446" s="9">
        <v>99</v>
      </c>
      <c r="G6446" s="9" t="s">
        <v>537</v>
      </c>
      <c r="H6446" s="5" t="s">
        <v>21</v>
      </c>
      <c r="I6446" s="5" t="s">
        <v>15727</v>
      </c>
      <c r="J6446" s="12" t="str">
        <f>HYPERLINK("https://www.boe.es/gazeta/dias/1802/12/07/pdfs/GMD-D-1802-99.pdf#page=9","Abrir facsímil")</f>
        <v>Abrir facsímil</v>
      </c>
      <c r="K6446" s="15" t="s">
        <v>23</v>
      </c>
    </row>
    <row r="6447" spans="1:11" ht="42" customHeight="1">
      <c r="A6447" s="4" t="s">
        <v>15728</v>
      </c>
      <c r="B6447" s="5" t="s">
        <v>15729</v>
      </c>
      <c r="C6447" s="5" t="s">
        <v>29</v>
      </c>
      <c r="D6447" s="5" t="s">
        <v>30</v>
      </c>
      <c r="E6447" s="5" t="s">
        <v>655</v>
      </c>
      <c r="F6447" s="9">
        <v>46</v>
      </c>
      <c r="G6447" s="9">
        <v>558</v>
      </c>
      <c r="H6447" s="5" t="s">
        <v>21</v>
      </c>
      <c r="I6447" s="5" t="s">
        <v>15730</v>
      </c>
      <c r="J6447" s="12" t="str">
        <f>HYPERLINK("https://www.boe.es/gazeta/dias/1802/06/08/pdfs/GMD-1802-46.pdf#page=10","Abrir facsímil")</f>
        <v>Abrir facsímil</v>
      </c>
      <c r="K6447" s="15" t="s">
        <v>23</v>
      </c>
    </row>
    <row r="6448" spans="1:11" ht="42" customHeight="1">
      <c r="A6448" s="4" t="s">
        <v>15731</v>
      </c>
      <c r="B6448" s="5" t="s">
        <v>15732</v>
      </c>
      <c r="C6448" s="5" t="s">
        <v>35</v>
      </c>
      <c r="D6448" s="5" t="s">
        <v>36</v>
      </c>
      <c r="E6448" s="5" t="s">
        <v>611</v>
      </c>
      <c r="F6448" s="9">
        <v>68</v>
      </c>
      <c r="G6448" s="9">
        <v>827</v>
      </c>
      <c r="H6448" s="5" t="s">
        <v>21</v>
      </c>
      <c r="I6448" s="5" t="s">
        <v>15733</v>
      </c>
      <c r="J6448" s="12" t="str">
        <f>HYPERLINK("https://www.boe.es/gazeta/dias/1802/08/20/pdfs/GMD-1802-68.pdf#page=3","Abrir facsímil")</f>
        <v>Abrir facsímil</v>
      </c>
      <c r="K6448" s="15" t="s">
        <v>23</v>
      </c>
    </row>
    <row r="6449" spans="1:11" ht="42" customHeight="1">
      <c r="A6449" s="4" t="s">
        <v>15734</v>
      </c>
      <c r="B6449" s="5" t="s">
        <v>15735</v>
      </c>
      <c r="C6449" s="5" t="s">
        <v>18</v>
      </c>
      <c r="D6449" s="5" t="s">
        <v>19</v>
      </c>
      <c r="E6449" s="5" t="s">
        <v>20</v>
      </c>
      <c r="F6449" s="9">
        <v>84</v>
      </c>
      <c r="G6449" s="9">
        <v>1042</v>
      </c>
      <c r="H6449" s="5" t="s">
        <v>21</v>
      </c>
      <c r="I6449" s="5" t="s">
        <v>15736</v>
      </c>
      <c r="J6449" s="12" t="str">
        <f>HYPERLINK("https://www.boe.es/gazeta/dias/1802/10/15/pdfs/GMD-1802-84.pdf#page=10","Abrir facsímil")</f>
        <v>Abrir facsímil</v>
      </c>
      <c r="K6449" s="15" t="s">
        <v>23</v>
      </c>
    </row>
    <row r="6450" spans="1:11" ht="42" customHeight="1">
      <c r="A6450" s="4" t="s">
        <v>15737</v>
      </c>
      <c r="B6450" s="5" t="s">
        <v>15738</v>
      </c>
      <c r="C6450" s="5" t="s">
        <v>29</v>
      </c>
      <c r="D6450" s="5" t="s">
        <v>30</v>
      </c>
      <c r="E6450" s="5" t="s">
        <v>163</v>
      </c>
      <c r="F6450" s="9">
        <v>1</v>
      </c>
      <c r="G6450" s="9">
        <v>7</v>
      </c>
      <c r="H6450" s="5" t="s">
        <v>21</v>
      </c>
      <c r="I6450" s="5" t="s">
        <v>15739</v>
      </c>
      <c r="J6450" s="12" t="str">
        <f>HYPERLINK("https://www.boe.es/gazeta/dias/1802/01/01/pdfs/GMD-1802-1.pdf#page=7","Abrir facsímil")</f>
        <v>Abrir facsímil</v>
      </c>
      <c r="K6450" s="15" t="s">
        <v>23</v>
      </c>
    </row>
    <row r="6451" spans="1:11" ht="42" customHeight="1">
      <c r="A6451" s="4" t="s">
        <v>15740</v>
      </c>
      <c r="B6451" s="5" t="s">
        <v>15740</v>
      </c>
      <c r="C6451" s="5" t="s">
        <v>29</v>
      </c>
      <c r="D6451" s="5" t="s">
        <v>30</v>
      </c>
      <c r="E6451" s="5" t="s">
        <v>92</v>
      </c>
      <c r="F6451" s="9">
        <v>29</v>
      </c>
      <c r="G6451" s="9">
        <v>338</v>
      </c>
      <c r="H6451" s="5" t="s">
        <v>21</v>
      </c>
      <c r="I6451" s="5" t="s">
        <v>15741</v>
      </c>
      <c r="J6451" s="12" t="str">
        <f>HYPERLINK("https://www.boe.es/gazeta/dias/1802/04/09/pdfs/GMD-1802-29.pdf#page=6","Abrir facsímil")</f>
        <v>Abrir facsímil</v>
      </c>
      <c r="K6451" s="15" t="s">
        <v>23</v>
      </c>
    </row>
    <row r="6452" spans="1:11" ht="42" customHeight="1">
      <c r="A6452" s="4" t="s">
        <v>15742</v>
      </c>
      <c r="B6452" s="5" t="s">
        <v>15743</v>
      </c>
      <c r="C6452" s="5" t="s">
        <v>18</v>
      </c>
      <c r="D6452" s="5" t="s">
        <v>19</v>
      </c>
      <c r="E6452" s="5" t="s">
        <v>49</v>
      </c>
      <c r="F6452" s="9">
        <v>83</v>
      </c>
      <c r="G6452" s="9">
        <v>1024</v>
      </c>
      <c r="H6452" s="5" t="s">
        <v>21</v>
      </c>
      <c r="I6452" s="5" t="s">
        <v>15744</v>
      </c>
      <c r="J6452" s="12" t="str">
        <f>HYPERLINK("https://www.boe.es/gazeta/dias/1802/10/12/pdfs/GMD-1802-83.pdf#page=12","Abrir facsímil")</f>
        <v>Abrir facsímil</v>
      </c>
      <c r="K6452" s="15" t="s">
        <v>23</v>
      </c>
    </row>
    <row r="6453" spans="1:11" ht="42" customHeight="1">
      <c r="A6453" s="4" t="s">
        <v>15745</v>
      </c>
      <c r="B6453" s="5" t="s">
        <v>15746</v>
      </c>
      <c r="C6453" s="5" t="s">
        <v>29</v>
      </c>
      <c r="D6453" s="5" t="s">
        <v>30</v>
      </c>
      <c r="E6453" s="5" t="s">
        <v>82</v>
      </c>
      <c r="F6453" s="9">
        <v>74</v>
      </c>
      <c r="G6453" s="9">
        <v>915</v>
      </c>
      <c r="H6453" s="5" t="s">
        <v>21</v>
      </c>
      <c r="I6453" s="5" t="s">
        <v>15747</v>
      </c>
      <c r="J6453" s="12" t="str">
        <f>HYPERLINK("https://www.boe.es/gazeta/dias/1802/09/10/pdfs/GMD-1802-74.pdf#page=11","Abrir facsímil")</f>
        <v>Abrir facsímil</v>
      </c>
      <c r="K6453" s="15" t="s">
        <v>23</v>
      </c>
    </row>
    <row r="6454" spans="1:11" ht="42" customHeight="1">
      <c r="A6454" s="4" t="s">
        <v>15748</v>
      </c>
      <c r="B6454" s="5" t="s">
        <v>15749</v>
      </c>
      <c r="C6454" s="5" t="s">
        <v>18</v>
      </c>
      <c r="D6454" s="5" t="s">
        <v>19</v>
      </c>
      <c r="E6454" s="5" t="s">
        <v>20</v>
      </c>
      <c r="F6454" s="9">
        <v>84</v>
      </c>
      <c r="G6454" s="9">
        <v>1040</v>
      </c>
      <c r="H6454" s="5" t="s">
        <v>21</v>
      </c>
      <c r="I6454" s="5" t="s">
        <v>15750</v>
      </c>
      <c r="J6454" s="12" t="str">
        <f>HYPERLINK("https://www.boe.es/gazeta/dias/1802/10/15/pdfs/GMD-1802-84.pdf#page=8","Abrir facsímil")</f>
        <v>Abrir facsímil</v>
      </c>
      <c r="K6454" s="15" t="s">
        <v>23</v>
      </c>
    </row>
    <row r="6455" spans="1:11" ht="42" customHeight="1">
      <c r="A6455" s="4" t="s">
        <v>15751</v>
      </c>
      <c r="B6455" s="5" t="s">
        <v>15752</v>
      </c>
      <c r="C6455" s="5" t="s">
        <v>18</v>
      </c>
      <c r="D6455" s="5" t="s">
        <v>19</v>
      </c>
      <c r="E6455" s="5" t="s">
        <v>49</v>
      </c>
      <c r="F6455" s="9">
        <v>83</v>
      </c>
      <c r="G6455" s="9">
        <v>1023</v>
      </c>
      <c r="H6455" s="5" t="s">
        <v>21</v>
      </c>
      <c r="I6455" s="5" t="s">
        <v>15753</v>
      </c>
      <c r="J6455" s="12" t="str">
        <f>HYPERLINK("https://www.boe.es/gazeta/dias/1802/10/12/pdfs/GMD-1802-83.pdf#page=11","Abrir facsímil")</f>
        <v>Abrir facsímil</v>
      </c>
      <c r="K6455" s="15" t="s">
        <v>23</v>
      </c>
    </row>
    <row r="6456" spans="1:11" ht="42" customHeight="1">
      <c r="A6456" s="4" t="s">
        <v>15754</v>
      </c>
      <c r="B6456" s="5" t="s">
        <v>15755</v>
      </c>
      <c r="C6456" s="5" t="s">
        <v>29</v>
      </c>
      <c r="D6456" s="5" t="s">
        <v>30</v>
      </c>
      <c r="E6456" s="5" t="s">
        <v>900</v>
      </c>
      <c r="F6456" s="9">
        <v>16</v>
      </c>
      <c r="G6456" s="9">
        <v>169</v>
      </c>
      <c r="H6456" s="5" t="s">
        <v>21</v>
      </c>
      <c r="I6456" s="5" t="s">
        <v>15756</v>
      </c>
      <c r="J6456" s="12" t="str">
        <f>HYPERLINK("https://www.boe.es/gazeta/dias/1802/02/23/pdfs/GMD-1802-16.pdf#page=9","Abrir facsímil")</f>
        <v>Abrir facsímil</v>
      </c>
      <c r="K6456" s="15" t="s">
        <v>23</v>
      </c>
    </row>
    <row r="6457" spans="1:11" ht="42" customHeight="1">
      <c r="A6457" s="4" t="s">
        <v>15757</v>
      </c>
      <c r="B6457" s="5" t="s">
        <v>15757</v>
      </c>
      <c r="C6457" s="5" t="s">
        <v>90</v>
      </c>
      <c r="D6457" s="5" t="s">
        <v>91</v>
      </c>
      <c r="E6457" s="5" t="s">
        <v>247</v>
      </c>
      <c r="F6457" s="9">
        <v>14</v>
      </c>
      <c r="G6457" s="9">
        <v>146</v>
      </c>
      <c r="H6457" s="5" t="s">
        <v>21</v>
      </c>
      <c r="I6457" s="5" t="s">
        <v>15758</v>
      </c>
      <c r="J6457" s="12" t="str">
        <f>HYPERLINK("https://www.boe.es/gazeta/dias/1802/02/16/pdfs/GMD-1802-14.pdf#page=10","Abrir facsímil")</f>
        <v>Abrir facsímil</v>
      </c>
      <c r="K6457" s="15" t="s">
        <v>23</v>
      </c>
    </row>
    <row r="6458" spans="1:11" ht="42" customHeight="1">
      <c r="A6458" s="4" t="s">
        <v>15759</v>
      </c>
      <c r="B6458" s="5" t="s">
        <v>15759</v>
      </c>
      <c r="C6458" s="5" t="s">
        <v>90</v>
      </c>
      <c r="D6458" s="5" t="s">
        <v>91</v>
      </c>
      <c r="E6458" s="5" t="s">
        <v>900</v>
      </c>
      <c r="F6458" s="9">
        <v>16</v>
      </c>
      <c r="G6458" s="9">
        <v>169</v>
      </c>
      <c r="H6458" s="5" t="s">
        <v>21</v>
      </c>
      <c r="I6458" s="5" t="s">
        <v>15760</v>
      </c>
      <c r="J6458" s="12" t="str">
        <f>HYPERLINK("https://www.boe.es/gazeta/dias/1802/02/23/pdfs/GMD-1802-16.pdf#page=9","Abrir facsímil")</f>
        <v>Abrir facsímil</v>
      </c>
      <c r="K6458" s="15" t="s">
        <v>23</v>
      </c>
    </row>
    <row r="6459" spans="1:11" ht="42" customHeight="1">
      <c r="A6459" s="4" t="s">
        <v>15761</v>
      </c>
      <c r="B6459" s="5" t="s">
        <v>15761</v>
      </c>
      <c r="C6459" s="5" t="s">
        <v>29</v>
      </c>
      <c r="D6459" s="5" t="s">
        <v>30</v>
      </c>
      <c r="E6459" s="5" t="s">
        <v>814</v>
      </c>
      <c r="F6459" s="9">
        <v>41</v>
      </c>
      <c r="G6459" s="9">
        <v>494</v>
      </c>
      <c r="H6459" s="5" t="s">
        <v>21</v>
      </c>
      <c r="I6459" s="5" t="s">
        <v>15762</v>
      </c>
      <c r="J6459" s="12" t="str">
        <f>HYPERLINK("https://www.boe.es/gazeta/dias/1802/05/21/pdfs/GMD-1802-41.pdf#page=10","Abrir facsímil")</f>
        <v>Abrir facsímil</v>
      </c>
      <c r="K6459" s="15" t="s">
        <v>23</v>
      </c>
    </row>
    <row r="6460" spans="1:11" ht="42" customHeight="1">
      <c r="A6460" s="4" t="s">
        <v>15763</v>
      </c>
      <c r="B6460" s="5" t="s">
        <v>15763</v>
      </c>
      <c r="C6460" s="5" t="s">
        <v>18</v>
      </c>
      <c r="D6460" s="5" t="s">
        <v>19</v>
      </c>
      <c r="E6460" s="5" t="s">
        <v>82</v>
      </c>
      <c r="F6460" s="9">
        <v>74</v>
      </c>
      <c r="G6460" s="9">
        <v>911</v>
      </c>
      <c r="H6460" s="5" t="s">
        <v>21</v>
      </c>
      <c r="I6460" s="5" t="s">
        <v>15764</v>
      </c>
      <c r="J6460" s="12" t="str">
        <f>HYPERLINK("https://www.boe.es/gazeta/dias/1802/09/10/pdfs/GMD-1802-74.pdf#page=7","Abrir facsímil")</f>
        <v>Abrir facsímil</v>
      </c>
      <c r="K6460" s="15" t="s">
        <v>23</v>
      </c>
    </row>
    <row r="6461" spans="1:11" ht="42" customHeight="1">
      <c r="A6461" s="4" t="s">
        <v>15765</v>
      </c>
      <c r="B6461" s="5" t="s">
        <v>15766</v>
      </c>
      <c r="C6461" s="5" t="s">
        <v>35</v>
      </c>
      <c r="D6461" s="5" t="s">
        <v>36</v>
      </c>
      <c r="E6461" s="5" t="s">
        <v>109</v>
      </c>
      <c r="F6461" s="9">
        <v>10</v>
      </c>
      <c r="G6461" s="9">
        <v>95</v>
      </c>
      <c r="H6461" s="5" t="s">
        <v>21</v>
      </c>
      <c r="I6461" s="5" t="s">
        <v>15767</v>
      </c>
      <c r="J6461" s="12" t="str">
        <f>HYPERLINK("https://www.boe.es/gazeta/dias/1802/02/02/pdfs/GMD-1802-10.pdf#page=3","Abrir facsímil")</f>
        <v>Abrir facsímil</v>
      </c>
      <c r="K6461" s="15" t="s">
        <v>23</v>
      </c>
    </row>
    <row r="6462" spans="1:11" ht="42" customHeight="1">
      <c r="A6462" s="4" t="s">
        <v>15765</v>
      </c>
      <c r="B6462" s="5" t="s">
        <v>15766</v>
      </c>
      <c r="C6462" s="5" t="s">
        <v>35</v>
      </c>
      <c r="D6462" s="5" t="s">
        <v>36</v>
      </c>
      <c r="E6462" s="5" t="s">
        <v>183</v>
      </c>
      <c r="F6462" s="9">
        <v>56</v>
      </c>
      <c r="G6462" s="9">
        <v>674</v>
      </c>
      <c r="H6462" s="5" t="s">
        <v>21</v>
      </c>
      <c r="I6462" s="5" t="s">
        <v>15768</v>
      </c>
      <c r="J6462" s="12" t="str">
        <f>HYPERLINK("https://www.boe.es/gazeta/dias/1802/07/13/pdfs/GMD-1802-56.pdf#page=6","Abrir facsímil")</f>
        <v>Abrir facsímil</v>
      </c>
      <c r="K6462" s="15" t="s">
        <v>23</v>
      </c>
    </row>
    <row r="6463" spans="1:11" ht="42" customHeight="1">
      <c r="A6463" s="4" t="s">
        <v>15769</v>
      </c>
      <c r="B6463" s="5" t="s">
        <v>15769</v>
      </c>
      <c r="C6463" s="5" t="s">
        <v>35</v>
      </c>
      <c r="D6463" s="5" t="s">
        <v>36</v>
      </c>
      <c r="E6463" s="5" t="s">
        <v>188</v>
      </c>
      <c r="F6463" s="9">
        <v>49</v>
      </c>
      <c r="G6463" s="9">
        <v>590</v>
      </c>
      <c r="H6463" s="5" t="s">
        <v>21</v>
      </c>
      <c r="I6463" s="5" t="s">
        <v>15770</v>
      </c>
      <c r="J6463" s="12" t="str">
        <f>HYPERLINK("https://www.boe.es/gazeta/dias/1802/06/18/pdfs/GMD-1802-49.pdf#page=2","Abrir facsímil")</f>
        <v>Abrir facsímil</v>
      </c>
      <c r="K6463" s="15" t="s">
        <v>23</v>
      </c>
    </row>
    <row r="6464" spans="1:11" ht="42" customHeight="1">
      <c r="A6464" s="4" t="s">
        <v>15771</v>
      </c>
      <c r="B6464" s="5" t="s">
        <v>15772</v>
      </c>
      <c r="C6464" s="5" t="s">
        <v>29</v>
      </c>
      <c r="D6464" s="5" t="s">
        <v>30</v>
      </c>
      <c r="E6464" s="5" t="s">
        <v>131</v>
      </c>
      <c r="F6464" s="9">
        <v>11</v>
      </c>
      <c r="G6464" s="9">
        <v>114</v>
      </c>
      <c r="H6464" s="5" t="s">
        <v>21</v>
      </c>
      <c r="I6464" s="5" t="s">
        <v>15773</v>
      </c>
      <c r="J6464" s="12" t="str">
        <f>HYPERLINK("https://www.boe.es/gazeta/dias/1802/02/05/pdfs/GMD-1802-11.pdf#page=10","Abrir facsímil")</f>
        <v>Abrir facsímil</v>
      </c>
      <c r="K6464" s="15" t="s">
        <v>23</v>
      </c>
    </row>
    <row r="6465" spans="1:11" ht="42" customHeight="1">
      <c r="A6465" s="4" t="s">
        <v>15774</v>
      </c>
      <c r="B6465" s="5" t="s">
        <v>15775</v>
      </c>
      <c r="C6465" s="5" t="s">
        <v>18</v>
      </c>
      <c r="D6465" s="5" t="s">
        <v>19</v>
      </c>
      <c r="E6465" s="5" t="s">
        <v>49</v>
      </c>
      <c r="F6465" s="9">
        <v>83</v>
      </c>
      <c r="G6465" s="9">
        <v>1025</v>
      </c>
      <c r="H6465" s="5" t="s">
        <v>21</v>
      </c>
      <c r="I6465" s="5" t="s">
        <v>15776</v>
      </c>
      <c r="J6465" s="12" t="str">
        <f>HYPERLINK("https://www.boe.es/gazeta/dias/1802/10/12/pdfs/GMD-1802-83.pdf#page=13","Abrir facsímil")</f>
        <v>Abrir facsímil</v>
      </c>
      <c r="K6465" s="15" t="s">
        <v>23</v>
      </c>
    </row>
    <row r="6466" spans="1:11" ht="42" customHeight="1">
      <c r="A6466" s="4" t="s">
        <v>15777</v>
      </c>
      <c r="B6466" s="5" t="s">
        <v>15777</v>
      </c>
      <c r="C6466" s="5" t="s">
        <v>29</v>
      </c>
      <c r="D6466" s="5" t="s">
        <v>30</v>
      </c>
      <c r="E6466" s="5" t="s">
        <v>1097</v>
      </c>
      <c r="F6466" s="9">
        <v>20</v>
      </c>
      <c r="G6466" s="9">
        <v>213</v>
      </c>
      <c r="H6466" s="5" t="s">
        <v>21</v>
      </c>
      <c r="I6466" s="5" t="s">
        <v>15778</v>
      </c>
      <c r="J6466" s="12" t="str">
        <f>HYPERLINK("https://www.boe.es/gazeta/dias/1802/03/09/pdfs/GMD-1802-20.pdf#page=1","Abrir facsímil")</f>
        <v>Abrir facsímil</v>
      </c>
      <c r="K6466" s="15" t="s">
        <v>23</v>
      </c>
    </row>
    <row r="6467" spans="1:11" ht="42" customHeight="1">
      <c r="A6467" s="4" t="s">
        <v>15779</v>
      </c>
      <c r="B6467" s="5" t="s">
        <v>15779</v>
      </c>
      <c r="C6467" s="5" t="s">
        <v>35</v>
      </c>
      <c r="D6467" s="5" t="s">
        <v>36</v>
      </c>
      <c r="E6467" s="5" t="s">
        <v>642</v>
      </c>
      <c r="F6467" s="9">
        <v>51</v>
      </c>
      <c r="G6467" s="9">
        <v>619</v>
      </c>
      <c r="H6467" s="5" t="s">
        <v>21</v>
      </c>
      <c r="I6467" s="5" t="s">
        <v>15780</v>
      </c>
      <c r="J6467" s="12" t="str">
        <f>HYPERLINK("https://www.boe.es/gazeta/dias/1802/06/25/pdfs/GMD-1802-51.pdf#page=7","Abrir facsímil")</f>
        <v>Abrir facsímil</v>
      </c>
      <c r="K6467" s="15" t="s">
        <v>23</v>
      </c>
    </row>
    <row r="6468" spans="1:11" ht="42" customHeight="1">
      <c r="A6468" s="4" t="s">
        <v>15781</v>
      </c>
      <c r="B6468" s="5" t="s">
        <v>15781</v>
      </c>
      <c r="C6468" s="5" t="s">
        <v>35</v>
      </c>
      <c r="D6468" s="5" t="s">
        <v>36</v>
      </c>
      <c r="E6468" s="5" t="s">
        <v>604</v>
      </c>
      <c r="F6468" s="9">
        <v>100</v>
      </c>
      <c r="G6468" s="9">
        <v>1231</v>
      </c>
      <c r="H6468" s="5" t="s">
        <v>21</v>
      </c>
      <c r="I6468" s="5" t="s">
        <v>15782</v>
      </c>
      <c r="J6468" s="12" t="str">
        <f>HYPERLINK("https://www.boe.es/gazeta/dias/1802/12/10/pdfs/GMD-1802-100.pdf#page=3","Abrir facsímil")</f>
        <v>Abrir facsímil</v>
      </c>
      <c r="K6468" s="15" t="s">
        <v>23</v>
      </c>
    </row>
    <row r="6469" spans="1:11" ht="42" customHeight="1">
      <c r="A6469" s="4" t="s">
        <v>15783</v>
      </c>
      <c r="B6469" s="5" t="s">
        <v>15783</v>
      </c>
      <c r="C6469" s="5" t="s">
        <v>35</v>
      </c>
      <c r="D6469" s="5" t="s">
        <v>36</v>
      </c>
      <c r="E6469" s="5" t="s">
        <v>385</v>
      </c>
      <c r="F6469" s="9">
        <v>70</v>
      </c>
      <c r="G6469" s="9">
        <v>854</v>
      </c>
      <c r="H6469" s="5" t="s">
        <v>21</v>
      </c>
      <c r="I6469" s="5" t="s">
        <v>15784</v>
      </c>
      <c r="J6469" s="12" t="str">
        <f>HYPERLINK("https://www.boe.es/gazeta/dias/1802/08/27/pdfs/GMD-1802-70.pdf#page=2","Abrir facsímil")</f>
        <v>Abrir facsímil</v>
      </c>
      <c r="K6469" s="15" t="s">
        <v>23</v>
      </c>
    </row>
    <row r="6470" spans="1:11" ht="42" customHeight="1">
      <c r="A6470" s="4" t="s">
        <v>15785</v>
      </c>
      <c r="B6470" s="5" t="s">
        <v>15785</v>
      </c>
      <c r="C6470" s="5" t="s">
        <v>18</v>
      </c>
      <c r="D6470" s="5" t="s">
        <v>19</v>
      </c>
      <c r="E6470" s="5" t="s">
        <v>604</v>
      </c>
      <c r="F6470" s="9">
        <v>100</v>
      </c>
      <c r="G6470" s="9">
        <v>1234</v>
      </c>
      <c r="H6470" s="5" t="s">
        <v>21</v>
      </c>
      <c r="I6470" s="5" t="s">
        <v>15786</v>
      </c>
      <c r="J6470" s="12" t="str">
        <f>HYPERLINK("https://www.boe.es/gazeta/dias/1802/12/10/pdfs/GMD-1802-100.pdf#page=6","Abrir facsímil")</f>
        <v>Abrir facsímil</v>
      </c>
      <c r="K6470" s="15" t="s">
        <v>23</v>
      </c>
    </row>
    <row r="6471" spans="1:11" ht="42" customHeight="1">
      <c r="A6471" s="4" t="s">
        <v>15787</v>
      </c>
      <c r="B6471" s="5" t="s">
        <v>15787</v>
      </c>
      <c r="C6471" s="5" t="s">
        <v>35</v>
      </c>
      <c r="D6471" s="5" t="s">
        <v>36</v>
      </c>
      <c r="E6471" s="5" t="s">
        <v>710</v>
      </c>
      <c r="F6471" s="9">
        <v>85</v>
      </c>
      <c r="G6471" s="9">
        <v>1053</v>
      </c>
      <c r="H6471" s="5" t="s">
        <v>21</v>
      </c>
      <c r="I6471" s="5" t="s">
        <v>15788</v>
      </c>
      <c r="J6471" s="12" t="str">
        <f>HYPERLINK("https://www.boe.es/gazeta/dias/1802/10/19/pdfs/GMD-1802-85.pdf#page=5","Abrir facsímil")</f>
        <v>Abrir facsímil</v>
      </c>
      <c r="K6471" s="15" t="s">
        <v>23</v>
      </c>
    </row>
    <row r="6472" spans="1:11" ht="42" customHeight="1">
      <c r="A6472" s="4" t="s">
        <v>15787</v>
      </c>
      <c r="B6472" s="5" t="s">
        <v>15787</v>
      </c>
      <c r="C6472" s="5" t="s">
        <v>35</v>
      </c>
      <c r="D6472" s="5" t="s">
        <v>36</v>
      </c>
      <c r="E6472" s="5" t="s">
        <v>1185</v>
      </c>
      <c r="F6472" s="9">
        <v>93</v>
      </c>
      <c r="G6472" s="9">
        <v>1144</v>
      </c>
      <c r="H6472" s="5" t="s">
        <v>21</v>
      </c>
      <c r="I6472" s="5" t="s">
        <v>15789</v>
      </c>
      <c r="J6472" s="12" t="str">
        <f>HYPERLINK("https://www.boe.es/gazeta/dias/1802/11/16/pdfs/GMD-1802-93.pdf#page=4","Abrir facsímil")</f>
        <v>Abrir facsímil</v>
      </c>
      <c r="K6472" s="15" t="s">
        <v>23</v>
      </c>
    </row>
    <row r="6473" spans="1:11" ht="42" customHeight="1">
      <c r="A6473" s="4" t="s">
        <v>15790</v>
      </c>
      <c r="B6473" s="5" t="s">
        <v>15790</v>
      </c>
      <c r="C6473" s="5" t="s">
        <v>18</v>
      </c>
      <c r="D6473" s="5" t="s">
        <v>19</v>
      </c>
      <c r="E6473" s="5" t="s">
        <v>49</v>
      </c>
      <c r="F6473" s="9">
        <v>83</v>
      </c>
      <c r="G6473" s="9">
        <v>1016</v>
      </c>
      <c r="H6473" s="5" t="s">
        <v>21</v>
      </c>
      <c r="I6473" s="5" t="s">
        <v>14747</v>
      </c>
      <c r="J6473" s="12" t="str">
        <f>HYPERLINK("https://www.boe.es/gazeta/dias/1802/10/12/pdfs/GMD-1802-83.pdf#page=4","Abrir facsímil")</f>
        <v>Abrir facsímil</v>
      </c>
      <c r="K6473" s="15" t="s">
        <v>23</v>
      </c>
    </row>
    <row r="6474" spans="1:11" ht="42" customHeight="1">
      <c r="A6474" s="4" t="s">
        <v>15790</v>
      </c>
      <c r="B6474" s="5" t="s">
        <v>15790</v>
      </c>
      <c r="C6474" s="5" t="s">
        <v>35</v>
      </c>
      <c r="D6474" s="5" t="s">
        <v>36</v>
      </c>
      <c r="E6474" s="5" t="s">
        <v>710</v>
      </c>
      <c r="F6474" s="9">
        <v>85</v>
      </c>
      <c r="G6474" s="9">
        <v>1053</v>
      </c>
      <c r="H6474" s="5" t="s">
        <v>21</v>
      </c>
      <c r="I6474" s="5" t="s">
        <v>15791</v>
      </c>
      <c r="J6474" s="12" t="str">
        <f>HYPERLINK("https://www.boe.es/gazeta/dias/1802/10/19/pdfs/GMD-1802-85.pdf#page=5","Abrir facsímil")</f>
        <v>Abrir facsímil</v>
      </c>
      <c r="K6474" s="15" t="s">
        <v>23</v>
      </c>
    </row>
    <row r="6475" spans="1:11" ht="42" customHeight="1">
      <c r="A6475" s="4" t="s">
        <v>15790</v>
      </c>
      <c r="B6475" s="5" t="s">
        <v>15790</v>
      </c>
      <c r="C6475" s="5" t="s">
        <v>18</v>
      </c>
      <c r="D6475" s="5" t="s">
        <v>19</v>
      </c>
      <c r="E6475" s="5" t="s">
        <v>44</v>
      </c>
      <c r="F6475" s="9">
        <v>99</v>
      </c>
      <c r="G6475" s="9">
        <v>1220</v>
      </c>
      <c r="H6475" s="5" t="s">
        <v>21</v>
      </c>
      <c r="I6475" s="5" t="s">
        <v>15792</v>
      </c>
      <c r="J6475" s="12" t="str">
        <f>HYPERLINK("https://www.boe.es/gazeta/dias/1802/12/07/pdfs/GMD-1802-99.pdf#page=4","Abrir facsímil")</f>
        <v>Abrir facsímil</v>
      </c>
      <c r="K6475" s="15" t="s">
        <v>23</v>
      </c>
    </row>
    <row r="6476" spans="1:11" ht="42" customHeight="1">
      <c r="A6476" s="4" t="s">
        <v>15793</v>
      </c>
      <c r="B6476" s="5" t="s">
        <v>15793</v>
      </c>
      <c r="C6476" s="5" t="s">
        <v>35</v>
      </c>
      <c r="D6476" s="5" t="s">
        <v>36</v>
      </c>
      <c r="E6476" s="5" t="s">
        <v>20</v>
      </c>
      <c r="F6476" s="9">
        <v>84</v>
      </c>
      <c r="G6476" s="9">
        <v>1035</v>
      </c>
      <c r="H6476" s="5" t="s">
        <v>21</v>
      </c>
      <c r="I6476" s="5" t="s">
        <v>15794</v>
      </c>
      <c r="J6476" s="12" t="str">
        <f>HYPERLINK("https://www.boe.es/gazeta/dias/1802/10/15/pdfs/GMD-1802-84.pdf#page=3","Abrir facsímil")</f>
        <v>Abrir facsímil</v>
      </c>
      <c r="K6476" s="15" t="s">
        <v>23</v>
      </c>
    </row>
    <row r="6477" spans="1:11" ht="42" customHeight="1">
      <c r="A6477" s="4" t="s">
        <v>15795</v>
      </c>
      <c r="B6477" s="5" t="s">
        <v>15796</v>
      </c>
      <c r="C6477" s="5" t="s">
        <v>18</v>
      </c>
      <c r="D6477" s="5" t="s">
        <v>19</v>
      </c>
      <c r="E6477" s="5" t="s">
        <v>49</v>
      </c>
      <c r="F6477" s="9">
        <v>83</v>
      </c>
      <c r="G6477" s="9">
        <v>1024</v>
      </c>
      <c r="H6477" s="5" t="s">
        <v>21</v>
      </c>
      <c r="I6477" s="5" t="s">
        <v>15797</v>
      </c>
      <c r="J6477" s="12" t="str">
        <f>HYPERLINK("https://www.boe.es/gazeta/dias/1802/10/12/pdfs/GMD-1802-83.pdf#page=12","Abrir facsímil")</f>
        <v>Abrir facsímil</v>
      </c>
      <c r="K6477" s="15" t="s">
        <v>23</v>
      </c>
    </row>
    <row r="6478" spans="1:11" ht="42" customHeight="1">
      <c r="A6478" s="4" t="s">
        <v>15798</v>
      </c>
      <c r="B6478" s="5" t="s">
        <v>15799</v>
      </c>
      <c r="C6478" s="5" t="s">
        <v>29</v>
      </c>
      <c r="D6478" s="5" t="s">
        <v>30</v>
      </c>
      <c r="E6478" s="5" t="s">
        <v>163</v>
      </c>
      <c r="F6478" s="9">
        <v>1</v>
      </c>
      <c r="G6478" s="9">
        <v>7</v>
      </c>
      <c r="H6478" s="5" t="s">
        <v>21</v>
      </c>
      <c r="I6478" s="5" t="s">
        <v>15800</v>
      </c>
      <c r="J6478" s="12" t="str">
        <f>HYPERLINK("https://www.boe.es/gazeta/dias/1802/01/01/pdfs/GMD-1802-1.pdf#page=7","Abrir facsímil")</f>
        <v>Abrir facsímil</v>
      </c>
      <c r="K6478" s="15" t="s">
        <v>23</v>
      </c>
    </row>
    <row r="6479" spans="1:11" ht="42" customHeight="1">
      <c r="A6479" s="4" t="s">
        <v>15801</v>
      </c>
      <c r="B6479" s="5" t="s">
        <v>15801</v>
      </c>
      <c r="C6479" s="5" t="s">
        <v>29</v>
      </c>
      <c r="D6479" s="5" t="s">
        <v>30</v>
      </c>
      <c r="E6479" s="5" t="s">
        <v>754</v>
      </c>
      <c r="F6479" s="9">
        <v>101</v>
      </c>
      <c r="G6479" s="9">
        <v>1238</v>
      </c>
      <c r="H6479" s="5" t="s">
        <v>21</v>
      </c>
      <c r="I6479" s="5" t="s">
        <v>15802</v>
      </c>
      <c r="J6479" s="12" t="str">
        <f>HYPERLINK("https://www.boe.es/gazeta/dias/1802/12/14/pdfs/GMD-1802-101.pdf#page=2","Abrir facsímil")</f>
        <v>Abrir facsímil</v>
      </c>
      <c r="K6479" s="15" t="s">
        <v>23</v>
      </c>
    </row>
    <row r="6480" spans="1:11" ht="42" customHeight="1">
      <c r="A6480" s="4" t="s">
        <v>15803</v>
      </c>
      <c r="B6480" s="5" t="s">
        <v>15803</v>
      </c>
      <c r="C6480" s="5" t="s">
        <v>18</v>
      </c>
      <c r="D6480" s="5" t="s">
        <v>19</v>
      </c>
      <c r="E6480" s="5" t="s">
        <v>258</v>
      </c>
      <c r="F6480" s="9">
        <v>63</v>
      </c>
      <c r="G6480" s="9">
        <v>768</v>
      </c>
      <c r="H6480" s="5" t="s">
        <v>21</v>
      </c>
      <c r="I6480" s="5" t="s">
        <v>15804</v>
      </c>
      <c r="J6480" s="12" t="str">
        <f>HYPERLINK("https://www.boe.es/gazeta/dias/1802/08/03/pdfs/GMD-1802-63.pdf#page=8","Abrir facsímil")</f>
        <v>Abrir facsímil</v>
      </c>
      <c r="K6480" s="15" t="s">
        <v>23</v>
      </c>
    </row>
    <row r="6481" spans="1:11" ht="42" customHeight="1">
      <c r="A6481" s="4" t="s">
        <v>15805</v>
      </c>
      <c r="B6481" s="5" t="s">
        <v>15805</v>
      </c>
      <c r="C6481" s="5" t="s">
        <v>35</v>
      </c>
      <c r="D6481" s="5" t="s">
        <v>36</v>
      </c>
      <c r="E6481" s="5" t="s">
        <v>1618</v>
      </c>
      <c r="F6481" s="9">
        <v>31</v>
      </c>
      <c r="G6481" s="9">
        <v>357</v>
      </c>
      <c r="H6481" s="5" t="s">
        <v>21</v>
      </c>
      <c r="I6481" s="5" t="s">
        <v>15806</v>
      </c>
      <c r="J6481" s="12" t="str">
        <f>HYPERLINK("https://www.boe.es/gazeta/dias/1802/04/16/pdfs/GMD-1802-31.pdf#page=1","Abrir facsímil")</f>
        <v>Abrir facsímil</v>
      </c>
      <c r="K6481" s="15" t="s">
        <v>23</v>
      </c>
    </row>
    <row r="6482" spans="1:11" ht="42" customHeight="1">
      <c r="A6482" s="4" t="s">
        <v>15807</v>
      </c>
      <c r="B6482" s="5" t="s">
        <v>15808</v>
      </c>
      <c r="C6482" s="5" t="s">
        <v>35</v>
      </c>
      <c r="D6482" s="5" t="s">
        <v>36</v>
      </c>
      <c r="E6482" s="5" t="s">
        <v>481</v>
      </c>
      <c r="F6482" s="9">
        <v>79</v>
      </c>
      <c r="G6482" s="9">
        <v>965</v>
      </c>
      <c r="H6482" s="5" t="s">
        <v>21</v>
      </c>
      <c r="I6482" s="5" t="s">
        <v>15809</v>
      </c>
      <c r="J6482" s="12" t="str">
        <f>HYPERLINK("https://www.boe.es/gazeta/dias/1802/09/28/pdfs/GMD-1802-79.pdf#page=1","Abrir facsímil")</f>
        <v>Abrir facsímil</v>
      </c>
      <c r="K6482" s="15" t="s">
        <v>23</v>
      </c>
    </row>
    <row r="6483" spans="1:11" ht="42" customHeight="1">
      <c r="A6483" s="4" t="s">
        <v>15810</v>
      </c>
      <c r="B6483" s="5" t="s">
        <v>15811</v>
      </c>
      <c r="C6483" s="5" t="s">
        <v>55</v>
      </c>
      <c r="D6483" s="5" t="s">
        <v>56</v>
      </c>
      <c r="E6483" s="5" t="s">
        <v>167</v>
      </c>
      <c r="F6483" s="9">
        <v>23</v>
      </c>
      <c r="G6483" s="9">
        <v>264</v>
      </c>
      <c r="H6483" s="5" t="s">
        <v>21</v>
      </c>
      <c r="I6483" s="5" t="s">
        <v>15812</v>
      </c>
      <c r="J6483" s="12" t="str">
        <f>HYPERLINK("https://www.boe.es/gazeta/dias/1802/03/19/pdfs/GMD-1802-23.pdf#page=12","Abrir facsímil")</f>
        <v>Abrir facsímil</v>
      </c>
      <c r="K6483" s="15" t="s">
        <v>23</v>
      </c>
    </row>
    <row r="6484" spans="1:11" ht="42" customHeight="1">
      <c r="A6484" s="4" t="s">
        <v>15813</v>
      </c>
      <c r="B6484" s="5" t="s">
        <v>15813</v>
      </c>
      <c r="C6484" s="5" t="s">
        <v>35</v>
      </c>
      <c r="D6484" s="5" t="s">
        <v>36</v>
      </c>
      <c r="E6484" s="5" t="s">
        <v>73</v>
      </c>
      <c r="F6484" s="9">
        <v>102</v>
      </c>
      <c r="G6484" s="9">
        <v>1249</v>
      </c>
      <c r="H6484" s="5" t="s">
        <v>21</v>
      </c>
      <c r="I6484" s="5" t="s">
        <v>15814</v>
      </c>
      <c r="J6484" s="12" t="str">
        <f>HYPERLINK("https://www.boe.es/gazeta/dias/1802/12/17/pdfs/GMD-1802-102.pdf#page=5","Abrir facsímil")</f>
        <v>Abrir facsímil</v>
      </c>
      <c r="K6484" s="15" t="s">
        <v>23</v>
      </c>
    </row>
    <row r="6485" spans="1:11" ht="42" customHeight="1">
      <c r="A6485" s="4" t="s">
        <v>15815</v>
      </c>
      <c r="B6485" s="5" t="s">
        <v>15815</v>
      </c>
      <c r="C6485" s="5" t="s">
        <v>29</v>
      </c>
      <c r="D6485" s="5" t="s">
        <v>30</v>
      </c>
      <c r="E6485" s="5" t="s">
        <v>886</v>
      </c>
      <c r="F6485" s="9">
        <v>7</v>
      </c>
      <c r="G6485" s="9">
        <v>63</v>
      </c>
      <c r="H6485" s="5" t="s">
        <v>21</v>
      </c>
      <c r="I6485" s="5" t="s">
        <v>15816</v>
      </c>
      <c r="J6485" s="12" t="str">
        <f>HYPERLINK("https://www.boe.es/gazeta/dias/1802/01/22/pdfs/GMD-1802-7.pdf#page=3","Abrir facsímil")</f>
        <v>Abrir facsímil</v>
      </c>
      <c r="K6485" s="15" t="s">
        <v>23</v>
      </c>
    </row>
    <row r="6486" spans="1:11" ht="42" customHeight="1">
      <c r="A6486" s="4" t="s">
        <v>15817</v>
      </c>
      <c r="B6486" s="5" t="s">
        <v>15817</v>
      </c>
      <c r="C6486" s="5" t="s">
        <v>35</v>
      </c>
      <c r="D6486" s="5" t="s">
        <v>36</v>
      </c>
      <c r="E6486" s="5" t="s">
        <v>219</v>
      </c>
      <c r="F6486" s="9">
        <v>81</v>
      </c>
      <c r="G6486" s="9">
        <v>992</v>
      </c>
      <c r="H6486" s="5" t="s">
        <v>21</v>
      </c>
      <c r="I6486" s="5" t="s">
        <v>15818</v>
      </c>
      <c r="J6486" s="12" t="str">
        <f>HYPERLINK("https://www.boe.es/gazeta/dias/1802/10/05/pdfs/GMD-1802-81.pdf#page=4","Abrir facsímil")</f>
        <v>Abrir facsímil</v>
      </c>
      <c r="K6486" s="15" t="s">
        <v>23</v>
      </c>
    </row>
    <row r="6487" spans="1:11" ht="42" customHeight="1">
      <c r="A6487" s="4" t="s">
        <v>15819</v>
      </c>
      <c r="B6487" s="5" t="s">
        <v>15820</v>
      </c>
      <c r="C6487" s="5" t="s">
        <v>160</v>
      </c>
      <c r="D6487" s="5" t="s">
        <v>91</v>
      </c>
      <c r="E6487" s="5" t="s">
        <v>20</v>
      </c>
      <c r="F6487" s="9">
        <v>84</v>
      </c>
      <c r="G6487" s="9">
        <v>1048</v>
      </c>
      <c r="H6487" s="5" t="s">
        <v>21</v>
      </c>
      <c r="I6487" s="5" t="s">
        <v>15821</v>
      </c>
      <c r="J6487" s="12" t="str">
        <f>HYPERLINK("https://www.boe.es/gazeta/dias/1802/10/15/pdfs/GMD-1802-84.pdf#page=16","Abrir facsímil")</f>
        <v>Abrir facsímil</v>
      </c>
      <c r="K6487" s="15" t="s">
        <v>23</v>
      </c>
    </row>
    <row r="6488" spans="1:11" ht="42" customHeight="1">
      <c r="A6488" s="4" t="s">
        <v>15822</v>
      </c>
      <c r="B6488" s="5" t="s">
        <v>15823</v>
      </c>
      <c r="C6488" s="5" t="s">
        <v>29</v>
      </c>
      <c r="D6488" s="5" t="s">
        <v>30</v>
      </c>
      <c r="E6488" s="5" t="s">
        <v>710</v>
      </c>
      <c r="F6488" s="9">
        <v>85</v>
      </c>
      <c r="G6488" s="9">
        <v>1058</v>
      </c>
      <c r="H6488" s="5" t="s">
        <v>21</v>
      </c>
      <c r="I6488" s="5" t="s">
        <v>15824</v>
      </c>
      <c r="J6488" s="12" t="str">
        <f>HYPERLINK("https://www.boe.es/gazeta/dias/1802/10/19/pdfs/GMD-1802-85.pdf#page=10","Abrir facsímil")</f>
        <v>Abrir facsímil</v>
      </c>
      <c r="K6488" s="15" t="s">
        <v>23</v>
      </c>
    </row>
    <row r="6489" spans="1:11" ht="42" customHeight="1">
      <c r="A6489" s="4" t="s">
        <v>15825</v>
      </c>
      <c r="B6489" s="5" t="s">
        <v>15826</v>
      </c>
      <c r="C6489" s="5" t="s">
        <v>18</v>
      </c>
      <c r="D6489" s="5" t="s">
        <v>19</v>
      </c>
      <c r="E6489" s="5" t="s">
        <v>20</v>
      </c>
      <c r="F6489" s="9">
        <v>84</v>
      </c>
      <c r="G6489" s="9">
        <v>1047</v>
      </c>
      <c r="H6489" s="5" t="s">
        <v>21</v>
      </c>
      <c r="I6489" s="5" t="s">
        <v>15827</v>
      </c>
      <c r="J6489" s="12" t="str">
        <f>HYPERLINK("https://www.boe.es/gazeta/dias/1802/10/15/pdfs/GMD-1802-84.pdf#page=15","Abrir facsímil")</f>
        <v>Abrir facsímil</v>
      </c>
      <c r="K6489" s="15" t="s">
        <v>23</v>
      </c>
    </row>
    <row r="6490" spans="1:11" ht="42" customHeight="1">
      <c r="A6490" s="4" t="s">
        <v>15828</v>
      </c>
      <c r="B6490" s="5" t="s">
        <v>15828</v>
      </c>
      <c r="C6490" s="5" t="s">
        <v>35</v>
      </c>
      <c r="D6490" s="5" t="s">
        <v>36</v>
      </c>
      <c r="E6490" s="5" t="s">
        <v>823</v>
      </c>
      <c r="F6490" s="9">
        <v>94</v>
      </c>
      <c r="G6490" s="9">
        <v>1159</v>
      </c>
      <c r="H6490" s="5" t="s">
        <v>21</v>
      </c>
      <c r="I6490" s="5" t="s">
        <v>15829</v>
      </c>
      <c r="J6490" s="12" t="str">
        <f>HYPERLINK("https://www.boe.es/gazeta/dias/1802/11/19/pdfs/GMD-1802-94.pdf#page=7","Abrir facsímil")</f>
        <v>Abrir facsímil</v>
      </c>
      <c r="K6490" s="15" t="s">
        <v>23</v>
      </c>
    </row>
    <row r="6491" spans="1:11" ht="42" customHeight="1">
      <c r="A6491" s="4" t="s">
        <v>15830</v>
      </c>
      <c r="B6491" s="5" t="s">
        <v>15831</v>
      </c>
      <c r="C6491" s="5" t="s">
        <v>160</v>
      </c>
      <c r="D6491" s="5" t="s">
        <v>91</v>
      </c>
      <c r="E6491" s="5" t="s">
        <v>823</v>
      </c>
      <c r="F6491" s="9">
        <v>94</v>
      </c>
      <c r="G6491" s="9">
        <v>1159</v>
      </c>
      <c r="H6491" s="5" t="s">
        <v>21</v>
      </c>
      <c r="I6491" s="5" t="s">
        <v>15832</v>
      </c>
      <c r="J6491" s="12" t="str">
        <f>HYPERLINK("https://www.boe.es/gazeta/dias/1802/11/19/pdfs/GMD-1802-94.pdf#page=7","Abrir facsímil")</f>
        <v>Abrir facsímil</v>
      </c>
      <c r="K6491" s="15" t="s">
        <v>23</v>
      </c>
    </row>
    <row r="6492" spans="1:11" ht="42" customHeight="1">
      <c r="A6492" s="4" t="s">
        <v>15833</v>
      </c>
      <c r="B6492" s="5" t="s">
        <v>15833</v>
      </c>
      <c r="C6492" s="5" t="s">
        <v>35</v>
      </c>
      <c r="D6492" s="5" t="s">
        <v>36</v>
      </c>
      <c r="E6492" s="5" t="s">
        <v>381</v>
      </c>
      <c r="F6492" s="9">
        <v>13</v>
      </c>
      <c r="G6492" s="9">
        <v>125</v>
      </c>
      <c r="H6492" s="5" t="s">
        <v>21</v>
      </c>
      <c r="I6492" s="5" t="s">
        <v>15834</v>
      </c>
      <c r="J6492" s="12" t="str">
        <f>HYPERLINK("https://www.boe.es/gazeta/dias/1802/02/12/pdfs/GMD-1802-13.pdf#page=1","Abrir facsímil")</f>
        <v>Abrir facsímil</v>
      </c>
      <c r="K6492" s="15" t="s">
        <v>23</v>
      </c>
    </row>
    <row r="6493" spans="1:11" ht="42" customHeight="1">
      <c r="A6493" s="4" t="s">
        <v>15833</v>
      </c>
      <c r="B6493" s="5" t="s">
        <v>15833</v>
      </c>
      <c r="C6493" s="5" t="s">
        <v>29</v>
      </c>
      <c r="D6493" s="5" t="s">
        <v>30</v>
      </c>
      <c r="E6493" s="5" t="s">
        <v>247</v>
      </c>
      <c r="F6493" s="9">
        <v>14</v>
      </c>
      <c r="G6493" s="9">
        <v>143</v>
      </c>
      <c r="H6493" s="5" t="s">
        <v>21</v>
      </c>
      <c r="I6493" s="5" t="s">
        <v>15835</v>
      </c>
      <c r="J6493" s="12" t="str">
        <f>HYPERLINK("https://www.boe.es/gazeta/dias/1802/02/16/pdfs/GMD-1802-14.pdf#page=7","Abrir facsímil")</f>
        <v>Abrir facsímil</v>
      </c>
      <c r="K6493" s="15" t="s">
        <v>23</v>
      </c>
    </row>
    <row r="6494" spans="1:11" ht="42" customHeight="1">
      <c r="A6494" s="4" t="s">
        <v>15833</v>
      </c>
      <c r="B6494" s="5" t="s">
        <v>15833</v>
      </c>
      <c r="C6494" s="5" t="s">
        <v>35</v>
      </c>
      <c r="D6494" s="5" t="s">
        <v>36</v>
      </c>
      <c r="E6494" s="5" t="s">
        <v>900</v>
      </c>
      <c r="F6494" s="9">
        <v>16</v>
      </c>
      <c r="G6494" s="9">
        <v>165</v>
      </c>
      <c r="H6494" s="5" t="s">
        <v>21</v>
      </c>
      <c r="I6494" s="5" t="s">
        <v>15836</v>
      </c>
      <c r="J6494" s="12" t="str">
        <f>HYPERLINK("https://www.boe.es/gazeta/dias/1802/02/23/pdfs/GMD-1802-16.pdf#page=5","Abrir facsímil")</f>
        <v>Abrir facsímil</v>
      </c>
      <c r="K6494" s="15" t="s">
        <v>23</v>
      </c>
    </row>
    <row r="6495" spans="1:11" ht="42" customHeight="1">
      <c r="A6495" s="4" t="s">
        <v>15833</v>
      </c>
      <c r="B6495" s="5" t="s">
        <v>15833</v>
      </c>
      <c r="C6495" s="5" t="s">
        <v>160</v>
      </c>
      <c r="D6495" s="5" t="s">
        <v>91</v>
      </c>
      <c r="E6495" s="5" t="s">
        <v>299</v>
      </c>
      <c r="F6495" s="9">
        <v>19</v>
      </c>
      <c r="G6495" s="9">
        <v>208</v>
      </c>
      <c r="H6495" s="5" t="s">
        <v>21</v>
      </c>
      <c r="I6495" s="5" t="s">
        <v>15837</v>
      </c>
      <c r="J6495" s="12" t="str">
        <f>HYPERLINK("https://www.boe.es/gazeta/dias/1802/03/05/pdfs/GMD-1802-19.pdf#page=8","Abrir facsímil")</f>
        <v>Abrir facsímil</v>
      </c>
      <c r="K6495" s="15" t="s">
        <v>23</v>
      </c>
    </row>
    <row r="6496" spans="1:11" ht="42" customHeight="1">
      <c r="A6496" s="4" t="s">
        <v>15838</v>
      </c>
      <c r="B6496" s="5" t="s">
        <v>15839</v>
      </c>
      <c r="C6496" s="5" t="s">
        <v>35</v>
      </c>
      <c r="D6496" s="5" t="s">
        <v>36</v>
      </c>
      <c r="E6496" s="5" t="s">
        <v>247</v>
      </c>
      <c r="F6496" s="9">
        <v>14</v>
      </c>
      <c r="G6496" s="9">
        <v>143</v>
      </c>
      <c r="H6496" s="5" t="s">
        <v>21</v>
      </c>
      <c r="I6496" s="5" t="s">
        <v>15840</v>
      </c>
      <c r="J6496" s="12" t="str">
        <f>HYPERLINK("https://www.boe.es/gazeta/dias/1802/02/16/pdfs/GMD-1802-14.pdf#page=7","Abrir facsímil")</f>
        <v>Abrir facsímil</v>
      </c>
      <c r="K6496" s="15" t="s">
        <v>23</v>
      </c>
    </row>
    <row r="6497" spans="1:11" ht="42" customHeight="1">
      <c r="A6497" s="4" t="s">
        <v>15841</v>
      </c>
      <c r="B6497" s="5" t="s">
        <v>15842</v>
      </c>
      <c r="C6497" s="5" t="s">
        <v>18</v>
      </c>
      <c r="D6497" s="5" t="s">
        <v>19</v>
      </c>
      <c r="E6497" s="5" t="s">
        <v>1749</v>
      </c>
      <c r="F6497" s="9">
        <v>60</v>
      </c>
      <c r="G6497" s="9">
        <v>724</v>
      </c>
      <c r="H6497" s="5" t="s">
        <v>21</v>
      </c>
      <c r="I6497" s="5" t="s">
        <v>15843</v>
      </c>
      <c r="J6497" s="12" t="str">
        <f>HYPERLINK("https://www.boe.es/gazeta/dias/1802/07/23/pdfs/GMD-1802-60.pdf#page=8","Abrir facsímil")</f>
        <v>Abrir facsímil</v>
      </c>
      <c r="K6497" s="15" t="s">
        <v>23</v>
      </c>
    </row>
    <row r="6498" spans="1:11" ht="42" customHeight="1">
      <c r="A6498" s="4" t="s">
        <v>15844</v>
      </c>
      <c r="B6498" s="5" t="s">
        <v>15845</v>
      </c>
      <c r="C6498" s="5" t="s">
        <v>29</v>
      </c>
      <c r="D6498" s="5" t="s">
        <v>30</v>
      </c>
      <c r="E6498" s="5" t="s">
        <v>152</v>
      </c>
      <c r="F6498" s="9">
        <v>25</v>
      </c>
      <c r="G6498" s="9">
        <v>286</v>
      </c>
      <c r="H6498" s="5" t="s">
        <v>21</v>
      </c>
      <c r="I6498" s="5" t="s">
        <v>15846</v>
      </c>
      <c r="J6498" s="12" t="str">
        <f>HYPERLINK("https://www.boe.es/gazeta/dias/1802/03/26/pdfs/GMD-1802-25.pdf#page=10","Abrir facsímil")</f>
        <v>Abrir facsímil</v>
      </c>
      <c r="K6498" s="15" t="s">
        <v>23</v>
      </c>
    </row>
    <row r="6499" spans="1:11" ht="42" customHeight="1">
      <c r="A6499" s="4" t="s">
        <v>15847</v>
      </c>
      <c r="B6499" s="5" t="s">
        <v>15848</v>
      </c>
      <c r="C6499" s="5" t="s">
        <v>18</v>
      </c>
      <c r="D6499" s="5" t="s">
        <v>19</v>
      </c>
      <c r="E6499" s="5" t="s">
        <v>31</v>
      </c>
      <c r="F6499" s="9">
        <v>27</v>
      </c>
      <c r="G6499" s="9">
        <v>318</v>
      </c>
      <c r="H6499" s="5" t="s">
        <v>21</v>
      </c>
      <c r="I6499" s="5" t="s">
        <v>15849</v>
      </c>
      <c r="J6499" s="12" t="str">
        <f>HYPERLINK("https://www.boe.es/gazeta/dias/1802/04/02/pdfs/GMD-1802-27.pdf#page=14","Abrir facsímil")</f>
        <v>Abrir facsímil</v>
      </c>
      <c r="K6499" s="15" t="s">
        <v>23</v>
      </c>
    </row>
    <row r="6500" spans="1:11" ht="42" customHeight="1">
      <c r="A6500" s="4" t="s">
        <v>15850</v>
      </c>
      <c r="B6500" s="5" t="s">
        <v>15851</v>
      </c>
      <c r="C6500" s="5" t="s">
        <v>18</v>
      </c>
      <c r="D6500" s="5" t="s">
        <v>19</v>
      </c>
      <c r="E6500" s="5" t="s">
        <v>20</v>
      </c>
      <c r="F6500" s="9">
        <v>84</v>
      </c>
      <c r="G6500" s="9">
        <v>1046</v>
      </c>
      <c r="H6500" s="5" t="s">
        <v>21</v>
      </c>
      <c r="I6500" s="5" t="s">
        <v>15852</v>
      </c>
      <c r="J6500" s="12" t="str">
        <f>HYPERLINK("https://www.boe.es/gazeta/dias/1802/10/15/pdfs/GMD-1802-84.pdf#page=14","Abrir facsímil")</f>
        <v>Abrir facsímil</v>
      </c>
      <c r="K6500" s="15" t="s">
        <v>23</v>
      </c>
    </row>
    <row r="6501" spans="1:11" ht="42" customHeight="1">
      <c r="A6501" s="4" t="s">
        <v>15853</v>
      </c>
      <c r="B6501" s="5" t="s">
        <v>15853</v>
      </c>
      <c r="C6501" s="5" t="s">
        <v>55</v>
      </c>
      <c r="D6501" s="5" t="s">
        <v>56</v>
      </c>
      <c r="E6501" s="5" t="s">
        <v>1959</v>
      </c>
      <c r="F6501" s="9">
        <v>34</v>
      </c>
      <c r="G6501" s="9">
        <v>400</v>
      </c>
      <c r="H6501" s="5" t="s">
        <v>21</v>
      </c>
      <c r="I6501" s="5" t="s">
        <v>15854</v>
      </c>
      <c r="J6501" s="12" t="str">
        <f>HYPERLINK("https://www.boe.es/gazeta/dias/1802/04/27/pdfs/GMD-1802-34.pdf#page=12","Abrir facsímil")</f>
        <v>Abrir facsímil</v>
      </c>
      <c r="K6501" s="15" t="s">
        <v>23</v>
      </c>
    </row>
    <row r="6502" spans="1:11" ht="42" customHeight="1">
      <c r="A6502" s="4" t="s">
        <v>15853</v>
      </c>
      <c r="B6502" s="5" t="s">
        <v>15853</v>
      </c>
      <c r="C6502" s="5" t="s">
        <v>55</v>
      </c>
      <c r="D6502" s="5" t="s">
        <v>56</v>
      </c>
      <c r="E6502" s="5" t="s">
        <v>121</v>
      </c>
      <c r="F6502" s="9">
        <v>87</v>
      </c>
      <c r="G6502" s="9">
        <v>1084</v>
      </c>
      <c r="H6502" s="5" t="s">
        <v>21</v>
      </c>
      <c r="I6502" s="5" t="s">
        <v>15855</v>
      </c>
      <c r="J6502" s="12" t="str">
        <f>HYPERLINK("https://www.boe.es/gazeta/dias/1802/10/26/pdfs/GMD-1802-87.pdf#page=12","Abrir facsímil")</f>
        <v>Abrir facsímil</v>
      </c>
      <c r="K6502" s="15" t="s">
        <v>23</v>
      </c>
    </row>
    <row r="6503" spans="1:11" ht="42" customHeight="1">
      <c r="A6503" s="4" t="s">
        <v>15856</v>
      </c>
      <c r="B6503" s="5" t="s">
        <v>15857</v>
      </c>
      <c r="C6503" s="5" t="s">
        <v>18</v>
      </c>
      <c r="D6503" s="5" t="s">
        <v>19</v>
      </c>
      <c r="E6503" s="5" t="s">
        <v>20</v>
      </c>
      <c r="F6503" s="9">
        <v>84</v>
      </c>
      <c r="G6503" s="9">
        <v>1041</v>
      </c>
      <c r="H6503" s="5" t="s">
        <v>21</v>
      </c>
      <c r="I6503" s="5" t="s">
        <v>15858</v>
      </c>
      <c r="J6503" s="12" t="str">
        <f>HYPERLINK("https://www.boe.es/gazeta/dias/1802/10/15/pdfs/GMD-1802-84.pdf#page=9","Abrir facsímil")</f>
        <v>Abrir facsímil</v>
      </c>
      <c r="K6503" s="15" t="s">
        <v>23</v>
      </c>
    </row>
    <row r="6504" spans="1:11" ht="42" customHeight="1">
      <c r="A6504" s="4" t="s">
        <v>15859</v>
      </c>
      <c r="B6504" s="5" t="s">
        <v>15860</v>
      </c>
      <c r="C6504" s="5" t="s">
        <v>18</v>
      </c>
      <c r="D6504" s="5" t="s">
        <v>19</v>
      </c>
      <c r="E6504" s="5" t="s">
        <v>49</v>
      </c>
      <c r="F6504" s="9">
        <v>83</v>
      </c>
      <c r="G6504" s="9">
        <v>1018</v>
      </c>
      <c r="H6504" s="5" t="s">
        <v>21</v>
      </c>
      <c r="I6504" s="5" t="s">
        <v>15861</v>
      </c>
      <c r="J6504" s="12" t="str">
        <f>HYPERLINK("https://www.boe.es/gazeta/dias/1802/10/12/pdfs/GMD-1802-83.pdf#page=6","Abrir facsímil")</f>
        <v>Abrir facsímil</v>
      </c>
      <c r="K6504" s="15" t="s">
        <v>23</v>
      </c>
    </row>
    <row r="6505" spans="1:11" ht="42" customHeight="1">
      <c r="A6505" s="4" t="s">
        <v>15862</v>
      </c>
      <c r="B6505" s="5" t="s">
        <v>15862</v>
      </c>
      <c r="C6505" s="5" t="s">
        <v>29</v>
      </c>
      <c r="D6505" s="5" t="s">
        <v>30</v>
      </c>
      <c r="E6505" s="5" t="s">
        <v>745</v>
      </c>
      <c r="F6505" s="9">
        <v>92</v>
      </c>
      <c r="G6505" s="9">
        <v>1136</v>
      </c>
      <c r="H6505" s="5" t="s">
        <v>21</v>
      </c>
      <c r="I6505" s="5" t="s">
        <v>15863</v>
      </c>
      <c r="J6505" s="12" t="str">
        <f>HYPERLINK("https://www.boe.es/gazeta/dias/1802/11/12/pdfs/GMD-1802-92.pdf#page=4","Abrir facsímil")</f>
        <v>Abrir facsímil</v>
      </c>
      <c r="K6505" s="15" t="s">
        <v>23</v>
      </c>
    </row>
    <row r="6506" spans="1:11" ht="42" customHeight="1">
      <c r="A6506" s="4" t="s">
        <v>15864</v>
      </c>
      <c r="B6506" s="5" t="s">
        <v>15864</v>
      </c>
      <c r="C6506" s="5" t="s">
        <v>29</v>
      </c>
      <c r="D6506" s="5" t="s">
        <v>30</v>
      </c>
      <c r="E6506" s="5" t="s">
        <v>900</v>
      </c>
      <c r="F6506" s="9">
        <v>16</v>
      </c>
      <c r="G6506" s="9">
        <v>163</v>
      </c>
      <c r="H6506" s="5" t="s">
        <v>21</v>
      </c>
      <c r="I6506" s="5" t="s">
        <v>15865</v>
      </c>
      <c r="J6506" s="12" t="str">
        <f>HYPERLINK("https://www.boe.es/gazeta/dias/1802/02/23/pdfs/GMD-1802-16.pdf#page=3","Abrir facsímil")</f>
        <v>Abrir facsímil</v>
      </c>
      <c r="K6506" s="15" t="s">
        <v>23</v>
      </c>
    </row>
    <row r="6507" spans="1:11" ht="42" customHeight="1">
      <c r="A6507" s="4" t="s">
        <v>15864</v>
      </c>
      <c r="B6507" s="5" t="s">
        <v>15864</v>
      </c>
      <c r="C6507" s="5" t="s">
        <v>29</v>
      </c>
      <c r="D6507" s="5" t="s">
        <v>30</v>
      </c>
      <c r="E6507" s="5" t="s">
        <v>1588</v>
      </c>
      <c r="F6507" s="9">
        <v>18</v>
      </c>
      <c r="G6507" s="9">
        <v>194</v>
      </c>
      <c r="H6507" s="5" t="s">
        <v>21</v>
      </c>
      <c r="I6507" s="5" t="s">
        <v>15866</v>
      </c>
      <c r="J6507" s="12" t="str">
        <f>HYPERLINK("https://www.boe.es/gazeta/dias/1802/03/02/pdfs/GMD-1802-18.pdf#page=6","Abrir facsímil")</f>
        <v>Abrir facsímil</v>
      </c>
      <c r="K6507" s="15" t="s">
        <v>23</v>
      </c>
    </row>
    <row r="6508" spans="1:11" ht="42" customHeight="1">
      <c r="A6508" s="4" t="s">
        <v>15867</v>
      </c>
      <c r="B6508" s="5" t="s">
        <v>15867</v>
      </c>
      <c r="C6508" s="5" t="s">
        <v>35</v>
      </c>
      <c r="D6508" s="5" t="s">
        <v>36</v>
      </c>
      <c r="E6508" s="5" t="s">
        <v>439</v>
      </c>
      <c r="F6508" s="9">
        <v>76</v>
      </c>
      <c r="G6508" s="9">
        <v>934</v>
      </c>
      <c r="H6508" s="5" t="s">
        <v>21</v>
      </c>
      <c r="I6508" s="5" t="s">
        <v>15868</v>
      </c>
      <c r="J6508" s="12" t="str">
        <f>HYPERLINK("https://www.boe.es/gazeta/dias/1802/09/17/pdfs/GMD-1802-76.pdf#page=6","Abrir facsímil")</f>
        <v>Abrir facsímil</v>
      </c>
      <c r="K6508" s="15" t="s">
        <v>23</v>
      </c>
    </row>
    <row r="6509" spans="1:11" ht="42" customHeight="1">
      <c r="A6509" s="4" t="s">
        <v>15869</v>
      </c>
      <c r="B6509" s="5" t="s">
        <v>15869</v>
      </c>
      <c r="C6509" s="5" t="s">
        <v>35</v>
      </c>
      <c r="D6509" s="5" t="s">
        <v>36</v>
      </c>
      <c r="E6509" s="5" t="s">
        <v>439</v>
      </c>
      <c r="F6509" s="9">
        <v>76</v>
      </c>
      <c r="G6509" s="9">
        <v>935</v>
      </c>
      <c r="H6509" s="5" t="s">
        <v>21</v>
      </c>
      <c r="I6509" s="5" t="s">
        <v>15870</v>
      </c>
      <c r="J6509" s="12" t="str">
        <f>HYPERLINK("https://www.boe.es/gazeta/dias/1802/09/17/pdfs/GMD-1802-76.pdf#page=7","Abrir facsímil")</f>
        <v>Abrir facsímil</v>
      </c>
      <c r="K6509" s="15" t="s">
        <v>23</v>
      </c>
    </row>
    <row r="6510" spans="1:11" ht="42" customHeight="1">
      <c r="A6510" s="4" t="s">
        <v>15871</v>
      </c>
      <c r="B6510" s="5" t="s">
        <v>15872</v>
      </c>
      <c r="C6510" s="5" t="s">
        <v>18</v>
      </c>
      <c r="D6510" s="5" t="s">
        <v>19</v>
      </c>
      <c r="E6510" s="5" t="s">
        <v>49</v>
      </c>
      <c r="F6510" s="9">
        <v>83</v>
      </c>
      <c r="G6510" s="9">
        <v>1023</v>
      </c>
      <c r="H6510" s="5" t="s">
        <v>21</v>
      </c>
      <c r="I6510" s="5" t="s">
        <v>15873</v>
      </c>
      <c r="J6510" s="12" t="str">
        <f>HYPERLINK("https://www.boe.es/gazeta/dias/1802/10/12/pdfs/GMD-1802-83.pdf#page=11","Abrir facsímil")</f>
        <v>Abrir facsímil</v>
      </c>
      <c r="K6510" s="15" t="s">
        <v>23</v>
      </c>
    </row>
    <row r="6511" spans="1:11" ht="42" customHeight="1">
      <c r="A6511" s="4" t="s">
        <v>15874</v>
      </c>
      <c r="B6511" s="5" t="s">
        <v>15875</v>
      </c>
      <c r="C6511" s="5" t="s">
        <v>18</v>
      </c>
      <c r="D6511" s="5" t="s">
        <v>19</v>
      </c>
      <c r="E6511" s="5" t="s">
        <v>31</v>
      </c>
      <c r="F6511" s="9">
        <v>27</v>
      </c>
      <c r="G6511" s="9">
        <v>318</v>
      </c>
      <c r="H6511" s="5" t="s">
        <v>21</v>
      </c>
      <c r="I6511" s="5" t="s">
        <v>15876</v>
      </c>
      <c r="J6511" s="12" t="str">
        <f>HYPERLINK("https://www.boe.es/gazeta/dias/1802/04/02/pdfs/GMD-1802-27.pdf#page=14","Abrir facsímil")</f>
        <v>Abrir facsímil</v>
      </c>
      <c r="K6511" s="15" t="s">
        <v>23</v>
      </c>
    </row>
    <row r="6512" spans="1:11" ht="42" customHeight="1">
      <c r="A6512" s="4" t="s">
        <v>15877</v>
      </c>
      <c r="B6512" s="5" t="s">
        <v>15878</v>
      </c>
      <c r="C6512" s="5" t="s">
        <v>29</v>
      </c>
      <c r="D6512" s="5" t="s">
        <v>30</v>
      </c>
      <c r="E6512" s="5" t="s">
        <v>1749</v>
      </c>
      <c r="F6512" s="9">
        <v>60</v>
      </c>
      <c r="G6512" s="9">
        <v>728</v>
      </c>
      <c r="H6512" s="5" t="s">
        <v>21</v>
      </c>
      <c r="I6512" s="5" t="s">
        <v>15879</v>
      </c>
      <c r="J6512" s="12" t="str">
        <f>HYPERLINK("https://www.boe.es/gazeta/dias/1802/07/23/pdfs/GMD-1802-60.pdf#page=12","Abrir facsímil")</f>
        <v>Abrir facsímil</v>
      </c>
      <c r="K6512" s="15" t="s">
        <v>23</v>
      </c>
    </row>
    <row r="6513" spans="1:11" ht="42" customHeight="1">
      <c r="A6513" s="4" t="s">
        <v>15880</v>
      </c>
      <c r="B6513" s="5" t="s">
        <v>15881</v>
      </c>
      <c r="C6513" s="5" t="s">
        <v>18</v>
      </c>
      <c r="D6513" s="5" t="s">
        <v>19</v>
      </c>
      <c r="E6513" s="5" t="s">
        <v>757</v>
      </c>
      <c r="F6513" s="9">
        <v>104</v>
      </c>
      <c r="G6513" s="9">
        <v>1272</v>
      </c>
      <c r="H6513" s="5" t="s">
        <v>21</v>
      </c>
      <c r="I6513" s="5" t="s">
        <v>15882</v>
      </c>
      <c r="J6513" s="12" t="str">
        <f>HYPERLINK("https://www.boe.es/gazeta/dias/1802/12/24/pdfs/GMD-1802-104.pdf#page=8","Abrir facsímil")</f>
        <v>Abrir facsímil</v>
      </c>
      <c r="K6513" s="15" t="s">
        <v>23</v>
      </c>
    </row>
    <row r="6514" spans="1:11" ht="42" customHeight="1">
      <c r="A6514" s="4" t="s">
        <v>15883</v>
      </c>
      <c r="B6514" s="5" t="s">
        <v>15884</v>
      </c>
      <c r="C6514" s="5" t="s">
        <v>18</v>
      </c>
      <c r="D6514" s="5" t="s">
        <v>19</v>
      </c>
      <c r="E6514" s="5" t="s">
        <v>20</v>
      </c>
      <c r="F6514" s="9">
        <v>84</v>
      </c>
      <c r="G6514" s="9">
        <v>1044</v>
      </c>
      <c r="H6514" s="5" t="s">
        <v>21</v>
      </c>
      <c r="I6514" s="5" t="s">
        <v>15885</v>
      </c>
      <c r="J6514" s="12" t="str">
        <f>HYPERLINK("https://www.boe.es/gazeta/dias/1802/10/15/pdfs/GMD-1802-84.pdf#page=12","Abrir facsímil")</f>
        <v>Abrir facsímil</v>
      </c>
      <c r="K6514" s="15" t="s">
        <v>23</v>
      </c>
    </row>
    <row r="6515" spans="1:11" ht="42" customHeight="1">
      <c r="A6515" s="4" t="s">
        <v>15886</v>
      </c>
      <c r="B6515" s="5" t="s">
        <v>15887</v>
      </c>
      <c r="C6515" s="5" t="s">
        <v>18</v>
      </c>
      <c r="D6515" s="5" t="s">
        <v>19</v>
      </c>
      <c r="E6515" s="5" t="s">
        <v>20</v>
      </c>
      <c r="F6515" s="9">
        <v>84</v>
      </c>
      <c r="G6515" s="9">
        <v>1041</v>
      </c>
      <c r="H6515" s="5" t="s">
        <v>21</v>
      </c>
      <c r="I6515" s="5" t="s">
        <v>15888</v>
      </c>
      <c r="J6515" s="12" t="str">
        <f>HYPERLINK("https://www.boe.es/gazeta/dias/1802/10/15/pdfs/GMD-1802-84.pdf#page=9","Abrir facsímil")</f>
        <v>Abrir facsímil</v>
      </c>
      <c r="K6515" s="15" t="s">
        <v>23</v>
      </c>
    </row>
    <row r="6516" spans="1:11" ht="42" customHeight="1">
      <c r="A6516" s="4" t="s">
        <v>15889</v>
      </c>
      <c r="B6516" s="5" t="s">
        <v>15889</v>
      </c>
      <c r="C6516" s="5" t="s">
        <v>18</v>
      </c>
      <c r="D6516" s="5" t="s">
        <v>19</v>
      </c>
      <c r="E6516" s="5" t="s">
        <v>49</v>
      </c>
      <c r="F6516" s="9">
        <v>83</v>
      </c>
      <c r="G6516" s="9">
        <v>1025</v>
      </c>
      <c r="H6516" s="5" t="s">
        <v>21</v>
      </c>
      <c r="I6516" s="5" t="s">
        <v>15890</v>
      </c>
      <c r="J6516" s="12" t="str">
        <f>HYPERLINK("https://www.boe.es/gazeta/dias/1802/10/12/pdfs/GMD-1802-83.pdf#page=13","Abrir facsímil")</f>
        <v>Abrir facsímil</v>
      </c>
      <c r="K6516" s="15" t="s">
        <v>23</v>
      </c>
    </row>
    <row r="6517" spans="1:11" ht="42" customHeight="1">
      <c r="A6517" s="4" t="s">
        <v>15891</v>
      </c>
      <c r="B6517" s="5" t="s">
        <v>15891</v>
      </c>
      <c r="C6517" s="5" t="s">
        <v>18</v>
      </c>
      <c r="D6517" s="5" t="s">
        <v>19</v>
      </c>
      <c r="E6517" s="5" t="s">
        <v>49</v>
      </c>
      <c r="F6517" s="9">
        <v>83</v>
      </c>
      <c r="G6517" s="9">
        <v>1025</v>
      </c>
      <c r="H6517" s="5" t="s">
        <v>21</v>
      </c>
      <c r="I6517" s="5" t="s">
        <v>15892</v>
      </c>
      <c r="J6517" s="12" t="str">
        <f>HYPERLINK("https://www.boe.es/gazeta/dias/1802/10/12/pdfs/GMD-1802-83.pdf#page=13","Abrir facsímil")</f>
        <v>Abrir facsímil</v>
      </c>
      <c r="K6517" s="15" t="s">
        <v>23</v>
      </c>
    </row>
    <row r="6518" spans="1:11" ht="42" customHeight="1">
      <c r="A6518" s="4" t="s">
        <v>15893</v>
      </c>
      <c r="B6518" s="5" t="s">
        <v>15893</v>
      </c>
      <c r="C6518" s="5" t="s">
        <v>35</v>
      </c>
      <c r="D6518" s="5" t="s">
        <v>36</v>
      </c>
      <c r="E6518" s="5" t="s">
        <v>714</v>
      </c>
      <c r="F6518" s="9">
        <v>89</v>
      </c>
      <c r="G6518" s="9">
        <v>1100</v>
      </c>
      <c r="H6518" s="5" t="s">
        <v>21</v>
      </c>
      <c r="I6518" s="5" t="s">
        <v>15894</v>
      </c>
      <c r="J6518" s="12" t="str">
        <f>HYPERLINK("https://www.boe.es/gazeta/dias/1802/11/02/pdfs/GMD-1802-89.pdf#page=4","Abrir facsímil")</f>
        <v>Abrir facsímil</v>
      </c>
      <c r="K6518" s="15" t="s">
        <v>23</v>
      </c>
    </row>
    <row r="6519" spans="1:11" ht="42" customHeight="1">
      <c r="A6519" s="4" t="s">
        <v>15895</v>
      </c>
      <c r="B6519" s="5" t="s">
        <v>15895</v>
      </c>
      <c r="C6519" s="5" t="s">
        <v>35</v>
      </c>
      <c r="D6519" s="5" t="s">
        <v>36</v>
      </c>
      <c r="E6519" s="5" t="s">
        <v>181</v>
      </c>
      <c r="F6519" s="9">
        <v>55</v>
      </c>
      <c r="G6519" s="9">
        <v>663</v>
      </c>
      <c r="H6519" s="5" t="s">
        <v>21</v>
      </c>
      <c r="I6519" s="5" t="s">
        <v>15896</v>
      </c>
      <c r="J6519" s="12" t="str">
        <f>HYPERLINK("https://www.boe.es/gazeta/dias/1802/07/09/pdfs/GMD-1802-55.pdf#page=7","Abrir facsímil")</f>
        <v>Abrir facsímil</v>
      </c>
      <c r="K6519" s="15" t="s">
        <v>23</v>
      </c>
    </row>
    <row r="6520" spans="1:11" ht="42" customHeight="1">
      <c r="A6520" s="4" t="s">
        <v>15897</v>
      </c>
      <c r="B6520" s="5" t="s">
        <v>15898</v>
      </c>
      <c r="C6520" s="5" t="s">
        <v>160</v>
      </c>
      <c r="D6520" s="5" t="s">
        <v>91</v>
      </c>
      <c r="E6520" s="5" t="s">
        <v>292</v>
      </c>
      <c r="F6520" s="9">
        <v>62</v>
      </c>
      <c r="G6520" s="9">
        <v>752</v>
      </c>
      <c r="H6520" s="5" t="s">
        <v>21</v>
      </c>
      <c r="I6520" s="5" t="s">
        <v>15899</v>
      </c>
      <c r="J6520" s="12" t="str">
        <f>HYPERLINK("https://www.boe.es/gazeta/dias/1802/07/30/pdfs/GMD-1802-62.pdf#page=8","Abrir facsímil")</f>
        <v>Abrir facsímil</v>
      </c>
      <c r="K6520" s="15" t="s">
        <v>23</v>
      </c>
    </row>
    <row r="6521" spans="1:11" ht="42" customHeight="1">
      <c r="A6521" s="4" t="s">
        <v>15900</v>
      </c>
      <c r="B6521" s="5" t="s">
        <v>15900</v>
      </c>
      <c r="C6521" s="5" t="s">
        <v>29</v>
      </c>
      <c r="D6521" s="5" t="s">
        <v>30</v>
      </c>
      <c r="E6521" s="5" t="s">
        <v>219</v>
      </c>
      <c r="F6521" s="9">
        <v>81</v>
      </c>
      <c r="G6521" s="9">
        <v>989</v>
      </c>
      <c r="H6521" s="5" t="s">
        <v>21</v>
      </c>
      <c r="I6521" s="5" t="s">
        <v>15901</v>
      </c>
      <c r="J6521" s="12" t="str">
        <f>HYPERLINK("https://www.boe.es/gazeta/dias/1802/10/05/pdfs/GMD-1802-81.pdf#page=1","Abrir facsímil")</f>
        <v>Abrir facsímil</v>
      </c>
      <c r="K6521" s="15" t="s">
        <v>23</v>
      </c>
    </row>
    <row r="6522" spans="1:11" ht="42" customHeight="1">
      <c r="A6522" s="4" t="s">
        <v>15902</v>
      </c>
      <c r="B6522" s="5" t="s">
        <v>15903</v>
      </c>
      <c r="C6522" s="5" t="s">
        <v>35</v>
      </c>
      <c r="D6522" s="5" t="s">
        <v>36</v>
      </c>
      <c r="E6522" s="5" t="s">
        <v>131</v>
      </c>
      <c r="F6522" s="9">
        <v>11</v>
      </c>
      <c r="G6522" s="9">
        <v>112</v>
      </c>
      <c r="H6522" s="5" t="s">
        <v>21</v>
      </c>
      <c r="I6522" s="5" t="s">
        <v>15904</v>
      </c>
      <c r="J6522" s="12" t="str">
        <f>HYPERLINK("https://www.boe.es/gazeta/dias/1802/02/05/pdfs/GMD-1802-11.pdf#page=8","Abrir facsímil")</f>
        <v>Abrir facsímil</v>
      </c>
      <c r="K6522" s="15" t="s">
        <v>23</v>
      </c>
    </row>
    <row r="6523" spans="1:11" ht="42" customHeight="1">
      <c r="A6523" s="4" t="s">
        <v>15902</v>
      </c>
      <c r="B6523" s="5" t="s">
        <v>15903</v>
      </c>
      <c r="C6523" s="5" t="s">
        <v>35</v>
      </c>
      <c r="D6523" s="5" t="s">
        <v>36</v>
      </c>
      <c r="E6523" s="5" t="s">
        <v>146</v>
      </c>
      <c r="F6523" s="9">
        <v>42</v>
      </c>
      <c r="G6523" s="9">
        <v>502</v>
      </c>
      <c r="H6523" s="5" t="s">
        <v>21</v>
      </c>
      <c r="I6523" s="5" t="s">
        <v>15905</v>
      </c>
      <c r="J6523" s="12" t="str">
        <f>HYPERLINK("https://www.boe.es/gazeta/dias/1802/05/25/pdfs/GMD-1802-42.pdf#page=6","Abrir facsímil")</f>
        <v>Abrir facsímil</v>
      </c>
      <c r="K6523" s="15" t="s">
        <v>23</v>
      </c>
    </row>
    <row r="6524" spans="1:11" ht="42" customHeight="1">
      <c r="A6524" s="4" t="s">
        <v>15906</v>
      </c>
      <c r="B6524" s="5" t="s">
        <v>15907</v>
      </c>
      <c r="C6524" s="5" t="s">
        <v>18</v>
      </c>
      <c r="D6524" s="5" t="s">
        <v>19</v>
      </c>
      <c r="E6524" s="5" t="s">
        <v>20</v>
      </c>
      <c r="F6524" s="9">
        <v>84</v>
      </c>
      <c r="G6524" s="9">
        <v>1043</v>
      </c>
      <c r="H6524" s="5" t="s">
        <v>21</v>
      </c>
      <c r="I6524" s="5" t="s">
        <v>15908</v>
      </c>
      <c r="J6524" s="12" t="str">
        <f>HYPERLINK("https://www.boe.es/gazeta/dias/1802/10/15/pdfs/GMD-1802-84.pdf#page=11","Abrir facsímil")</f>
        <v>Abrir facsímil</v>
      </c>
      <c r="K6524" s="15" t="s">
        <v>23</v>
      </c>
    </row>
    <row r="6525" spans="1:11" ht="42" customHeight="1">
      <c r="A6525" s="4" t="s">
        <v>15909</v>
      </c>
      <c r="B6525" s="5" t="s">
        <v>15910</v>
      </c>
      <c r="C6525" s="5" t="s">
        <v>18</v>
      </c>
      <c r="D6525" s="5" t="s">
        <v>19</v>
      </c>
      <c r="E6525" s="5" t="s">
        <v>907</v>
      </c>
      <c r="F6525" s="9">
        <v>77</v>
      </c>
      <c r="G6525" s="9">
        <v>950</v>
      </c>
      <c r="H6525" s="5" t="s">
        <v>21</v>
      </c>
      <c r="I6525" s="5" t="s">
        <v>15911</v>
      </c>
      <c r="J6525" s="12" t="str">
        <f>HYPERLINK("https://www.boe.es/gazeta/dias/1802/09/21/pdfs/GMD-1802-77.pdf#page=10","Abrir facsímil")</f>
        <v>Abrir facsímil</v>
      </c>
      <c r="K6525" s="15" t="s">
        <v>23</v>
      </c>
    </row>
    <row r="6526" spans="1:11" ht="42" customHeight="1">
      <c r="A6526" s="4" t="s">
        <v>15912</v>
      </c>
      <c r="B6526" s="5" t="s">
        <v>15912</v>
      </c>
      <c r="C6526" s="5" t="s">
        <v>29</v>
      </c>
      <c r="D6526" s="5" t="s">
        <v>30</v>
      </c>
      <c r="E6526" s="5" t="s">
        <v>749</v>
      </c>
      <c r="F6526" s="9">
        <v>97</v>
      </c>
      <c r="G6526" s="9">
        <v>1199</v>
      </c>
      <c r="H6526" s="5" t="s">
        <v>21</v>
      </c>
      <c r="I6526" s="5" t="s">
        <v>15913</v>
      </c>
      <c r="J6526" s="12" t="str">
        <f>HYPERLINK("https://www.boe.es/gazeta/dias/1802/11/30/pdfs/GMD-1802-97.pdf#page=7","Abrir facsímil")</f>
        <v>Abrir facsímil</v>
      </c>
      <c r="K6526" s="15" t="s">
        <v>23</v>
      </c>
    </row>
    <row r="6527" spans="1:11" ht="42" customHeight="1">
      <c r="A6527" s="4" t="s">
        <v>15912</v>
      </c>
      <c r="B6527" s="5" t="s">
        <v>15912</v>
      </c>
      <c r="C6527" s="5" t="s">
        <v>29</v>
      </c>
      <c r="D6527" s="5" t="s">
        <v>30</v>
      </c>
      <c r="E6527" s="5" t="s">
        <v>604</v>
      </c>
      <c r="F6527" s="9">
        <v>100</v>
      </c>
      <c r="G6527" s="9">
        <v>1234</v>
      </c>
      <c r="H6527" s="5" t="s">
        <v>21</v>
      </c>
      <c r="I6527" s="5" t="s">
        <v>15914</v>
      </c>
      <c r="J6527" s="12" t="str">
        <f>HYPERLINK("https://www.boe.es/gazeta/dias/1802/12/10/pdfs/GMD-1802-100.pdf#page=6","Abrir facsímil")</f>
        <v>Abrir facsímil</v>
      </c>
      <c r="K6527" s="15" t="s">
        <v>23</v>
      </c>
    </row>
    <row r="6528" spans="1:11" ht="42" customHeight="1">
      <c r="A6528" s="4" t="s">
        <v>15915</v>
      </c>
      <c r="B6528" s="5" t="s">
        <v>15916</v>
      </c>
      <c r="C6528" s="5" t="s">
        <v>55</v>
      </c>
      <c r="D6528" s="5" t="s">
        <v>56</v>
      </c>
      <c r="E6528" s="5" t="s">
        <v>170</v>
      </c>
      <c r="F6528" s="9">
        <v>28</v>
      </c>
      <c r="G6528" s="9">
        <v>331</v>
      </c>
      <c r="H6528" s="5" t="s">
        <v>21</v>
      </c>
      <c r="I6528" s="5" t="s">
        <v>15917</v>
      </c>
      <c r="J6528" s="12" t="str">
        <f>HYPERLINK("https://www.boe.es/gazeta/dias/1802/04/06/pdfs/GMD-1802-28.pdf#page=11","Abrir facsímil")</f>
        <v>Abrir facsímil</v>
      </c>
      <c r="K6528" s="15" t="s">
        <v>23</v>
      </c>
    </row>
    <row r="6529" spans="1:11" ht="42" customHeight="1">
      <c r="A6529" s="4" t="s">
        <v>15918</v>
      </c>
      <c r="B6529" s="5" t="s">
        <v>15919</v>
      </c>
      <c r="C6529" s="5" t="s">
        <v>160</v>
      </c>
      <c r="D6529" s="5" t="s">
        <v>91</v>
      </c>
      <c r="E6529" s="5" t="s">
        <v>196</v>
      </c>
      <c r="F6529" s="9">
        <v>2</v>
      </c>
      <c r="G6529" s="9">
        <v>19</v>
      </c>
      <c r="H6529" s="5" t="s">
        <v>21</v>
      </c>
      <c r="I6529" s="5" t="s">
        <v>15920</v>
      </c>
      <c r="J6529" s="12" t="str">
        <f>HYPERLINK("https://www.boe.es/gazeta/dias/1802/01/05/pdfs/GMD-1802-2.pdf#page=11","Abrir facsímil")</f>
        <v>Abrir facsímil</v>
      </c>
      <c r="K6529" s="15" t="s">
        <v>23</v>
      </c>
    </row>
    <row r="6530" spans="1:11" ht="42" customHeight="1">
      <c r="A6530" s="4" t="s">
        <v>15921</v>
      </c>
      <c r="B6530" s="5" t="s">
        <v>15922</v>
      </c>
      <c r="C6530" s="5" t="s">
        <v>35</v>
      </c>
      <c r="D6530" s="5" t="s">
        <v>36</v>
      </c>
      <c r="E6530" s="5" t="s">
        <v>1407</v>
      </c>
      <c r="F6530" s="9">
        <v>8</v>
      </c>
      <c r="G6530" s="9">
        <v>78</v>
      </c>
      <c r="H6530" s="5" t="s">
        <v>21</v>
      </c>
      <c r="I6530" s="5" t="s">
        <v>15923</v>
      </c>
      <c r="J6530" s="12" t="str">
        <f>HYPERLINK("https://www.boe.es/gazeta/dias/1802/01/26/pdfs/GMD-1802-8.pdf#page=6","Abrir facsímil")</f>
        <v>Abrir facsímil</v>
      </c>
      <c r="K6530" s="15" t="s">
        <v>23</v>
      </c>
    </row>
    <row r="6531" spans="1:11" ht="42" customHeight="1">
      <c r="A6531" s="4" t="s">
        <v>15924</v>
      </c>
      <c r="B6531" s="5" t="s">
        <v>15925</v>
      </c>
      <c r="C6531" s="5" t="s">
        <v>18</v>
      </c>
      <c r="D6531" s="5" t="s">
        <v>19</v>
      </c>
      <c r="E6531" s="5" t="s">
        <v>655</v>
      </c>
      <c r="F6531" s="9">
        <v>46</v>
      </c>
      <c r="G6531" s="9">
        <v>563</v>
      </c>
      <c r="H6531" s="5" t="s">
        <v>21</v>
      </c>
      <c r="I6531" s="5" t="s">
        <v>15926</v>
      </c>
      <c r="J6531" s="12" t="str">
        <f>HYPERLINK("https://www.boe.es/gazeta/dias/1802/06/08/pdfs/GMD-1802-46.pdf#page=15","Abrir facsímil")</f>
        <v>Abrir facsímil</v>
      </c>
      <c r="K6531" s="15" t="s">
        <v>23</v>
      </c>
    </row>
    <row r="6532" spans="1:11" ht="42" customHeight="1">
      <c r="A6532" s="4" t="s">
        <v>15927</v>
      </c>
      <c r="B6532" s="5" t="s">
        <v>15928</v>
      </c>
      <c r="C6532" s="5" t="s">
        <v>42</v>
      </c>
      <c r="D6532" s="5" t="s">
        <v>43</v>
      </c>
      <c r="E6532" s="5" t="s">
        <v>44</v>
      </c>
      <c r="F6532" s="9">
        <v>99</v>
      </c>
      <c r="G6532" s="9" t="s">
        <v>548</v>
      </c>
      <c r="H6532" s="5" t="s">
        <v>21</v>
      </c>
      <c r="I6532" s="5" t="s">
        <v>15929</v>
      </c>
      <c r="J6532" s="12" t="str">
        <f>HYPERLINK("https://www.boe.es/gazeta/dias/1802/12/07/pdfs/GMD-D-1802-99.pdf#page=12","Abrir facsímil")</f>
        <v>Abrir facsímil</v>
      </c>
      <c r="K6532" s="15" t="s">
        <v>23</v>
      </c>
    </row>
    <row r="6533" spans="1:11" ht="42" customHeight="1">
      <c r="A6533" s="4" t="s">
        <v>15930</v>
      </c>
      <c r="B6533" s="5" t="s">
        <v>15931</v>
      </c>
      <c r="C6533" s="5" t="s">
        <v>29</v>
      </c>
      <c r="D6533" s="5" t="s">
        <v>30</v>
      </c>
      <c r="E6533" s="5" t="s">
        <v>1051</v>
      </c>
      <c r="F6533" s="9">
        <v>43</v>
      </c>
      <c r="G6533" s="9">
        <v>518</v>
      </c>
      <c r="H6533" s="5" t="s">
        <v>21</v>
      </c>
      <c r="I6533" s="5" t="s">
        <v>15932</v>
      </c>
      <c r="J6533" s="12" t="str">
        <f>HYPERLINK("https://www.boe.es/gazeta/dias/1802/05/28/pdfs/GMD-1802-43.pdf#page=10","Abrir facsímil")</f>
        <v>Abrir facsímil</v>
      </c>
      <c r="K6533" s="15" t="s">
        <v>23</v>
      </c>
    </row>
    <row r="6534" spans="1:11" ht="42" customHeight="1">
      <c r="A6534" s="4" t="s">
        <v>15930</v>
      </c>
      <c r="B6534" s="5" t="s">
        <v>15931</v>
      </c>
      <c r="C6534" s="5" t="s">
        <v>90</v>
      </c>
      <c r="D6534" s="5" t="s">
        <v>91</v>
      </c>
      <c r="E6534" s="5" t="s">
        <v>749</v>
      </c>
      <c r="F6534" s="9">
        <v>97</v>
      </c>
      <c r="G6534" s="9">
        <v>1203</v>
      </c>
      <c r="H6534" s="5" t="s">
        <v>21</v>
      </c>
      <c r="I6534" s="5" t="s">
        <v>15933</v>
      </c>
      <c r="J6534" s="12" t="str">
        <f>HYPERLINK("https://www.boe.es/gazeta/dias/1802/11/30/pdfs/GMD-1802-97.pdf#page=11","Abrir facsímil")</f>
        <v>Abrir facsímil</v>
      </c>
      <c r="K6534" s="15" t="s">
        <v>23</v>
      </c>
    </row>
    <row r="6535" spans="1:11" ht="42" customHeight="1">
      <c r="A6535" s="4" t="s">
        <v>15934</v>
      </c>
      <c r="B6535" s="5" t="s">
        <v>15935</v>
      </c>
      <c r="C6535" s="5" t="s">
        <v>29</v>
      </c>
      <c r="D6535" s="5" t="s">
        <v>30</v>
      </c>
      <c r="E6535" s="5" t="s">
        <v>453</v>
      </c>
      <c r="F6535" s="9">
        <v>52</v>
      </c>
      <c r="G6535" s="9">
        <v>632</v>
      </c>
      <c r="H6535" s="5" t="s">
        <v>21</v>
      </c>
      <c r="I6535" s="5" t="s">
        <v>15936</v>
      </c>
      <c r="J6535" s="12" t="str">
        <f>HYPERLINK("https://www.boe.es/gazeta/dias/1802/06/29/pdfs/GMD-1802-52.pdf#page=8","Abrir facsímil")</f>
        <v>Abrir facsímil</v>
      </c>
      <c r="K6535" s="15" t="s">
        <v>23</v>
      </c>
    </row>
    <row r="6536" spans="1:11" ht="42" customHeight="1">
      <c r="A6536" s="4" t="s">
        <v>15937</v>
      </c>
      <c r="B6536" s="5" t="s">
        <v>15938</v>
      </c>
      <c r="C6536" s="5" t="s">
        <v>18</v>
      </c>
      <c r="D6536" s="5" t="s">
        <v>19</v>
      </c>
      <c r="E6536" s="5" t="s">
        <v>49</v>
      </c>
      <c r="F6536" s="9">
        <v>83</v>
      </c>
      <c r="G6536" s="9">
        <v>1025</v>
      </c>
      <c r="H6536" s="5" t="s">
        <v>21</v>
      </c>
      <c r="I6536" s="5" t="s">
        <v>15939</v>
      </c>
      <c r="J6536" s="12" t="str">
        <f>HYPERLINK("https://www.boe.es/gazeta/dias/1802/10/12/pdfs/GMD-1802-83.pdf#page=13","Abrir facsímil")</f>
        <v>Abrir facsímil</v>
      </c>
      <c r="K6536" s="15" t="s">
        <v>23</v>
      </c>
    </row>
    <row r="6537" spans="1:11" ht="42" customHeight="1">
      <c r="A6537" s="4" t="s">
        <v>15940</v>
      </c>
      <c r="B6537" s="5" t="s">
        <v>15941</v>
      </c>
      <c r="C6537" s="5" t="s">
        <v>35</v>
      </c>
      <c r="D6537" s="5" t="s">
        <v>36</v>
      </c>
      <c r="E6537" s="5" t="s">
        <v>183</v>
      </c>
      <c r="F6537" s="9">
        <v>56</v>
      </c>
      <c r="G6537" s="9">
        <v>675</v>
      </c>
      <c r="H6537" s="5" t="s">
        <v>21</v>
      </c>
      <c r="I6537" s="5" t="s">
        <v>15942</v>
      </c>
      <c r="J6537" s="12" t="str">
        <f>HYPERLINK("https://www.boe.es/gazeta/dias/1802/07/13/pdfs/GMD-1802-56.pdf#page=7","Abrir facsímil")</f>
        <v>Abrir facsímil</v>
      </c>
      <c r="K6537" s="15" t="s">
        <v>23</v>
      </c>
    </row>
    <row r="6538" spans="1:11" ht="42" customHeight="1">
      <c r="A6538" s="4" t="s">
        <v>15940</v>
      </c>
      <c r="B6538" s="5" t="s">
        <v>15941</v>
      </c>
      <c r="C6538" s="5" t="s">
        <v>55</v>
      </c>
      <c r="D6538" s="5" t="s">
        <v>56</v>
      </c>
      <c r="E6538" s="5" t="s">
        <v>749</v>
      </c>
      <c r="F6538" s="9">
        <v>97</v>
      </c>
      <c r="G6538" s="9">
        <v>1197</v>
      </c>
      <c r="H6538" s="5" t="s">
        <v>21</v>
      </c>
      <c r="I6538" s="5" t="s">
        <v>15943</v>
      </c>
      <c r="J6538" s="12" t="str">
        <f>HYPERLINK("https://www.boe.es/gazeta/dias/1802/11/30/pdfs/GMD-1802-97.pdf#page=5","Abrir facsímil")</f>
        <v>Abrir facsímil</v>
      </c>
      <c r="K6538" s="15" t="s">
        <v>23</v>
      </c>
    </row>
    <row r="6539" spans="1:11" ht="42" customHeight="1">
      <c r="A6539" s="4" t="s">
        <v>15940</v>
      </c>
      <c r="B6539" s="5" t="s">
        <v>15941</v>
      </c>
      <c r="C6539" s="5" t="s">
        <v>29</v>
      </c>
      <c r="D6539" s="5" t="s">
        <v>30</v>
      </c>
      <c r="E6539" s="5" t="s">
        <v>1264</v>
      </c>
      <c r="F6539" s="9">
        <v>105</v>
      </c>
      <c r="G6539" s="9">
        <v>1284</v>
      </c>
      <c r="H6539" s="5" t="s">
        <v>21</v>
      </c>
      <c r="I6539" s="5" t="s">
        <v>15944</v>
      </c>
      <c r="J6539" s="12" t="str">
        <f>HYPERLINK("https://www.boe.es/gazeta/dias/1802/12/28/pdfs/GMD-1802-105.pdf#page=8","Abrir facsímil")</f>
        <v>Abrir facsímil</v>
      </c>
      <c r="K6539" s="15" t="s">
        <v>23</v>
      </c>
    </row>
    <row r="6540" spans="1:11" ht="42" customHeight="1">
      <c r="A6540" s="4" t="s">
        <v>15945</v>
      </c>
      <c r="B6540" s="5" t="s">
        <v>15946</v>
      </c>
      <c r="C6540" s="5" t="s">
        <v>55</v>
      </c>
      <c r="D6540" s="5" t="s">
        <v>56</v>
      </c>
      <c r="E6540" s="5" t="s">
        <v>247</v>
      </c>
      <c r="F6540" s="9">
        <v>14</v>
      </c>
      <c r="G6540" s="9">
        <v>148</v>
      </c>
      <c r="H6540" s="5" t="s">
        <v>21</v>
      </c>
      <c r="I6540" s="5" t="s">
        <v>15947</v>
      </c>
      <c r="J6540" s="12" t="str">
        <f>HYPERLINK("https://www.boe.es/gazeta/dias/1802/02/16/pdfs/GMD-1802-14.pdf#page=12","Abrir facsímil")</f>
        <v>Abrir facsímil</v>
      </c>
      <c r="K6540" s="15" t="s">
        <v>23</v>
      </c>
    </row>
    <row r="6541" spans="1:11" ht="42" customHeight="1">
      <c r="A6541" s="4" t="s">
        <v>15948</v>
      </c>
      <c r="B6541" s="5" t="s">
        <v>15949</v>
      </c>
      <c r="C6541" s="5" t="s">
        <v>42</v>
      </c>
      <c r="D6541" s="5" t="s">
        <v>43</v>
      </c>
      <c r="E6541" s="5" t="s">
        <v>44</v>
      </c>
      <c r="F6541" s="9">
        <v>99</v>
      </c>
      <c r="G6541" s="9" t="s">
        <v>251</v>
      </c>
      <c r="H6541" s="5" t="s">
        <v>21</v>
      </c>
      <c r="I6541" s="5" t="s">
        <v>15950</v>
      </c>
      <c r="J6541" s="12" t="str">
        <f>HYPERLINK("https://www.boe.es/gazeta/dias/1802/12/07/pdfs/GMD-D-1802-99.pdf#page=6","Abrir facsímil")</f>
        <v>Abrir facsímil</v>
      </c>
      <c r="K6541" s="15" t="s">
        <v>23</v>
      </c>
    </row>
    <row r="6542" spans="1:11" ht="42" customHeight="1">
      <c r="A6542" s="4" t="s">
        <v>15951</v>
      </c>
      <c r="B6542" s="5" t="s">
        <v>15951</v>
      </c>
      <c r="C6542" s="5" t="s">
        <v>90</v>
      </c>
      <c r="D6542" s="5" t="s">
        <v>91</v>
      </c>
      <c r="E6542" s="5" t="s">
        <v>907</v>
      </c>
      <c r="F6542" s="9">
        <v>77</v>
      </c>
      <c r="G6542" s="9">
        <v>949</v>
      </c>
      <c r="H6542" s="5" t="s">
        <v>21</v>
      </c>
      <c r="I6542" s="5" t="s">
        <v>15952</v>
      </c>
      <c r="J6542" s="12" t="str">
        <f>HYPERLINK("https://www.boe.es/gazeta/dias/1802/09/21/pdfs/GMD-1802-77.pdf#page=9","Abrir facsímil")</f>
        <v>Abrir facsímil</v>
      </c>
      <c r="K6542" s="15" t="s">
        <v>23</v>
      </c>
    </row>
    <row r="6543" spans="1:11" ht="42" customHeight="1">
      <c r="A6543" s="4" t="s">
        <v>15953</v>
      </c>
      <c r="B6543" s="5" t="s">
        <v>15953</v>
      </c>
      <c r="C6543" s="5" t="s">
        <v>55</v>
      </c>
      <c r="D6543" s="5" t="s">
        <v>56</v>
      </c>
      <c r="E6543" s="5" t="s">
        <v>31</v>
      </c>
      <c r="F6543" s="9">
        <v>27</v>
      </c>
      <c r="G6543" s="9">
        <v>320</v>
      </c>
      <c r="H6543" s="5" t="s">
        <v>21</v>
      </c>
      <c r="I6543" s="5" t="s">
        <v>15954</v>
      </c>
      <c r="J6543" s="12" t="str">
        <f>HYPERLINK("https://www.boe.es/gazeta/dias/1802/04/02/pdfs/GMD-1802-27.pdf#page=16","Abrir facsímil")</f>
        <v>Abrir facsímil</v>
      </c>
      <c r="K6543" s="15" t="s">
        <v>23</v>
      </c>
    </row>
    <row r="6544" spans="1:11" ht="42" customHeight="1">
      <c r="A6544" s="4" t="s">
        <v>15955</v>
      </c>
      <c r="B6544" s="5" t="s">
        <v>15955</v>
      </c>
      <c r="C6544" s="5" t="s">
        <v>42</v>
      </c>
      <c r="D6544" s="5" t="s">
        <v>43</v>
      </c>
      <c r="E6544" s="5" t="s">
        <v>44</v>
      </c>
      <c r="F6544" s="9">
        <v>99</v>
      </c>
      <c r="G6544" s="9" t="s">
        <v>544</v>
      </c>
      <c r="H6544" s="5" t="s">
        <v>21</v>
      </c>
      <c r="I6544" s="5" t="s">
        <v>15956</v>
      </c>
      <c r="J6544" s="12" t="str">
        <f>HYPERLINK("https://www.boe.es/gazeta/dias/1802/12/07/pdfs/GMD-D-1802-99.pdf#page=11","Abrir facsímil")</f>
        <v>Abrir facsímil</v>
      </c>
      <c r="K6544" s="15" t="s">
        <v>23</v>
      </c>
    </row>
    <row r="6545" spans="1:11" ht="42" customHeight="1">
      <c r="A6545" s="4" t="s">
        <v>15957</v>
      </c>
      <c r="B6545" s="5" t="s">
        <v>15958</v>
      </c>
      <c r="C6545" s="5" t="s">
        <v>29</v>
      </c>
      <c r="D6545" s="5" t="s">
        <v>30</v>
      </c>
      <c r="E6545" s="5" t="s">
        <v>92</v>
      </c>
      <c r="F6545" s="9">
        <v>29</v>
      </c>
      <c r="G6545" s="9">
        <v>342</v>
      </c>
      <c r="H6545" s="5" t="s">
        <v>21</v>
      </c>
      <c r="I6545" s="5" t="s">
        <v>15959</v>
      </c>
      <c r="J6545" s="12" t="str">
        <f>HYPERLINK("https://www.boe.es/gazeta/dias/1802/04/09/pdfs/GMD-1802-29.pdf#page=10","Abrir facsímil")</f>
        <v>Abrir facsímil</v>
      </c>
      <c r="K6545" s="15" t="s">
        <v>23</v>
      </c>
    </row>
    <row r="6546" spans="1:11" ht="42" customHeight="1">
      <c r="A6546" s="4" t="s">
        <v>15960</v>
      </c>
      <c r="B6546" s="5" t="s">
        <v>15961</v>
      </c>
      <c r="C6546" s="5" t="s">
        <v>90</v>
      </c>
      <c r="D6546" s="5" t="s">
        <v>91</v>
      </c>
      <c r="E6546" s="5" t="s">
        <v>381</v>
      </c>
      <c r="F6546" s="9">
        <v>13</v>
      </c>
      <c r="G6546" s="9">
        <v>131</v>
      </c>
      <c r="H6546" s="5" t="s">
        <v>21</v>
      </c>
      <c r="I6546" s="5" t="s">
        <v>15962</v>
      </c>
      <c r="J6546" s="12" t="str">
        <f>HYPERLINK("https://www.boe.es/gazeta/dias/1802/02/12/pdfs/GMD-1802-13.pdf#page=7","Abrir facsímil")</f>
        <v>Abrir facsímil</v>
      </c>
      <c r="K6546" s="15" t="s">
        <v>23</v>
      </c>
    </row>
    <row r="6547" spans="1:11" ht="42" customHeight="1">
      <c r="A6547" s="4" t="s">
        <v>15963</v>
      </c>
      <c r="B6547" s="5" t="s">
        <v>15964</v>
      </c>
      <c r="C6547" s="5" t="s">
        <v>160</v>
      </c>
      <c r="D6547" s="5" t="s">
        <v>91</v>
      </c>
      <c r="E6547" s="5" t="s">
        <v>20</v>
      </c>
      <c r="F6547" s="9">
        <v>84</v>
      </c>
      <c r="G6547" s="9">
        <v>1043</v>
      </c>
      <c r="H6547" s="5" t="s">
        <v>21</v>
      </c>
      <c r="I6547" s="5" t="s">
        <v>15965</v>
      </c>
      <c r="J6547" s="12" t="str">
        <f>HYPERLINK("https://www.boe.es/gazeta/dias/1802/10/15/pdfs/GMD-1802-84.pdf#page=11","Abrir facsímil")</f>
        <v>Abrir facsímil</v>
      </c>
      <c r="K6547" s="15" t="s">
        <v>23</v>
      </c>
    </row>
    <row r="6548" spans="1:11" ht="42" customHeight="1">
      <c r="A6548" s="4" t="s">
        <v>15966</v>
      </c>
      <c r="B6548" s="5" t="s">
        <v>15967</v>
      </c>
      <c r="C6548" s="5" t="s">
        <v>42</v>
      </c>
      <c r="D6548" s="5" t="s">
        <v>43</v>
      </c>
      <c r="E6548" s="5" t="s">
        <v>44</v>
      </c>
      <c r="F6548" s="9">
        <v>99</v>
      </c>
      <c r="G6548" s="9" t="s">
        <v>262</v>
      </c>
      <c r="H6548" s="5" t="s">
        <v>21</v>
      </c>
      <c r="I6548" s="5" t="s">
        <v>15968</v>
      </c>
      <c r="J6548" s="12" t="str">
        <f>HYPERLINK("https://www.boe.es/gazeta/dias/1802/12/07/pdfs/GMD-D-1802-99.pdf#page=8","Abrir facsímil")</f>
        <v>Abrir facsímil</v>
      </c>
      <c r="K6548" s="15" t="s">
        <v>23</v>
      </c>
    </row>
    <row r="6549" spans="1:11" ht="42" customHeight="1">
      <c r="A6549" s="4" t="s">
        <v>15969</v>
      </c>
      <c r="B6549" s="5" t="s">
        <v>15969</v>
      </c>
      <c r="C6549" s="5" t="s">
        <v>55</v>
      </c>
      <c r="D6549" s="5" t="s">
        <v>56</v>
      </c>
      <c r="E6549" s="5" t="s">
        <v>167</v>
      </c>
      <c r="F6549" s="9">
        <v>23</v>
      </c>
      <c r="G6549" s="9">
        <v>256</v>
      </c>
      <c r="H6549" s="5" t="s">
        <v>21</v>
      </c>
      <c r="I6549" s="5" t="s">
        <v>15970</v>
      </c>
      <c r="J6549" s="12" t="str">
        <f>HYPERLINK("https://www.boe.es/gazeta/dias/1802/03/19/pdfs/GMD-1802-23.pdf#page=4","Abrir facsímil")</f>
        <v>Abrir facsímil</v>
      </c>
      <c r="K6549" s="15" t="s">
        <v>23</v>
      </c>
    </row>
    <row r="6550" spans="1:11" ht="42" customHeight="1">
      <c r="A6550" s="4" t="s">
        <v>15971</v>
      </c>
      <c r="B6550" s="5" t="s">
        <v>15971</v>
      </c>
      <c r="C6550" s="5" t="s">
        <v>55</v>
      </c>
      <c r="D6550" s="5" t="s">
        <v>56</v>
      </c>
      <c r="E6550" s="5" t="s">
        <v>167</v>
      </c>
      <c r="F6550" s="9">
        <v>23</v>
      </c>
      <c r="G6550" s="9">
        <v>256</v>
      </c>
      <c r="H6550" s="5" t="s">
        <v>21</v>
      </c>
      <c r="I6550" s="5" t="s">
        <v>15972</v>
      </c>
      <c r="J6550" s="12" t="str">
        <f>HYPERLINK("https://www.boe.es/gazeta/dias/1802/03/19/pdfs/GMD-1802-23.pdf#page=4","Abrir facsímil")</f>
        <v>Abrir facsímil</v>
      </c>
      <c r="K6550" s="15" t="s">
        <v>23</v>
      </c>
    </row>
    <row r="6551" spans="1:11" ht="42" customHeight="1">
      <c r="A6551" s="4" t="s">
        <v>15973</v>
      </c>
      <c r="B6551" s="5" t="s">
        <v>15973</v>
      </c>
      <c r="C6551" s="5" t="s">
        <v>18</v>
      </c>
      <c r="D6551" s="5" t="s">
        <v>19</v>
      </c>
      <c r="E6551" s="5" t="s">
        <v>25</v>
      </c>
      <c r="F6551" s="9">
        <v>44</v>
      </c>
      <c r="G6551" s="9">
        <v>531</v>
      </c>
      <c r="H6551" s="5" t="s">
        <v>21</v>
      </c>
      <c r="I6551" s="5" t="s">
        <v>15974</v>
      </c>
      <c r="J6551" s="12" t="str">
        <f>HYPERLINK("https://www.boe.es/gazeta/dias/1802/06/01/pdfs/GMD-1802-44.pdf#page=7","Abrir facsímil")</f>
        <v>Abrir facsímil</v>
      </c>
      <c r="K6551" s="15" t="s">
        <v>23</v>
      </c>
    </row>
    <row r="6552" spans="1:11" ht="42" customHeight="1">
      <c r="A6552" s="4" t="s">
        <v>15975</v>
      </c>
      <c r="B6552" s="5" t="s">
        <v>15975</v>
      </c>
      <c r="C6552" s="5" t="s">
        <v>35</v>
      </c>
      <c r="D6552" s="5" t="s">
        <v>36</v>
      </c>
      <c r="E6552" s="5" t="s">
        <v>1407</v>
      </c>
      <c r="F6552" s="9">
        <v>8</v>
      </c>
      <c r="G6552" s="9">
        <v>74</v>
      </c>
      <c r="H6552" s="5" t="s">
        <v>21</v>
      </c>
      <c r="I6552" s="5" t="s">
        <v>15976</v>
      </c>
      <c r="J6552" s="12" t="str">
        <f>HYPERLINK("https://www.boe.es/gazeta/dias/1802/01/26/pdfs/GMD-1802-8.pdf#page=2","Abrir facsímil")</f>
        <v>Abrir facsímil</v>
      </c>
      <c r="K6552" s="15" t="s">
        <v>23</v>
      </c>
    </row>
    <row r="6553" spans="1:11" ht="42" customHeight="1">
      <c r="A6553" s="4" t="s">
        <v>15977</v>
      </c>
      <c r="B6553" s="5" t="s">
        <v>15977</v>
      </c>
      <c r="C6553" s="5" t="s">
        <v>18</v>
      </c>
      <c r="D6553" s="5" t="s">
        <v>19</v>
      </c>
      <c r="E6553" s="5" t="s">
        <v>886</v>
      </c>
      <c r="F6553" s="9">
        <v>7</v>
      </c>
      <c r="G6553" s="9">
        <v>66</v>
      </c>
      <c r="H6553" s="5" t="s">
        <v>21</v>
      </c>
      <c r="I6553" s="5" t="s">
        <v>15978</v>
      </c>
      <c r="J6553" s="12" t="str">
        <f>HYPERLINK("https://www.boe.es/gazeta/dias/1802/01/22/pdfs/GMD-1802-7.pdf#page=6","Abrir facsímil")</f>
        <v>Abrir facsímil</v>
      </c>
      <c r="K6553" s="15" t="s">
        <v>23</v>
      </c>
    </row>
    <row r="6554" spans="1:11" ht="42" customHeight="1">
      <c r="A6554" s="4" t="s">
        <v>15977</v>
      </c>
      <c r="B6554" s="5" t="s">
        <v>15977</v>
      </c>
      <c r="C6554" s="5" t="s">
        <v>35</v>
      </c>
      <c r="D6554" s="5" t="s">
        <v>36</v>
      </c>
      <c r="E6554" s="5" t="s">
        <v>175</v>
      </c>
      <c r="F6554" s="9">
        <v>37</v>
      </c>
      <c r="G6554" s="9">
        <v>435</v>
      </c>
      <c r="H6554" s="5" t="s">
        <v>21</v>
      </c>
      <c r="I6554" s="5" t="s">
        <v>15979</v>
      </c>
      <c r="J6554" s="12" t="str">
        <f>HYPERLINK("https://www.boe.es/gazeta/dias/1802/05/07/pdfs/GMD-1802-37.pdf#page=3","Abrir facsímil")</f>
        <v>Abrir facsímil</v>
      </c>
      <c r="K6554" s="15" t="s">
        <v>23</v>
      </c>
    </row>
    <row r="6555" spans="1:11" ht="42" customHeight="1">
      <c r="A6555" s="4" t="s">
        <v>15980</v>
      </c>
      <c r="B6555" s="5" t="s">
        <v>15981</v>
      </c>
      <c r="C6555" s="5" t="s">
        <v>160</v>
      </c>
      <c r="D6555" s="5" t="s">
        <v>91</v>
      </c>
      <c r="E6555" s="5" t="s">
        <v>148</v>
      </c>
      <c r="F6555" s="9">
        <v>66</v>
      </c>
      <c r="G6555" s="9">
        <v>811</v>
      </c>
      <c r="H6555" s="5" t="s">
        <v>21</v>
      </c>
      <c r="I6555" s="5" t="s">
        <v>15982</v>
      </c>
      <c r="J6555" s="12" t="str">
        <f>HYPERLINK("https://www.boe.es/gazeta/dias/1802/08/13/pdfs/GMD-1802-66.pdf#page=15","Abrir facsímil")</f>
        <v>Abrir facsímil</v>
      </c>
      <c r="K6555" s="15" t="s">
        <v>23</v>
      </c>
    </row>
    <row r="6556" spans="1:11" ht="42" customHeight="1">
      <c r="A6556" s="4" t="s">
        <v>15983</v>
      </c>
      <c r="B6556" s="5" t="s">
        <v>15984</v>
      </c>
      <c r="C6556" s="5" t="s">
        <v>29</v>
      </c>
      <c r="D6556" s="5" t="s">
        <v>30</v>
      </c>
      <c r="E6556" s="5" t="s">
        <v>206</v>
      </c>
      <c r="F6556" s="9">
        <v>22</v>
      </c>
      <c r="G6556" s="9">
        <v>242</v>
      </c>
      <c r="H6556" s="5" t="s">
        <v>21</v>
      </c>
      <c r="I6556" s="5" t="s">
        <v>15985</v>
      </c>
      <c r="J6556" s="12" t="str">
        <f>HYPERLINK("https://www.boe.es/gazeta/dias/1802/03/16/pdfs/GMD-1802-22.pdf#page=10","Abrir facsímil")</f>
        <v>Abrir facsímil</v>
      </c>
      <c r="K6556" s="15" t="s">
        <v>23</v>
      </c>
    </row>
    <row r="6557" spans="1:11" ht="42" customHeight="1">
      <c r="A6557" s="4" t="s">
        <v>15986</v>
      </c>
      <c r="B6557" s="5" t="s">
        <v>15986</v>
      </c>
      <c r="C6557" s="5" t="s">
        <v>18</v>
      </c>
      <c r="D6557" s="5" t="s">
        <v>19</v>
      </c>
      <c r="E6557" s="5" t="s">
        <v>152</v>
      </c>
      <c r="F6557" s="9">
        <v>25</v>
      </c>
      <c r="G6557" s="9">
        <v>278</v>
      </c>
      <c r="H6557" s="5" t="s">
        <v>21</v>
      </c>
      <c r="I6557" s="5" t="s">
        <v>15987</v>
      </c>
      <c r="J6557" s="12" t="str">
        <f>HYPERLINK("https://www.boe.es/gazeta/dias/1802/03/26/pdfs/GMD-1802-25.pdf#page=2","Abrir facsímil")</f>
        <v>Abrir facsímil</v>
      </c>
      <c r="K6557" s="15" t="s">
        <v>23</v>
      </c>
    </row>
    <row r="6558" spans="1:11" ht="42" customHeight="1">
      <c r="A6558" s="4" t="s">
        <v>15988</v>
      </c>
      <c r="B6558" s="5" t="s">
        <v>15988</v>
      </c>
      <c r="C6558" s="5" t="s">
        <v>35</v>
      </c>
      <c r="D6558" s="5" t="s">
        <v>36</v>
      </c>
      <c r="E6558" s="5" t="s">
        <v>165</v>
      </c>
      <c r="F6558" s="9">
        <v>3</v>
      </c>
      <c r="G6558" s="9">
        <v>21</v>
      </c>
      <c r="H6558" s="5" t="s">
        <v>21</v>
      </c>
      <c r="I6558" s="5" t="s">
        <v>15989</v>
      </c>
      <c r="J6558" s="12" t="str">
        <f>HYPERLINK("https://www.boe.es/gazeta/dias/1802/01/08/pdfs/GMD-1802-3.pdf#page=1","Abrir facsímil")</f>
        <v>Abrir facsímil</v>
      </c>
      <c r="K6558" s="15" t="s">
        <v>23</v>
      </c>
    </row>
    <row r="6559" spans="1:11" ht="42" customHeight="1">
      <c r="A6559" s="4" t="s">
        <v>15990</v>
      </c>
      <c r="B6559" s="5" t="s">
        <v>15990</v>
      </c>
      <c r="C6559" s="5" t="s">
        <v>29</v>
      </c>
      <c r="D6559" s="5" t="s">
        <v>30</v>
      </c>
      <c r="E6559" s="5" t="s">
        <v>678</v>
      </c>
      <c r="F6559" s="9">
        <v>15</v>
      </c>
      <c r="G6559" s="9">
        <v>158</v>
      </c>
      <c r="H6559" s="5" t="s">
        <v>21</v>
      </c>
      <c r="I6559" s="5" t="s">
        <v>15991</v>
      </c>
      <c r="J6559" s="12" t="str">
        <f>HYPERLINK("https://www.boe.es/gazeta/dias/1802/02/19/pdfs/GMD-1802-15.pdf#page=10","Abrir facsímil")</f>
        <v>Abrir facsímil</v>
      </c>
      <c r="K6559" s="15" t="s">
        <v>23</v>
      </c>
    </row>
    <row r="6560" spans="1:11" ht="42" customHeight="1">
      <c r="A6560" s="4" t="s">
        <v>15992</v>
      </c>
      <c r="B6560" s="5" t="s">
        <v>15993</v>
      </c>
      <c r="C6560" s="5" t="s">
        <v>42</v>
      </c>
      <c r="D6560" s="5" t="s">
        <v>43</v>
      </c>
      <c r="E6560" s="5" t="s">
        <v>44</v>
      </c>
      <c r="F6560" s="9">
        <v>99</v>
      </c>
      <c r="G6560" s="9" t="s">
        <v>544</v>
      </c>
      <c r="H6560" s="5" t="s">
        <v>21</v>
      </c>
      <c r="I6560" s="5" t="s">
        <v>15994</v>
      </c>
      <c r="J6560" s="12" t="str">
        <f>HYPERLINK("https://www.boe.es/gazeta/dias/1802/12/07/pdfs/GMD-D-1802-99.pdf#page=11","Abrir facsímil")</f>
        <v>Abrir facsímil</v>
      </c>
      <c r="K6560" s="15" t="s">
        <v>23</v>
      </c>
    </row>
    <row r="6561" spans="1:11" ht="42" customHeight="1">
      <c r="A6561" s="4" t="s">
        <v>15995</v>
      </c>
      <c r="B6561" s="5" t="s">
        <v>15996</v>
      </c>
      <c r="C6561" s="5" t="s">
        <v>42</v>
      </c>
      <c r="D6561" s="5" t="s">
        <v>43</v>
      </c>
      <c r="E6561" s="5" t="s">
        <v>44</v>
      </c>
      <c r="F6561" s="9">
        <v>99</v>
      </c>
      <c r="G6561" s="9" t="s">
        <v>550</v>
      </c>
      <c r="H6561" s="5" t="s">
        <v>21</v>
      </c>
      <c r="I6561" s="5" t="s">
        <v>15997</v>
      </c>
      <c r="J6561" s="12" t="str">
        <f>HYPERLINK("https://www.boe.es/gazeta/dias/1802/12/07/pdfs/GMD-D-1802-99.pdf#page=16","Abrir facsímil")</f>
        <v>Abrir facsímil</v>
      </c>
      <c r="K6561" s="15" t="s">
        <v>23</v>
      </c>
    </row>
    <row r="6562" spans="1:11" ht="42" customHeight="1">
      <c r="A6562" s="4" t="s">
        <v>15998</v>
      </c>
      <c r="B6562" s="5" t="s">
        <v>15998</v>
      </c>
      <c r="C6562" s="5" t="s">
        <v>29</v>
      </c>
      <c r="D6562" s="5" t="s">
        <v>30</v>
      </c>
      <c r="E6562" s="5" t="s">
        <v>167</v>
      </c>
      <c r="F6562" s="9">
        <v>23</v>
      </c>
      <c r="G6562" s="9">
        <v>259</v>
      </c>
      <c r="H6562" s="5" t="s">
        <v>21</v>
      </c>
      <c r="I6562" s="5" t="s">
        <v>15999</v>
      </c>
      <c r="J6562" s="12" t="str">
        <f>HYPERLINK("https://www.boe.es/gazeta/dias/1802/03/19/pdfs/GMD-1802-23.pdf#page=7","Abrir facsímil")</f>
        <v>Abrir facsímil</v>
      </c>
      <c r="K6562" s="15" t="s">
        <v>23</v>
      </c>
    </row>
    <row r="6563" spans="1:11" ht="42" customHeight="1">
      <c r="A6563" s="4" t="s">
        <v>16000</v>
      </c>
      <c r="B6563" s="5" t="s">
        <v>16001</v>
      </c>
      <c r="C6563" s="5" t="s">
        <v>90</v>
      </c>
      <c r="D6563" s="5" t="s">
        <v>91</v>
      </c>
      <c r="E6563" s="5" t="s">
        <v>86</v>
      </c>
      <c r="F6563" s="9">
        <v>26</v>
      </c>
      <c r="G6563" s="9">
        <v>297</v>
      </c>
      <c r="H6563" s="5" t="s">
        <v>21</v>
      </c>
      <c r="I6563" s="5" t="s">
        <v>16002</v>
      </c>
      <c r="J6563" s="12" t="str">
        <f>HYPERLINK("https://www.boe.es/gazeta/dias/1802/03/30/pdfs/GMD-1802-26.pdf#page=9","Abrir facsímil")</f>
        <v>Abrir facsímil</v>
      </c>
      <c r="K6563" s="15" t="s">
        <v>23</v>
      </c>
    </row>
    <row r="6564" spans="1:11" ht="42" customHeight="1">
      <c r="A6564" s="4" t="s">
        <v>16003</v>
      </c>
      <c r="B6564" s="5" t="s">
        <v>16003</v>
      </c>
      <c r="C6564" s="5" t="s">
        <v>42</v>
      </c>
      <c r="D6564" s="5" t="s">
        <v>43</v>
      </c>
      <c r="E6564" s="5" t="s">
        <v>44</v>
      </c>
      <c r="F6564" s="9">
        <v>99</v>
      </c>
      <c r="G6564" s="9" t="s">
        <v>314</v>
      </c>
      <c r="H6564" s="5" t="s">
        <v>21</v>
      </c>
      <c r="I6564" s="5" t="s">
        <v>16004</v>
      </c>
      <c r="J6564" s="12" t="str">
        <f>HYPERLINK("https://www.boe.es/gazeta/dias/1802/12/07/pdfs/GMD-D-1802-99.pdf#page=2","Abrir facsímil")</f>
        <v>Abrir facsímil</v>
      </c>
      <c r="K6564" s="15" t="s">
        <v>23</v>
      </c>
    </row>
    <row r="6565" spans="1:11" ht="42" customHeight="1">
      <c r="A6565" s="4" t="s">
        <v>16005</v>
      </c>
      <c r="B6565" s="5" t="s">
        <v>16006</v>
      </c>
      <c r="C6565" s="5" t="s">
        <v>160</v>
      </c>
      <c r="D6565" s="5" t="s">
        <v>91</v>
      </c>
      <c r="E6565" s="5" t="s">
        <v>749</v>
      </c>
      <c r="F6565" s="9">
        <v>97</v>
      </c>
      <c r="G6565" s="9">
        <v>1198</v>
      </c>
      <c r="H6565" s="5" t="s">
        <v>21</v>
      </c>
      <c r="I6565" s="5" t="s">
        <v>16007</v>
      </c>
      <c r="J6565" s="12" t="str">
        <f>HYPERLINK("https://www.boe.es/gazeta/dias/1802/11/30/pdfs/GMD-1802-97.pdf#page=6","Abrir facsímil")</f>
        <v>Abrir facsímil</v>
      </c>
      <c r="K6565" s="15" t="s">
        <v>23</v>
      </c>
    </row>
    <row r="6566" spans="1:11" ht="42" customHeight="1">
      <c r="A6566" s="4" t="s">
        <v>16008</v>
      </c>
      <c r="B6566" s="5" t="s">
        <v>16008</v>
      </c>
      <c r="C6566" s="5" t="s">
        <v>18</v>
      </c>
      <c r="D6566" s="5" t="s">
        <v>19</v>
      </c>
      <c r="E6566" s="5" t="s">
        <v>328</v>
      </c>
      <c r="F6566" s="9">
        <v>45</v>
      </c>
      <c r="G6566" s="9">
        <v>543</v>
      </c>
      <c r="H6566" s="5" t="s">
        <v>21</v>
      </c>
      <c r="I6566" s="5" t="s">
        <v>16009</v>
      </c>
      <c r="J6566" s="12" t="str">
        <f>HYPERLINK("https://www.boe.es/gazeta/dias/1802/06/04/pdfs/GMD-1802-45.pdf#page=7","Abrir facsímil")</f>
        <v>Abrir facsímil</v>
      </c>
      <c r="K6566" s="15" t="s">
        <v>23</v>
      </c>
    </row>
    <row r="6567" spans="1:11" ht="42" customHeight="1">
      <c r="A6567" s="4" t="s">
        <v>16008</v>
      </c>
      <c r="B6567" s="5" t="s">
        <v>16008</v>
      </c>
      <c r="C6567" s="5" t="s">
        <v>29</v>
      </c>
      <c r="D6567" s="5" t="s">
        <v>30</v>
      </c>
      <c r="E6567" s="5" t="s">
        <v>311</v>
      </c>
      <c r="F6567" s="9">
        <v>88</v>
      </c>
      <c r="G6567" s="9">
        <v>1091</v>
      </c>
      <c r="H6567" s="5" t="s">
        <v>21</v>
      </c>
      <c r="I6567" s="5" t="s">
        <v>16010</v>
      </c>
      <c r="J6567" s="12" t="str">
        <f>HYPERLINK("https://www.boe.es/gazeta/dias/1802/10/29/pdfs/GMD-1802-88.pdf#page=7","Abrir facsímil")</f>
        <v>Abrir facsímil</v>
      </c>
      <c r="K6567" s="15" t="s">
        <v>23</v>
      </c>
    </row>
    <row r="6568" spans="1:11" ht="42" customHeight="1">
      <c r="A6568" s="4" t="s">
        <v>16011</v>
      </c>
      <c r="B6568" s="5" t="s">
        <v>16011</v>
      </c>
      <c r="C6568" s="5" t="s">
        <v>42</v>
      </c>
      <c r="D6568" s="5" t="s">
        <v>43</v>
      </c>
      <c r="E6568" s="5" t="s">
        <v>44</v>
      </c>
      <c r="F6568" s="9">
        <v>99</v>
      </c>
      <c r="G6568" s="9" t="s">
        <v>548</v>
      </c>
      <c r="H6568" s="5" t="s">
        <v>21</v>
      </c>
      <c r="I6568" s="5" t="s">
        <v>16012</v>
      </c>
      <c r="J6568" s="12" t="str">
        <f>HYPERLINK("https://www.boe.es/gazeta/dias/1802/12/07/pdfs/GMD-D-1802-99.pdf#page=12","Abrir facsímil")</f>
        <v>Abrir facsímil</v>
      </c>
      <c r="K6568" s="15" t="s">
        <v>23</v>
      </c>
    </row>
    <row r="6569" spans="1:11" ht="42" customHeight="1">
      <c r="A6569" s="4" t="s">
        <v>16013</v>
      </c>
      <c r="B6569" s="5" t="s">
        <v>16013</v>
      </c>
      <c r="C6569" s="5" t="s">
        <v>90</v>
      </c>
      <c r="D6569" s="5" t="s">
        <v>91</v>
      </c>
      <c r="E6569" s="5" t="s">
        <v>491</v>
      </c>
      <c r="F6569" s="9">
        <v>57</v>
      </c>
      <c r="G6569" s="9">
        <v>689</v>
      </c>
      <c r="H6569" s="5" t="s">
        <v>21</v>
      </c>
      <c r="I6569" s="5" t="s">
        <v>16014</v>
      </c>
      <c r="J6569" s="12" t="str">
        <f>HYPERLINK("https://www.boe.es/gazeta/dias/1802/07/16/pdfs/GMD-1802-57.pdf#page=9","Abrir facsímil")</f>
        <v>Abrir facsímil</v>
      </c>
      <c r="K6569" s="15" t="s">
        <v>23</v>
      </c>
    </row>
    <row r="6570" spans="1:11" ht="42" customHeight="1">
      <c r="A6570" s="4" t="s">
        <v>16015</v>
      </c>
      <c r="B6570" s="5" t="s">
        <v>16015</v>
      </c>
      <c r="C6570" s="5" t="s">
        <v>90</v>
      </c>
      <c r="D6570" s="5" t="s">
        <v>91</v>
      </c>
      <c r="E6570" s="5" t="s">
        <v>381</v>
      </c>
      <c r="F6570" s="9">
        <v>13</v>
      </c>
      <c r="G6570" s="9">
        <v>130</v>
      </c>
      <c r="H6570" s="5" t="s">
        <v>21</v>
      </c>
      <c r="I6570" s="5" t="s">
        <v>16016</v>
      </c>
      <c r="J6570" s="12" t="str">
        <f>HYPERLINK("https://www.boe.es/gazeta/dias/1802/02/12/pdfs/GMD-1802-13.pdf#page=6","Abrir facsímil")</f>
        <v>Abrir facsímil</v>
      </c>
      <c r="K6570" s="15" t="s">
        <v>23</v>
      </c>
    </row>
    <row r="6571" spans="1:11" ht="42" customHeight="1">
      <c r="A6571" s="4" t="s">
        <v>16017</v>
      </c>
      <c r="B6571" s="5" t="s">
        <v>16017</v>
      </c>
      <c r="C6571" s="5" t="s">
        <v>35</v>
      </c>
      <c r="D6571" s="5" t="s">
        <v>36</v>
      </c>
      <c r="E6571" s="5" t="s">
        <v>102</v>
      </c>
      <c r="F6571" s="9">
        <v>73</v>
      </c>
      <c r="G6571" s="9">
        <v>900</v>
      </c>
      <c r="H6571" s="5" t="s">
        <v>21</v>
      </c>
      <c r="I6571" s="5" t="s">
        <v>16018</v>
      </c>
      <c r="J6571" s="12" t="str">
        <f>HYPERLINK("https://www.boe.es/gazeta/dias/1802/09/07/pdfs/GMD-1802-73.pdf#page=8","Abrir facsímil")</f>
        <v>Abrir facsímil</v>
      </c>
      <c r="K6571" s="15" t="s">
        <v>23</v>
      </c>
    </row>
    <row r="6572" spans="1:11" ht="42" customHeight="1">
      <c r="A6572" s="4" t="s">
        <v>16019</v>
      </c>
      <c r="B6572" s="5" t="s">
        <v>16020</v>
      </c>
      <c r="C6572" s="5" t="s">
        <v>18</v>
      </c>
      <c r="D6572" s="5" t="s">
        <v>19</v>
      </c>
      <c r="E6572" s="5" t="s">
        <v>881</v>
      </c>
      <c r="F6572" s="9">
        <v>65</v>
      </c>
      <c r="G6572" s="9">
        <v>792</v>
      </c>
      <c r="H6572" s="5" t="s">
        <v>21</v>
      </c>
      <c r="I6572" s="5" t="s">
        <v>16021</v>
      </c>
      <c r="J6572" s="12" t="str">
        <f>HYPERLINK("https://www.boe.es/gazeta/dias/1802/08/10/pdfs/GMD-1802-65.pdf#page=8","Abrir facsímil")</f>
        <v>Abrir facsímil</v>
      </c>
      <c r="K6572" s="15" t="s">
        <v>23</v>
      </c>
    </row>
    <row r="6573" spans="1:11" ht="42" customHeight="1">
      <c r="A6573" s="4" t="s">
        <v>16022</v>
      </c>
      <c r="B6573" s="5" t="s">
        <v>16022</v>
      </c>
      <c r="C6573" s="5" t="s">
        <v>55</v>
      </c>
      <c r="D6573" s="5" t="s">
        <v>56</v>
      </c>
      <c r="E6573" s="5" t="s">
        <v>114</v>
      </c>
      <c r="F6573" s="9">
        <v>82</v>
      </c>
      <c r="G6573" s="9">
        <v>1009</v>
      </c>
      <c r="H6573" s="5" t="s">
        <v>21</v>
      </c>
      <c r="I6573" s="5" t="s">
        <v>16023</v>
      </c>
      <c r="J6573" s="12" t="str">
        <f>HYPERLINK("https://www.boe.es/gazeta/dias/1802/10/08/pdfs/GMD-1802-82.pdf#page=9","Abrir facsímil")</f>
        <v>Abrir facsímil</v>
      </c>
      <c r="K6573" s="15" t="s">
        <v>23</v>
      </c>
    </row>
    <row r="6574" spans="1:11" ht="42" customHeight="1">
      <c r="A6574" s="4" t="s">
        <v>16024</v>
      </c>
      <c r="B6574" s="5" t="s">
        <v>16024</v>
      </c>
      <c r="C6574" s="5" t="s">
        <v>42</v>
      </c>
      <c r="D6574" s="5" t="s">
        <v>43</v>
      </c>
      <c r="E6574" s="5" t="s">
        <v>44</v>
      </c>
      <c r="F6574" s="9">
        <v>99</v>
      </c>
      <c r="G6574" s="9" t="s">
        <v>272</v>
      </c>
      <c r="H6574" s="5" t="s">
        <v>21</v>
      </c>
      <c r="I6574" s="5" t="s">
        <v>16025</v>
      </c>
      <c r="J6574" s="12" t="str">
        <f>HYPERLINK("https://www.boe.es/gazeta/dias/1802/12/07/pdfs/GMD-D-1802-99.pdf#page=3","Abrir facsímil")</f>
        <v>Abrir facsímil</v>
      </c>
      <c r="K6574" s="15" t="s">
        <v>23</v>
      </c>
    </row>
    <row r="6575" spans="1:11" ht="42" customHeight="1">
      <c r="A6575" s="4" t="s">
        <v>16026</v>
      </c>
      <c r="B6575" s="5" t="s">
        <v>16026</v>
      </c>
      <c r="C6575" s="5" t="s">
        <v>18</v>
      </c>
      <c r="D6575" s="5" t="s">
        <v>19</v>
      </c>
      <c r="E6575" s="5" t="s">
        <v>196</v>
      </c>
      <c r="F6575" s="9">
        <v>2</v>
      </c>
      <c r="G6575" s="9">
        <v>14</v>
      </c>
      <c r="H6575" s="5" t="s">
        <v>21</v>
      </c>
      <c r="I6575" s="5" t="s">
        <v>16027</v>
      </c>
      <c r="J6575" s="12" t="str">
        <f>HYPERLINK("https://www.boe.es/gazeta/dias/1802/01/05/pdfs/GMD-1802-2.pdf#page=6","Abrir facsímil")</f>
        <v>Abrir facsímil</v>
      </c>
      <c r="K6575" s="15" t="s">
        <v>23</v>
      </c>
    </row>
    <row r="6576" spans="1:11" ht="42" customHeight="1">
      <c r="A6576" s="4" t="s">
        <v>16028</v>
      </c>
      <c r="B6576" s="5" t="s">
        <v>16029</v>
      </c>
      <c r="C6576" s="5" t="s">
        <v>35</v>
      </c>
      <c r="D6576" s="5" t="s">
        <v>36</v>
      </c>
      <c r="E6576" s="5" t="s">
        <v>754</v>
      </c>
      <c r="F6576" s="9">
        <v>101</v>
      </c>
      <c r="G6576" s="9">
        <v>1237</v>
      </c>
      <c r="H6576" s="5" t="s">
        <v>21</v>
      </c>
      <c r="I6576" s="5" t="s">
        <v>16030</v>
      </c>
      <c r="J6576" s="12" t="str">
        <f>HYPERLINK("https://www.boe.es/gazeta/dias/1802/12/14/pdfs/GMD-1802-101.pdf#page=1","Abrir facsímil")</f>
        <v>Abrir facsímil</v>
      </c>
      <c r="K6576" s="15" t="s">
        <v>23</v>
      </c>
    </row>
    <row r="6577" spans="1:11" ht="42" customHeight="1">
      <c r="A6577" s="4" t="s">
        <v>16031</v>
      </c>
      <c r="B6577" s="5" t="s">
        <v>16031</v>
      </c>
      <c r="C6577" s="5" t="s">
        <v>55</v>
      </c>
      <c r="D6577" s="5" t="s">
        <v>56</v>
      </c>
      <c r="E6577" s="5" t="s">
        <v>881</v>
      </c>
      <c r="F6577" s="9">
        <v>65</v>
      </c>
      <c r="G6577" s="9">
        <v>789</v>
      </c>
      <c r="H6577" s="5" t="s">
        <v>21</v>
      </c>
      <c r="I6577" s="5" t="s">
        <v>16032</v>
      </c>
      <c r="J6577" s="12" t="str">
        <f>HYPERLINK("https://www.boe.es/gazeta/dias/1802/08/10/pdfs/GMD-1802-65.pdf#page=5","Abrir facsímil")</f>
        <v>Abrir facsímil</v>
      </c>
      <c r="K6577" s="15" t="s">
        <v>23</v>
      </c>
    </row>
    <row r="6578" spans="1:11" ht="42" customHeight="1">
      <c r="A6578" s="4" t="s">
        <v>16033</v>
      </c>
      <c r="B6578" s="5" t="s">
        <v>16033</v>
      </c>
      <c r="C6578" s="5" t="s">
        <v>160</v>
      </c>
      <c r="D6578" s="5" t="s">
        <v>91</v>
      </c>
      <c r="E6578" s="5" t="s">
        <v>86</v>
      </c>
      <c r="F6578" s="9">
        <v>26</v>
      </c>
      <c r="G6578" s="9">
        <v>293</v>
      </c>
      <c r="H6578" s="5" t="s">
        <v>21</v>
      </c>
      <c r="I6578" s="5" t="s">
        <v>16034</v>
      </c>
      <c r="J6578" s="12" t="str">
        <f>HYPERLINK("https://www.boe.es/gazeta/dias/1802/03/30/pdfs/GMD-1802-26.pdf#page=5","Abrir facsímil")</f>
        <v>Abrir facsímil</v>
      </c>
      <c r="K6578" s="15" t="s">
        <v>23</v>
      </c>
    </row>
    <row r="6579" spans="1:11" ht="42" customHeight="1">
      <c r="A6579" s="4" t="s">
        <v>16033</v>
      </c>
      <c r="B6579" s="5" t="s">
        <v>16033</v>
      </c>
      <c r="C6579" s="5" t="s">
        <v>18</v>
      </c>
      <c r="D6579" s="5" t="s">
        <v>19</v>
      </c>
      <c r="E6579" s="5" t="s">
        <v>881</v>
      </c>
      <c r="F6579" s="9">
        <v>65</v>
      </c>
      <c r="G6579" s="9">
        <v>790</v>
      </c>
      <c r="H6579" s="5" t="s">
        <v>21</v>
      </c>
      <c r="I6579" s="5" t="s">
        <v>16035</v>
      </c>
      <c r="J6579" s="12" t="str">
        <f>HYPERLINK("https://www.boe.es/gazeta/dias/1802/08/10/pdfs/GMD-1802-65.pdf#page=6","Abrir facsímil")</f>
        <v>Abrir facsímil</v>
      </c>
      <c r="K6579" s="15" t="s">
        <v>23</v>
      </c>
    </row>
    <row r="6580" spans="1:11" ht="42" customHeight="1">
      <c r="A6580" s="4" t="s">
        <v>16036</v>
      </c>
      <c r="B6580" s="5" t="s">
        <v>16037</v>
      </c>
      <c r="C6580" s="5" t="s">
        <v>29</v>
      </c>
      <c r="D6580" s="5" t="s">
        <v>30</v>
      </c>
      <c r="E6580" s="5" t="s">
        <v>109</v>
      </c>
      <c r="F6580" s="9">
        <v>10</v>
      </c>
      <c r="G6580" s="9">
        <v>100</v>
      </c>
      <c r="H6580" s="5" t="s">
        <v>21</v>
      </c>
      <c r="I6580" s="5" t="s">
        <v>16038</v>
      </c>
      <c r="J6580" s="12" t="str">
        <f>HYPERLINK("https://www.boe.es/gazeta/dias/1802/02/02/pdfs/GMD-1802-10.pdf#page=8","Abrir facsímil")</f>
        <v>Abrir facsímil</v>
      </c>
      <c r="K6580" s="15" t="s">
        <v>23</v>
      </c>
    </row>
    <row r="6581" spans="1:11" ht="42" customHeight="1">
      <c r="A6581" s="4" t="s">
        <v>16039</v>
      </c>
      <c r="B6581" s="5" t="s">
        <v>16039</v>
      </c>
      <c r="C6581" s="5" t="s">
        <v>35</v>
      </c>
      <c r="D6581" s="5" t="s">
        <v>36</v>
      </c>
      <c r="E6581" s="5" t="s">
        <v>86</v>
      </c>
      <c r="F6581" s="9">
        <v>26</v>
      </c>
      <c r="G6581" s="9">
        <v>295</v>
      </c>
      <c r="H6581" s="5" t="s">
        <v>21</v>
      </c>
      <c r="I6581" s="5" t="s">
        <v>16040</v>
      </c>
      <c r="J6581" s="12" t="str">
        <f>HYPERLINK("https://www.boe.es/gazeta/dias/1802/03/30/pdfs/GMD-1802-26.pdf#page=7","Abrir facsímil")</f>
        <v>Abrir facsímil</v>
      </c>
      <c r="K6581" s="15" t="s">
        <v>23</v>
      </c>
    </row>
    <row r="6582" spans="1:11" ht="42" customHeight="1">
      <c r="A6582" s="4" t="s">
        <v>16041</v>
      </c>
      <c r="B6582" s="5" t="s">
        <v>16042</v>
      </c>
      <c r="C6582" s="5" t="s">
        <v>29</v>
      </c>
      <c r="D6582" s="5" t="s">
        <v>30</v>
      </c>
      <c r="E6582" s="5" t="s">
        <v>751</v>
      </c>
      <c r="F6582" s="9">
        <v>98</v>
      </c>
      <c r="G6582" s="9">
        <v>1214</v>
      </c>
      <c r="H6582" s="5" t="s">
        <v>21</v>
      </c>
      <c r="I6582" s="5" t="s">
        <v>16043</v>
      </c>
      <c r="J6582" s="12" t="str">
        <f>HYPERLINK("https://www.boe.es/gazeta/dias/1802/12/03/pdfs/GMD-1802-98.pdf#page=10","Abrir facsímil")</f>
        <v>Abrir facsímil</v>
      </c>
      <c r="K6582" s="15" t="s">
        <v>23</v>
      </c>
    </row>
    <row r="6583" spans="1:11" ht="42" customHeight="1">
      <c r="A6583" s="4" t="s">
        <v>16044</v>
      </c>
      <c r="B6583" s="5" t="s">
        <v>16045</v>
      </c>
      <c r="C6583" s="5" t="s">
        <v>18</v>
      </c>
      <c r="D6583" s="5" t="s">
        <v>19</v>
      </c>
      <c r="E6583" s="5" t="s">
        <v>764</v>
      </c>
      <c r="F6583" s="9">
        <v>69</v>
      </c>
      <c r="G6583" s="9">
        <v>849</v>
      </c>
      <c r="H6583" s="5" t="s">
        <v>21</v>
      </c>
      <c r="I6583" s="5" t="s">
        <v>16046</v>
      </c>
      <c r="J6583" s="12" t="str">
        <f>HYPERLINK("https://www.boe.es/gazeta/dias/1802/08/24/pdfs/GMD-1802-69.pdf#page=9","Abrir facsímil")</f>
        <v>Abrir facsímil</v>
      </c>
      <c r="K6583" s="15" t="s">
        <v>23</v>
      </c>
    </row>
    <row r="6584" spans="1:11" ht="42" customHeight="1">
      <c r="A6584" s="4" t="s">
        <v>16047</v>
      </c>
      <c r="B6584" s="5" t="s">
        <v>16048</v>
      </c>
      <c r="C6584" s="5" t="s">
        <v>42</v>
      </c>
      <c r="D6584" s="5" t="s">
        <v>43</v>
      </c>
      <c r="E6584" s="5" t="s">
        <v>44</v>
      </c>
      <c r="F6584" s="9">
        <v>99</v>
      </c>
      <c r="G6584" s="9" t="s">
        <v>295</v>
      </c>
      <c r="H6584" s="5" t="s">
        <v>21</v>
      </c>
      <c r="I6584" s="5" t="s">
        <v>16049</v>
      </c>
      <c r="J6584" s="12" t="str">
        <f>HYPERLINK("https://www.boe.es/gazeta/dias/1802/12/07/pdfs/GMD-D-1802-99.pdf#page=7","Abrir facsímil")</f>
        <v>Abrir facsímil</v>
      </c>
      <c r="K6584" s="15" t="s">
        <v>23</v>
      </c>
    </row>
    <row r="6585" spans="1:11" ht="42" customHeight="1">
      <c r="A6585" s="4" t="s">
        <v>16050</v>
      </c>
      <c r="B6585" s="5" t="s">
        <v>16051</v>
      </c>
      <c r="C6585" s="5" t="s">
        <v>35</v>
      </c>
      <c r="D6585" s="5" t="s">
        <v>36</v>
      </c>
      <c r="E6585" s="5" t="s">
        <v>31</v>
      </c>
      <c r="F6585" s="9">
        <v>27</v>
      </c>
      <c r="G6585" s="9">
        <v>306</v>
      </c>
      <c r="H6585" s="5" t="s">
        <v>21</v>
      </c>
      <c r="I6585" s="5" t="s">
        <v>16052</v>
      </c>
      <c r="J6585" s="12" t="str">
        <f>HYPERLINK("https://www.boe.es/gazeta/dias/1802/04/02/pdfs/GMD-1802-27.pdf#page=2","Abrir facsímil")</f>
        <v>Abrir facsímil</v>
      </c>
      <c r="K6585" s="15" t="s">
        <v>23</v>
      </c>
    </row>
    <row r="6586" spans="1:11" ht="42" customHeight="1">
      <c r="A6586" s="4" t="s">
        <v>16053</v>
      </c>
      <c r="B6586" s="5" t="s">
        <v>16053</v>
      </c>
      <c r="C6586" s="5" t="s">
        <v>18</v>
      </c>
      <c r="D6586" s="5" t="s">
        <v>19</v>
      </c>
      <c r="E6586" s="5" t="s">
        <v>881</v>
      </c>
      <c r="F6586" s="9">
        <v>65</v>
      </c>
      <c r="G6586" s="9">
        <v>791</v>
      </c>
      <c r="H6586" s="5" t="s">
        <v>21</v>
      </c>
      <c r="I6586" s="5" t="s">
        <v>16054</v>
      </c>
      <c r="J6586" s="12" t="str">
        <f>HYPERLINK("https://www.boe.es/gazeta/dias/1802/08/10/pdfs/GMD-1802-65.pdf#page=7","Abrir facsímil")</f>
        <v>Abrir facsímil</v>
      </c>
      <c r="K6586" s="15" t="s">
        <v>23</v>
      </c>
    </row>
    <row r="6587" spans="1:11" ht="42" customHeight="1">
      <c r="A6587" s="4" t="s">
        <v>16055</v>
      </c>
      <c r="B6587" s="5" t="s">
        <v>16056</v>
      </c>
      <c r="C6587" s="5" t="s">
        <v>29</v>
      </c>
      <c r="D6587" s="5" t="s">
        <v>30</v>
      </c>
      <c r="E6587" s="5" t="s">
        <v>881</v>
      </c>
      <c r="F6587" s="9">
        <v>65</v>
      </c>
      <c r="G6587" s="9">
        <v>791</v>
      </c>
      <c r="H6587" s="5" t="s">
        <v>21</v>
      </c>
      <c r="I6587" s="5" t="s">
        <v>16057</v>
      </c>
      <c r="J6587" s="12" t="str">
        <f>HYPERLINK("https://www.boe.es/gazeta/dias/1802/08/10/pdfs/GMD-1802-65.pdf#page=7","Abrir facsímil")</f>
        <v>Abrir facsímil</v>
      </c>
      <c r="K6587" s="15" t="s">
        <v>23</v>
      </c>
    </row>
    <row r="6588" spans="1:11" ht="42" customHeight="1">
      <c r="A6588" s="4" t="s">
        <v>16058</v>
      </c>
      <c r="B6588" s="5" t="s">
        <v>16059</v>
      </c>
      <c r="C6588" s="5" t="s">
        <v>29</v>
      </c>
      <c r="D6588" s="5" t="s">
        <v>30</v>
      </c>
      <c r="E6588" s="5" t="s">
        <v>757</v>
      </c>
      <c r="F6588" s="9">
        <v>104</v>
      </c>
      <c r="G6588" s="9">
        <v>1271</v>
      </c>
      <c r="H6588" s="5" t="s">
        <v>21</v>
      </c>
      <c r="I6588" s="5" t="s">
        <v>16060</v>
      </c>
      <c r="J6588" s="12" t="str">
        <f>HYPERLINK("https://www.boe.es/gazeta/dias/1802/12/24/pdfs/GMD-1802-104.pdf#page=7","Abrir facsímil")</f>
        <v>Abrir facsímil</v>
      </c>
      <c r="K6588" s="15" t="s">
        <v>23</v>
      </c>
    </row>
    <row r="6589" spans="1:11" ht="42" customHeight="1">
      <c r="A6589" s="4" t="s">
        <v>16061</v>
      </c>
      <c r="B6589" s="5" t="s">
        <v>16062</v>
      </c>
      <c r="C6589" s="5" t="s">
        <v>29</v>
      </c>
      <c r="D6589" s="5" t="s">
        <v>30</v>
      </c>
      <c r="E6589" s="5" t="s">
        <v>71</v>
      </c>
      <c r="F6589" s="9">
        <v>21</v>
      </c>
      <c r="G6589" s="9">
        <v>233</v>
      </c>
      <c r="H6589" s="5" t="s">
        <v>21</v>
      </c>
      <c r="I6589" s="5" t="s">
        <v>16063</v>
      </c>
      <c r="J6589" s="12" t="str">
        <f>HYPERLINK("https://www.boe.es/gazeta/dias/1802/03/12/pdfs/GMD-1802-21.pdf#page=9","Abrir facsímil")</f>
        <v>Abrir facsímil</v>
      </c>
      <c r="K6589" s="15" t="s">
        <v>23</v>
      </c>
    </row>
    <row r="6590" spans="1:11" ht="42" customHeight="1">
      <c r="A6590" s="4" t="s">
        <v>16064</v>
      </c>
      <c r="B6590" s="5" t="s">
        <v>16065</v>
      </c>
      <c r="C6590" s="5" t="s">
        <v>35</v>
      </c>
      <c r="D6590" s="5" t="s">
        <v>36</v>
      </c>
      <c r="E6590" s="5" t="s">
        <v>764</v>
      </c>
      <c r="F6590" s="9">
        <v>69</v>
      </c>
      <c r="G6590" s="9">
        <v>848</v>
      </c>
      <c r="H6590" s="5" t="s">
        <v>21</v>
      </c>
      <c r="I6590" s="5" t="s">
        <v>16066</v>
      </c>
      <c r="J6590" s="12" t="str">
        <f>HYPERLINK("https://www.boe.es/gazeta/dias/1802/08/24/pdfs/GMD-1802-69.pdf#page=8","Abrir facsímil")</f>
        <v>Abrir facsímil</v>
      </c>
      <c r="K6590" s="15" t="s">
        <v>23</v>
      </c>
    </row>
    <row r="6591" spans="1:11" ht="42" customHeight="1">
      <c r="A6591" s="4" t="s">
        <v>16067</v>
      </c>
      <c r="B6591" s="5" t="s">
        <v>16068</v>
      </c>
      <c r="C6591" s="5" t="s">
        <v>90</v>
      </c>
      <c r="D6591" s="5" t="s">
        <v>91</v>
      </c>
      <c r="E6591" s="5" t="s">
        <v>530</v>
      </c>
      <c r="F6591" s="9">
        <v>48</v>
      </c>
      <c r="G6591" s="9">
        <v>586</v>
      </c>
      <c r="H6591" s="5" t="s">
        <v>21</v>
      </c>
      <c r="I6591" s="5" t="s">
        <v>16069</v>
      </c>
      <c r="J6591" s="12" t="str">
        <f>HYPERLINK("https://www.boe.es/gazeta/dias/1802/06/15/pdfs/GMD-1802-48.pdf#page=10","Abrir facsímil")</f>
        <v>Abrir facsímil</v>
      </c>
      <c r="K6591" s="15" t="s">
        <v>23</v>
      </c>
    </row>
    <row r="6592" spans="1:11" ht="42" customHeight="1">
      <c r="A6592" s="4" t="s">
        <v>16070</v>
      </c>
      <c r="B6592" s="5" t="s">
        <v>16071</v>
      </c>
      <c r="C6592" s="5" t="s">
        <v>18</v>
      </c>
      <c r="D6592" s="5" t="s">
        <v>19</v>
      </c>
      <c r="E6592" s="5" t="s">
        <v>49</v>
      </c>
      <c r="F6592" s="9">
        <v>83</v>
      </c>
      <c r="G6592" s="9">
        <v>1023</v>
      </c>
      <c r="H6592" s="5" t="s">
        <v>21</v>
      </c>
      <c r="I6592" s="5" t="s">
        <v>16072</v>
      </c>
      <c r="J6592" s="12" t="str">
        <f>HYPERLINK("https://www.boe.es/gazeta/dias/1802/10/12/pdfs/GMD-1802-83.pdf#page=11","Abrir facsímil")</f>
        <v>Abrir facsímil</v>
      </c>
      <c r="K6592" s="15" t="s">
        <v>23</v>
      </c>
    </row>
    <row r="6593" spans="1:11" ht="42" customHeight="1">
      <c r="A6593" s="4" t="s">
        <v>16073</v>
      </c>
      <c r="B6593" s="5" t="s">
        <v>16074</v>
      </c>
      <c r="C6593" s="5" t="s">
        <v>90</v>
      </c>
      <c r="D6593" s="5" t="s">
        <v>91</v>
      </c>
      <c r="E6593" s="5" t="s">
        <v>436</v>
      </c>
      <c r="F6593" s="9">
        <v>58</v>
      </c>
      <c r="G6593" s="9">
        <v>701</v>
      </c>
      <c r="H6593" s="5" t="s">
        <v>21</v>
      </c>
      <c r="I6593" s="5" t="s">
        <v>16075</v>
      </c>
      <c r="J6593" s="12" t="str">
        <f>HYPERLINK("https://www.boe.es/gazeta/dias/1802/07/20/pdfs/GMD-1802-58.pdf#page=9","Abrir facsímil")</f>
        <v>Abrir facsímil</v>
      </c>
      <c r="K6593" s="15" t="s">
        <v>23</v>
      </c>
    </row>
    <row r="6594" spans="1:11" ht="42" customHeight="1">
      <c r="A6594" s="4" t="s">
        <v>16076</v>
      </c>
      <c r="B6594" s="5" t="s">
        <v>16077</v>
      </c>
      <c r="C6594" s="5" t="s">
        <v>29</v>
      </c>
      <c r="D6594" s="5" t="s">
        <v>30</v>
      </c>
      <c r="E6594" s="5" t="s">
        <v>121</v>
      </c>
      <c r="F6594" s="9">
        <v>87</v>
      </c>
      <c r="G6594" s="9">
        <v>1081</v>
      </c>
      <c r="H6594" s="5" t="s">
        <v>21</v>
      </c>
      <c r="I6594" s="5" t="s">
        <v>16078</v>
      </c>
      <c r="J6594" s="12" t="str">
        <f>HYPERLINK("https://www.boe.es/gazeta/dias/1802/10/26/pdfs/GMD-1802-87.pdf#page=9","Abrir facsímil")</f>
        <v>Abrir facsímil</v>
      </c>
      <c r="K6594" s="15" t="s">
        <v>23</v>
      </c>
    </row>
    <row r="6595" spans="1:11" ht="42" customHeight="1">
      <c r="A6595" s="4" t="s">
        <v>16079</v>
      </c>
      <c r="B6595" s="5" t="s">
        <v>16080</v>
      </c>
      <c r="C6595" s="5" t="s">
        <v>572</v>
      </c>
      <c r="D6595" s="5" t="s">
        <v>573</v>
      </c>
      <c r="E6595" s="5" t="s">
        <v>574</v>
      </c>
      <c r="F6595" s="9" t="s">
        <v>575</v>
      </c>
      <c r="G6595" s="9">
        <v>710</v>
      </c>
      <c r="H6595" s="5" t="s">
        <v>21</v>
      </c>
      <c r="I6595" s="5" t="s">
        <v>16081</v>
      </c>
      <c r="J6595" s="12" t="str">
        <f>HYPERLINK("https://www.boe.es/gazeta/dias/1802/07/21/pdfs/GMD-1802-59E.pdf#page=6","Abrir facsímil")</f>
        <v>Abrir facsímil</v>
      </c>
      <c r="K6595" s="15" t="s">
        <v>23</v>
      </c>
    </row>
    <row r="6596" spans="1:11" ht="42" customHeight="1">
      <c r="A6596" s="4" t="s">
        <v>16079</v>
      </c>
      <c r="B6596" s="5" t="s">
        <v>16080</v>
      </c>
      <c r="C6596" s="5" t="s">
        <v>35</v>
      </c>
      <c r="D6596" s="5" t="s">
        <v>36</v>
      </c>
      <c r="E6596" s="5" t="s">
        <v>142</v>
      </c>
      <c r="F6596" s="9">
        <v>64</v>
      </c>
      <c r="G6596" s="9">
        <v>782</v>
      </c>
      <c r="H6596" s="5" t="s">
        <v>21</v>
      </c>
      <c r="I6596" s="5" t="s">
        <v>16082</v>
      </c>
      <c r="J6596" s="12" t="str">
        <f>HYPERLINK("https://www.boe.es/gazeta/dias/1802/08/06/pdfs/GMD-1802-64.pdf#page=10","Abrir facsímil")</f>
        <v>Abrir facsímil</v>
      </c>
      <c r="K6596" s="15" t="s">
        <v>23</v>
      </c>
    </row>
    <row r="6597" spans="1:11" ht="42" customHeight="1">
      <c r="A6597" s="4" t="s">
        <v>16079</v>
      </c>
      <c r="B6597" s="5" t="s">
        <v>16080</v>
      </c>
      <c r="C6597" s="5" t="s">
        <v>18</v>
      </c>
      <c r="D6597" s="5" t="s">
        <v>19</v>
      </c>
      <c r="E6597" s="5" t="s">
        <v>49</v>
      </c>
      <c r="F6597" s="9">
        <v>83</v>
      </c>
      <c r="G6597" s="9">
        <v>1019</v>
      </c>
      <c r="H6597" s="5" t="s">
        <v>21</v>
      </c>
      <c r="I6597" s="5" t="s">
        <v>16083</v>
      </c>
      <c r="J6597" s="12" t="str">
        <f>HYPERLINK("https://www.boe.es/gazeta/dias/1802/10/12/pdfs/GMD-1802-83.pdf#page=7","Abrir facsímil")</f>
        <v>Abrir facsímil</v>
      </c>
      <c r="K6597" s="15" t="s">
        <v>23</v>
      </c>
    </row>
    <row r="6598" spans="1:11" ht="42" customHeight="1">
      <c r="A6598" s="4" t="s">
        <v>16084</v>
      </c>
      <c r="B6598" s="5" t="s">
        <v>16085</v>
      </c>
      <c r="C6598" s="5" t="s">
        <v>18</v>
      </c>
      <c r="D6598" s="5" t="s">
        <v>19</v>
      </c>
      <c r="E6598" s="5" t="s">
        <v>167</v>
      </c>
      <c r="F6598" s="9">
        <v>23</v>
      </c>
      <c r="G6598" s="9">
        <v>257</v>
      </c>
      <c r="H6598" s="5" t="s">
        <v>21</v>
      </c>
      <c r="I6598" s="5" t="s">
        <v>16086</v>
      </c>
      <c r="J6598" s="12" t="str">
        <f>HYPERLINK("https://www.boe.es/gazeta/dias/1802/03/19/pdfs/GMD-1802-23.pdf#page=5","Abrir facsímil")</f>
        <v>Abrir facsímil</v>
      </c>
      <c r="K6598" s="15" t="s">
        <v>23</v>
      </c>
    </row>
    <row r="6599" spans="1:11" ht="42" customHeight="1">
      <c r="A6599" s="4" t="s">
        <v>16087</v>
      </c>
      <c r="B6599" s="5" t="s">
        <v>16088</v>
      </c>
      <c r="C6599" s="5" t="s">
        <v>90</v>
      </c>
      <c r="D6599" s="5" t="s">
        <v>91</v>
      </c>
      <c r="E6599" s="5" t="s">
        <v>1097</v>
      </c>
      <c r="F6599" s="9">
        <v>20</v>
      </c>
      <c r="G6599" s="9">
        <v>221</v>
      </c>
      <c r="H6599" s="5" t="s">
        <v>21</v>
      </c>
      <c r="I6599" s="5" t="s">
        <v>16089</v>
      </c>
      <c r="J6599" s="12" t="str">
        <f>HYPERLINK("https://www.boe.es/gazeta/dias/1802/03/09/pdfs/GMD-1802-20.pdf#page=9","Abrir facsímil")</f>
        <v>Abrir facsímil</v>
      </c>
      <c r="K6599" s="15" t="s">
        <v>23</v>
      </c>
    </row>
    <row r="6600" spans="1:11" ht="42" customHeight="1">
      <c r="A6600" s="4" t="s">
        <v>16090</v>
      </c>
      <c r="B6600" s="5" t="s">
        <v>16091</v>
      </c>
      <c r="C6600" s="5" t="s">
        <v>18</v>
      </c>
      <c r="D6600" s="5" t="s">
        <v>19</v>
      </c>
      <c r="E6600" s="5" t="s">
        <v>20</v>
      </c>
      <c r="F6600" s="9">
        <v>84</v>
      </c>
      <c r="G6600" s="9">
        <v>1042</v>
      </c>
      <c r="H6600" s="5" t="s">
        <v>21</v>
      </c>
      <c r="I6600" s="5" t="s">
        <v>16092</v>
      </c>
      <c r="J6600" s="12" t="str">
        <f>HYPERLINK("https://www.boe.es/gazeta/dias/1802/10/15/pdfs/GMD-1802-84.pdf#page=10","Abrir facsímil")</f>
        <v>Abrir facsímil</v>
      </c>
      <c r="K6600" s="15" t="s">
        <v>23</v>
      </c>
    </row>
    <row r="6601" spans="1:11" ht="42" customHeight="1">
      <c r="A6601" s="4" t="s">
        <v>16093</v>
      </c>
      <c r="B6601" s="5" t="s">
        <v>16094</v>
      </c>
      <c r="C6601" s="5" t="s">
        <v>18</v>
      </c>
      <c r="D6601" s="5" t="s">
        <v>19</v>
      </c>
      <c r="E6601" s="5" t="s">
        <v>31</v>
      </c>
      <c r="F6601" s="9">
        <v>27</v>
      </c>
      <c r="G6601" s="9">
        <v>318</v>
      </c>
      <c r="H6601" s="5" t="s">
        <v>21</v>
      </c>
      <c r="I6601" s="5" t="s">
        <v>16095</v>
      </c>
      <c r="J6601" s="12" t="str">
        <f>HYPERLINK("https://www.boe.es/gazeta/dias/1802/04/02/pdfs/GMD-1802-27.pdf#page=14","Abrir facsímil")</f>
        <v>Abrir facsímil</v>
      </c>
      <c r="K6601" s="15" t="s">
        <v>23</v>
      </c>
    </row>
    <row r="6602" spans="1:11" ht="42" customHeight="1">
      <c r="A6602" s="4" t="s">
        <v>16096</v>
      </c>
      <c r="B6602" s="5" t="s">
        <v>16097</v>
      </c>
      <c r="C6602" s="5" t="s">
        <v>29</v>
      </c>
      <c r="D6602" s="5" t="s">
        <v>30</v>
      </c>
      <c r="E6602" s="5" t="s">
        <v>436</v>
      </c>
      <c r="F6602" s="9">
        <v>58</v>
      </c>
      <c r="G6602" s="9">
        <v>693</v>
      </c>
      <c r="H6602" s="5" t="s">
        <v>21</v>
      </c>
      <c r="I6602" s="5" t="s">
        <v>16098</v>
      </c>
      <c r="J6602" s="12" t="str">
        <f>HYPERLINK("https://www.boe.es/gazeta/dias/1802/07/20/pdfs/GMD-1802-58.pdf#page=1","Abrir facsímil")</f>
        <v>Abrir facsímil</v>
      </c>
      <c r="K6602" s="15" t="s">
        <v>23</v>
      </c>
    </row>
    <row r="6603" spans="1:11" ht="42" customHeight="1">
      <c r="A6603" s="4" t="s">
        <v>16099</v>
      </c>
      <c r="B6603" s="5" t="s">
        <v>16100</v>
      </c>
      <c r="C6603" s="5" t="s">
        <v>42</v>
      </c>
      <c r="D6603" s="5" t="s">
        <v>43</v>
      </c>
      <c r="E6603" s="5" t="s">
        <v>44</v>
      </c>
      <c r="F6603" s="9">
        <v>99</v>
      </c>
      <c r="G6603" s="9" t="s">
        <v>295</v>
      </c>
      <c r="H6603" s="5" t="s">
        <v>21</v>
      </c>
      <c r="I6603" s="5" t="s">
        <v>16101</v>
      </c>
      <c r="J6603" s="12" t="str">
        <f>HYPERLINK("https://www.boe.es/gazeta/dias/1802/12/07/pdfs/GMD-D-1802-99.pdf#page=7","Abrir facsímil")</f>
        <v>Abrir facsímil</v>
      </c>
      <c r="K6603" s="15" t="s">
        <v>23</v>
      </c>
    </row>
    <row r="6604" spans="1:11" ht="42" customHeight="1">
      <c r="A6604" s="4" t="s">
        <v>16102</v>
      </c>
      <c r="B6604" s="5" t="s">
        <v>16103</v>
      </c>
      <c r="C6604" s="5" t="s">
        <v>42</v>
      </c>
      <c r="D6604" s="5" t="s">
        <v>43</v>
      </c>
      <c r="E6604" s="5" t="s">
        <v>44</v>
      </c>
      <c r="F6604" s="9">
        <v>99</v>
      </c>
      <c r="G6604" s="9" t="s">
        <v>554</v>
      </c>
      <c r="H6604" s="5" t="s">
        <v>21</v>
      </c>
      <c r="I6604" s="5" t="s">
        <v>16104</v>
      </c>
      <c r="J6604" s="12" t="str">
        <f>HYPERLINK("https://www.boe.es/gazeta/dias/1802/12/07/pdfs/GMD-D-1802-99.pdf#page=4","Abrir facsímil")</f>
        <v>Abrir facsímil</v>
      </c>
      <c r="K6604" s="15" t="s">
        <v>23</v>
      </c>
    </row>
    <row r="6605" spans="1:11" ht="42" customHeight="1">
      <c r="A6605" s="4" t="s">
        <v>16105</v>
      </c>
      <c r="B6605" s="5" t="s">
        <v>16105</v>
      </c>
      <c r="C6605" s="5" t="s">
        <v>35</v>
      </c>
      <c r="D6605" s="5" t="s">
        <v>36</v>
      </c>
      <c r="E6605" s="5" t="s">
        <v>183</v>
      </c>
      <c r="F6605" s="9">
        <v>56</v>
      </c>
      <c r="G6605" s="9">
        <v>675</v>
      </c>
      <c r="H6605" s="5" t="s">
        <v>21</v>
      </c>
      <c r="I6605" s="5" t="s">
        <v>16106</v>
      </c>
      <c r="J6605" s="12" t="str">
        <f>HYPERLINK("https://www.boe.es/gazeta/dias/1802/07/13/pdfs/GMD-1802-56.pdf#page=7","Abrir facsímil")</f>
        <v>Abrir facsímil</v>
      </c>
      <c r="K6605" s="15" t="s">
        <v>23</v>
      </c>
    </row>
    <row r="6606" spans="1:11" ht="42" customHeight="1">
      <c r="A6606" s="4" t="s">
        <v>16107</v>
      </c>
      <c r="B6606" s="5" t="s">
        <v>16107</v>
      </c>
      <c r="C6606" s="5" t="s">
        <v>35</v>
      </c>
      <c r="D6606" s="5" t="s">
        <v>36</v>
      </c>
      <c r="E6606" s="5" t="s">
        <v>332</v>
      </c>
      <c r="F6606" s="9">
        <v>24</v>
      </c>
      <c r="G6606" s="9">
        <v>270</v>
      </c>
      <c r="H6606" s="5" t="s">
        <v>21</v>
      </c>
      <c r="I6606" s="5" t="s">
        <v>15278</v>
      </c>
      <c r="J6606" s="12" t="str">
        <f>HYPERLINK("https://www.boe.es/gazeta/dias/1802/03/23/pdfs/GMD-1802-24.pdf#page=6","Abrir facsímil")</f>
        <v>Abrir facsímil</v>
      </c>
      <c r="K6606" s="15" t="s">
        <v>23</v>
      </c>
    </row>
    <row r="6607" spans="1:11" ht="42" customHeight="1">
      <c r="A6607" s="4" t="s">
        <v>16108</v>
      </c>
      <c r="B6607" s="5" t="s">
        <v>16109</v>
      </c>
      <c r="C6607" s="5" t="s">
        <v>18</v>
      </c>
      <c r="D6607" s="5" t="s">
        <v>19</v>
      </c>
      <c r="E6607" s="5" t="s">
        <v>20</v>
      </c>
      <c r="F6607" s="9">
        <v>84</v>
      </c>
      <c r="G6607" s="9">
        <v>1044</v>
      </c>
      <c r="H6607" s="5" t="s">
        <v>21</v>
      </c>
      <c r="I6607" s="5" t="s">
        <v>16110</v>
      </c>
      <c r="J6607" s="12" t="str">
        <f>HYPERLINK("https://www.boe.es/gazeta/dias/1802/10/15/pdfs/GMD-1802-84.pdf#page=12","Abrir facsímil")</f>
        <v>Abrir facsímil</v>
      </c>
      <c r="K6607" s="15" t="s">
        <v>23</v>
      </c>
    </row>
    <row r="6608" spans="1:11" ht="42" customHeight="1">
      <c r="A6608" s="4" t="s">
        <v>16111</v>
      </c>
      <c r="B6608" s="5" t="s">
        <v>16112</v>
      </c>
      <c r="C6608" s="5" t="s">
        <v>29</v>
      </c>
      <c r="D6608" s="5" t="s">
        <v>30</v>
      </c>
      <c r="E6608" s="5" t="s">
        <v>1097</v>
      </c>
      <c r="F6608" s="9">
        <v>20</v>
      </c>
      <c r="G6608" s="9">
        <v>221</v>
      </c>
      <c r="H6608" s="5" t="s">
        <v>21</v>
      </c>
      <c r="I6608" s="5" t="s">
        <v>16113</v>
      </c>
      <c r="J6608" s="12" t="str">
        <f>HYPERLINK("https://www.boe.es/gazeta/dias/1802/03/09/pdfs/GMD-1802-20.pdf#page=9","Abrir facsímil")</f>
        <v>Abrir facsímil</v>
      </c>
      <c r="K6608" s="15" t="s">
        <v>23</v>
      </c>
    </row>
    <row r="6609" spans="1:11" ht="42" customHeight="1">
      <c r="A6609" s="4" t="s">
        <v>16114</v>
      </c>
      <c r="B6609" s="5" t="s">
        <v>16115</v>
      </c>
      <c r="C6609" s="5" t="s">
        <v>18</v>
      </c>
      <c r="D6609" s="5" t="s">
        <v>19</v>
      </c>
      <c r="E6609" s="5" t="s">
        <v>49</v>
      </c>
      <c r="F6609" s="9">
        <v>83</v>
      </c>
      <c r="G6609" s="9">
        <v>1020</v>
      </c>
      <c r="H6609" s="5" t="s">
        <v>21</v>
      </c>
      <c r="I6609" s="5" t="s">
        <v>16116</v>
      </c>
      <c r="J6609" s="12" t="str">
        <f>HYPERLINK("https://www.boe.es/gazeta/dias/1802/10/12/pdfs/GMD-1802-83.pdf#page=8","Abrir facsímil")</f>
        <v>Abrir facsímil</v>
      </c>
      <c r="K6609" s="15" t="s">
        <v>23</v>
      </c>
    </row>
    <row r="6610" spans="1:11" ht="42" customHeight="1">
      <c r="A6610" s="4" t="s">
        <v>16117</v>
      </c>
      <c r="B6610" s="5" t="s">
        <v>16118</v>
      </c>
      <c r="C6610" s="5" t="s">
        <v>18</v>
      </c>
      <c r="D6610" s="5" t="s">
        <v>19</v>
      </c>
      <c r="E6610" s="5" t="s">
        <v>710</v>
      </c>
      <c r="F6610" s="9">
        <v>85</v>
      </c>
      <c r="G6610" s="9">
        <v>1058</v>
      </c>
      <c r="H6610" s="5" t="s">
        <v>21</v>
      </c>
      <c r="I6610" s="5" t="s">
        <v>16119</v>
      </c>
      <c r="J6610" s="12" t="str">
        <f>HYPERLINK("https://www.boe.es/gazeta/dias/1802/10/19/pdfs/GMD-1802-85.pdf#page=10","Abrir facsímil")</f>
        <v>Abrir facsímil</v>
      </c>
      <c r="K6610" s="15" t="s">
        <v>23</v>
      </c>
    </row>
    <row r="6611" spans="1:11" ht="42" customHeight="1">
      <c r="A6611" s="4" t="s">
        <v>16120</v>
      </c>
      <c r="B6611" s="5" t="s">
        <v>16121</v>
      </c>
      <c r="C6611" s="5" t="s">
        <v>18</v>
      </c>
      <c r="D6611" s="5" t="s">
        <v>19</v>
      </c>
      <c r="E6611" s="5" t="s">
        <v>900</v>
      </c>
      <c r="F6611" s="9">
        <v>16</v>
      </c>
      <c r="G6611" s="9">
        <v>169</v>
      </c>
      <c r="H6611" s="5" t="s">
        <v>21</v>
      </c>
      <c r="I6611" s="5" t="s">
        <v>16122</v>
      </c>
      <c r="J6611" s="12" t="str">
        <f>HYPERLINK("https://www.boe.es/gazeta/dias/1802/02/23/pdfs/GMD-1802-16.pdf#page=9","Abrir facsímil")</f>
        <v>Abrir facsímil</v>
      </c>
      <c r="K6611" s="15" t="s">
        <v>23</v>
      </c>
    </row>
    <row r="6612" spans="1:11" ht="42" customHeight="1">
      <c r="A6612" s="4" t="s">
        <v>16123</v>
      </c>
      <c r="B6612" s="5" t="s">
        <v>16123</v>
      </c>
      <c r="C6612" s="5" t="s">
        <v>42</v>
      </c>
      <c r="D6612" s="5" t="s">
        <v>43</v>
      </c>
      <c r="E6612" s="5" t="s">
        <v>44</v>
      </c>
      <c r="F6612" s="9">
        <v>99</v>
      </c>
      <c r="G6612" s="9" t="s">
        <v>222</v>
      </c>
      <c r="H6612" s="5" t="s">
        <v>21</v>
      </c>
      <c r="I6612" s="5" t="s">
        <v>16124</v>
      </c>
      <c r="J6612" s="12" t="str">
        <f>HYPERLINK("https://www.boe.es/gazeta/dias/1802/12/07/pdfs/GMD-D-1802-99.pdf#page=5","Abrir facsímil")</f>
        <v>Abrir facsímil</v>
      </c>
      <c r="K6612" s="15" t="s">
        <v>23</v>
      </c>
    </row>
    <row r="6613" spans="1:11" ht="42" customHeight="1">
      <c r="A6613" s="4" t="s">
        <v>16125</v>
      </c>
      <c r="B6613" s="5" t="s">
        <v>16126</v>
      </c>
      <c r="C6613" s="5" t="s">
        <v>18</v>
      </c>
      <c r="D6613" s="5" t="s">
        <v>19</v>
      </c>
      <c r="E6613" s="5" t="s">
        <v>20</v>
      </c>
      <c r="F6613" s="9">
        <v>84</v>
      </c>
      <c r="G6613" s="9">
        <v>1047</v>
      </c>
      <c r="H6613" s="5" t="s">
        <v>21</v>
      </c>
      <c r="I6613" s="5" t="s">
        <v>16127</v>
      </c>
      <c r="J6613" s="12" t="str">
        <f>HYPERLINK("https://www.boe.es/gazeta/dias/1802/10/15/pdfs/GMD-1802-84.pdf#page=15","Abrir facsímil")</f>
        <v>Abrir facsímil</v>
      </c>
      <c r="K6613" s="15" t="s">
        <v>23</v>
      </c>
    </row>
    <row r="6614" spans="1:11" ht="42" customHeight="1">
      <c r="A6614" s="4" t="s">
        <v>16128</v>
      </c>
      <c r="B6614" s="5" t="s">
        <v>16129</v>
      </c>
      <c r="C6614" s="5" t="s">
        <v>35</v>
      </c>
      <c r="D6614" s="5" t="s">
        <v>36</v>
      </c>
      <c r="E6614" s="5" t="s">
        <v>517</v>
      </c>
      <c r="F6614" s="9">
        <v>61</v>
      </c>
      <c r="G6614" s="9">
        <v>736</v>
      </c>
      <c r="H6614" s="5" t="s">
        <v>21</v>
      </c>
      <c r="I6614" s="5" t="s">
        <v>16130</v>
      </c>
      <c r="J6614" s="12" t="str">
        <f>HYPERLINK("https://www.boe.es/gazeta/dias/1802/07/27/pdfs/GMD-1802-61.pdf#page=4","Abrir facsímil")</f>
        <v>Abrir facsímil</v>
      </c>
      <c r="K6614" s="15" t="s">
        <v>23</v>
      </c>
    </row>
    <row r="6615" spans="1:11" ht="42" customHeight="1">
      <c r="A6615" s="4" t="s">
        <v>16131</v>
      </c>
      <c r="B6615" s="5" t="s">
        <v>16131</v>
      </c>
      <c r="C6615" s="5" t="s">
        <v>35</v>
      </c>
      <c r="D6615" s="5" t="s">
        <v>36</v>
      </c>
      <c r="E6615" s="5" t="s">
        <v>175</v>
      </c>
      <c r="F6615" s="9">
        <v>37</v>
      </c>
      <c r="G6615" s="9">
        <v>436</v>
      </c>
      <c r="H6615" s="5" t="s">
        <v>21</v>
      </c>
      <c r="I6615" s="5" t="s">
        <v>16132</v>
      </c>
      <c r="J6615" s="12" t="str">
        <f>HYPERLINK("https://www.boe.es/gazeta/dias/1802/05/07/pdfs/GMD-1802-37.pdf#page=4","Abrir facsímil")</f>
        <v>Abrir facsímil</v>
      </c>
      <c r="K6615" s="15" t="s">
        <v>23</v>
      </c>
    </row>
    <row r="6616" spans="1:11" ht="42" customHeight="1">
      <c r="A6616" s="4" t="s">
        <v>16133</v>
      </c>
      <c r="B6616" s="5" t="s">
        <v>16134</v>
      </c>
      <c r="C6616" s="5" t="s">
        <v>29</v>
      </c>
      <c r="D6616" s="5" t="s">
        <v>30</v>
      </c>
      <c r="E6616" s="5" t="s">
        <v>881</v>
      </c>
      <c r="F6616" s="9">
        <v>65</v>
      </c>
      <c r="G6616" s="9">
        <v>794</v>
      </c>
      <c r="H6616" s="5" t="s">
        <v>21</v>
      </c>
      <c r="I6616" s="5" t="s">
        <v>16135</v>
      </c>
      <c r="J6616" s="12" t="str">
        <f>HYPERLINK("https://www.boe.es/gazeta/dias/1802/08/10/pdfs/GMD-1802-65.pdf#page=10","Abrir facsímil")</f>
        <v>Abrir facsímil</v>
      </c>
      <c r="K6616" s="15" t="s">
        <v>23</v>
      </c>
    </row>
    <row r="6617" spans="1:11" ht="42" customHeight="1">
      <c r="A6617" s="4" t="s">
        <v>16136</v>
      </c>
      <c r="B6617" s="5" t="s">
        <v>16137</v>
      </c>
      <c r="C6617" s="5" t="s">
        <v>35</v>
      </c>
      <c r="D6617" s="5" t="s">
        <v>36</v>
      </c>
      <c r="E6617" s="5" t="s">
        <v>172</v>
      </c>
      <c r="F6617" s="9">
        <v>35</v>
      </c>
      <c r="G6617" s="9">
        <v>405</v>
      </c>
      <c r="H6617" s="5" t="s">
        <v>21</v>
      </c>
      <c r="I6617" s="5" t="s">
        <v>16138</v>
      </c>
      <c r="J6617" s="12" t="str">
        <f>HYPERLINK("https://www.boe.es/gazeta/dias/1802/04/30/pdfs/GMD-1802-35.pdf#page=5","Abrir facsímil")</f>
        <v>Abrir facsímil</v>
      </c>
      <c r="K6617" s="15" t="s">
        <v>23</v>
      </c>
    </row>
    <row r="6618" spans="1:11" ht="42" customHeight="1">
      <c r="A6618" s="4" t="s">
        <v>16139</v>
      </c>
      <c r="B6618" s="5" t="s">
        <v>16140</v>
      </c>
      <c r="C6618" s="5" t="s">
        <v>18</v>
      </c>
      <c r="D6618" s="5" t="s">
        <v>19</v>
      </c>
      <c r="E6618" s="5" t="s">
        <v>128</v>
      </c>
      <c r="F6618" s="9">
        <v>9</v>
      </c>
      <c r="G6618" s="9">
        <v>85</v>
      </c>
      <c r="H6618" s="5" t="s">
        <v>21</v>
      </c>
      <c r="I6618" s="5" t="s">
        <v>16141</v>
      </c>
      <c r="J6618" s="12" t="str">
        <f>HYPERLINK("https://www.boe.es/gazeta/dias/1802/01/29/pdfs/GMD-1802-9.pdf#page=5","Abrir facsímil")</f>
        <v>Abrir facsímil</v>
      </c>
      <c r="K6618" s="15" t="s">
        <v>23</v>
      </c>
    </row>
    <row r="6619" spans="1:11" ht="42" customHeight="1">
      <c r="A6619" s="4" t="s">
        <v>16142</v>
      </c>
      <c r="B6619" s="5" t="s">
        <v>16143</v>
      </c>
      <c r="C6619" s="5" t="s">
        <v>18</v>
      </c>
      <c r="D6619" s="5" t="s">
        <v>19</v>
      </c>
      <c r="E6619" s="5" t="s">
        <v>131</v>
      </c>
      <c r="F6619" s="9">
        <v>11</v>
      </c>
      <c r="G6619" s="9">
        <v>113</v>
      </c>
      <c r="H6619" s="5" t="s">
        <v>21</v>
      </c>
      <c r="I6619" s="5" t="s">
        <v>16144</v>
      </c>
      <c r="J6619" s="12" t="str">
        <f>HYPERLINK("https://www.boe.es/gazeta/dias/1802/02/05/pdfs/GMD-1802-11.pdf#page=9","Abrir facsímil")</f>
        <v>Abrir facsímil</v>
      </c>
      <c r="K6619" s="15" t="s">
        <v>23</v>
      </c>
    </row>
    <row r="6620" spans="1:11" ht="42" customHeight="1">
      <c r="A6620" s="4" t="s">
        <v>16145</v>
      </c>
      <c r="B6620" s="5" t="s">
        <v>16146</v>
      </c>
      <c r="C6620" s="5" t="s">
        <v>35</v>
      </c>
      <c r="D6620" s="5" t="s">
        <v>36</v>
      </c>
      <c r="E6620" s="5" t="s">
        <v>183</v>
      </c>
      <c r="F6620" s="9">
        <v>56</v>
      </c>
      <c r="G6620" s="9">
        <v>676</v>
      </c>
      <c r="H6620" s="5" t="s">
        <v>21</v>
      </c>
      <c r="I6620" s="5" t="s">
        <v>16147</v>
      </c>
      <c r="J6620" s="12" t="str">
        <f>HYPERLINK("https://www.boe.es/gazeta/dias/1802/07/13/pdfs/GMD-1802-56.pdf#page=8","Abrir facsímil")</f>
        <v>Abrir facsímil</v>
      </c>
      <c r="K6620" s="15" t="s">
        <v>23</v>
      </c>
    </row>
    <row r="6621" spans="1:11" ht="42" customHeight="1">
      <c r="A6621" s="4" t="s">
        <v>16148</v>
      </c>
      <c r="B6621" s="5" t="s">
        <v>16148</v>
      </c>
      <c r="C6621" s="5" t="s">
        <v>35</v>
      </c>
      <c r="D6621" s="5" t="s">
        <v>36</v>
      </c>
      <c r="E6621" s="5" t="s">
        <v>385</v>
      </c>
      <c r="F6621" s="9">
        <v>70</v>
      </c>
      <c r="G6621" s="9">
        <v>854</v>
      </c>
      <c r="H6621" s="5" t="s">
        <v>21</v>
      </c>
      <c r="I6621" s="5" t="s">
        <v>16149</v>
      </c>
      <c r="J6621" s="12" t="str">
        <f>HYPERLINK("https://www.boe.es/gazeta/dias/1802/08/27/pdfs/GMD-1802-70.pdf#page=2","Abrir facsímil")</f>
        <v>Abrir facsímil</v>
      </c>
      <c r="K6621" s="15" t="s">
        <v>23</v>
      </c>
    </row>
    <row r="6622" spans="1:11" ht="42" customHeight="1">
      <c r="A6622" s="4" t="s">
        <v>16150</v>
      </c>
      <c r="B6622" s="5" t="s">
        <v>16151</v>
      </c>
      <c r="C6622" s="5" t="s">
        <v>55</v>
      </c>
      <c r="D6622" s="5" t="s">
        <v>56</v>
      </c>
      <c r="E6622" s="5" t="s">
        <v>921</v>
      </c>
      <c r="F6622" s="9">
        <v>50</v>
      </c>
      <c r="G6622" s="9">
        <v>612</v>
      </c>
      <c r="H6622" s="5" t="s">
        <v>21</v>
      </c>
      <c r="I6622" s="5" t="s">
        <v>16152</v>
      </c>
      <c r="J6622" s="12" t="str">
        <f>HYPERLINK("https://www.boe.es/gazeta/dias/1802/06/22/pdfs/GMD-1802-50.pdf#page=12","Abrir facsímil")</f>
        <v>Abrir facsímil</v>
      </c>
      <c r="K6622" s="15" t="s">
        <v>23</v>
      </c>
    </row>
    <row r="6623" spans="1:11" ht="42" customHeight="1">
      <c r="A6623" s="4" t="s">
        <v>16153</v>
      </c>
      <c r="B6623" s="5" t="s">
        <v>16154</v>
      </c>
      <c r="C6623" s="5" t="s">
        <v>35</v>
      </c>
      <c r="D6623" s="5" t="s">
        <v>36</v>
      </c>
      <c r="E6623" s="5" t="s">
        <v>749</v>
      </c>
      <c r="F6623" s="9">
        <v>97</v>
      </c>
      <c r="G6623" s="9">
        <v>1195</v>
      </c>
      <c r="H6623" s="5" t="s">
        <v>21</v>
      </c>
      <c r="I6623" s="5" t="s">
        <v>16155</v>
      </c>
      <c r="J6623" s="12" t="str">
        <f>HYPERLINK("https://www.boe.es/gazeta/dias/1802/11/30/pdfs/GMD-1802-97.pdf#page=3","Abrir facsímil")</f>
        <v>Abrir facsímil</v>
      </c>
      <c r="K6623" s="15" t="s">
        <v>23</v>
      </c>
    </row>
    <row r="6624" spans="1:11" ht="42" customHeight="1">
      <c r="A6624" s="4" t="s">
        <v>16156</v>
      </c>
      <c r="B6624" s="5" t="s">
        <v>16157</v>
      </c>
      <c r="C6624" s="5" t="s">
        <v>35</v>
      </c>
      <c r="D6624" s="5" t="s">
        <v>36</v>
      </c>
      <c r="E6624" s="5" t="s">
        <v>114</v>
      </c>
      <c r="F6624" s="9">
        <v>82</v>
      </c>
      <c r="G6624" s="9">
        <v>1001</v>
      </c>
      <c r="H6624" s="5" t="s">
        <v>21</v>
      </c>
      <c r="I6624" s="5" t="s">
        <v>16158</v>
      </c>
      <c r="J6624" s="12" t="str">
        <f>HYPERLINK("https://www.boe.es/gazeta/dias/1802/10/08/pdfs/GMD-1802-82.pdf#page=1","Abrir facsímil")</f>
        <v>Abrir facsímil</v>
      </c>
      <c r="K6624" s="15" t="s">
        <v>23</v>
      </c>
    </row>
    <row r="6625" spans="1:11" ht="42" customHeight="1">
      <c r="A6625" s="4" t="s">
        <v>16156</v>
      </c>
      <c r="B6625" s="5" t="s">
        <v>16157</v>
      </c>
      <c r="C6625" s="5" t="s">
        <v>35</v>
      </c>
      <c r="D6625" s="5" t="s">
        <v>36</v>
      </c>
      <c r="E6625" s="5" t="s">
        <v>49</v>
      </c>
      <c r="F6625" s="9">
        <v>83</v>
      </c>
      <c r="G6625" s="9">
        <v>1013</v>
      </c>
      <c r="H6625" s="5" t="s">
        <v>21</v>
      </c>
      <c r="I6625" s="5" t="s">
        <v>16159</v>
      </c>
      <c r="J6625" s="12" t="str">
        <f>HYPERLINK("https://www.boe.es/gazeta/dias/1802/10/12/pdfs/GMD-1802-83.pdf#page=1","Abrir facsímil")</f>
        <v>Abrir facsímil</v>
      </c>
      <c r="K6625" s="15" t="s">
        <v>23</v>
      </c>
    </row>
    <row r="6626" spans="1:11" ht="42" customHeight="1">
      <c r="A6626" s="4" t="s">
        <v>16156</v>
      </c>
      <c r="B6626" s="5" t="s">
        <v>16157</v>
      </c>
      <c r="C6626" s="5" t="s">
        <v>35</v>
      </c>
      <c r="D6626" s="5" t="s">
        <v>36</v>
      </c>
      <c r="E6626" s="5" t="s">
        <v>311</v>
      </c>
      <c r="F6626" s="9">
        <v>88</v>
      </c>
      <c r="G6626" s="9">
        <v>1088</v>
      </c>
      <c r="H6626" s="5" t="s">
        <v>21</v>
      </c>
      <c r="I6626" s="5" t="s">
        <v>16160</v>
      </c>
      <c r="J6626" s="12" t="str">
        <f>HYPERLINK("https://www.boe.es/gazeta/dias/1802/10/29/pdfs/GMD-1802-88.pdf#page=4","Abrir facsímil")</f>
        <v>Abrir facsímil</v>
      </c>
      <c r="K6626" s="15" t="s">
        <v>23</v>
      </c>
    </row>
    <row r="6627" spans="1:11" ht="42" customHeight="1">
      <c r="A6627" s="4" t="s">
        <v>16161</v>
      </c>
      <c r="B6627" s="5" t="s">
        <v>16161</v>
      </c>
      <c r="C6627" s="5" t="s">
        <v>35</v>
      </c>
      <c r="D6627" s="5" t="s">
        <v>36</v>
      </c>
      <c r="E6627" s="5" t="s">
        <v>1407</v>
      </c>
      <c r="F6627" s="9">
        <v>8</v>
      </c>
      <c r="G6627" s="9">
        <v>75</v>
      </c>
      <c r="H6627" s="5" t="s">
        <v>21</v>
      </c>
      <c r="I6627" s="5" t="s">
        <v>16162</v>
      </c>
      <c r="J6627" s="12" t="str">
        <f>HYPERLINK("https://www.boe.es/gazeta/dias/1802/01/26/pdfs/GMD-1802-8.pdf#page=3","Abrir facsímil")</f>
        <v>Abrir facsímil</v>
      </c>
      <c r="K6627" s="15" t="s">
        <v>23</v>
      </c>
    </row>
    <row r="6628" spans="1:11" ht="42" customHeight="1">
      <c r="A6628" s="4" t="s">
        <v>16161</v>
      </c>
      <c r="B6628" s="5" t="s">
        <v>16161</v>
      </c>
      <c r="C6628" s="5" t="s">
        <v>160</v>
      </c>
      <c r="D6628" s="5" t="s">
        <v>91</v>
      </c>
      <c r="E6628" s="5" t="s">
        <v>530</v>
      </c>
      <c r="F6628" s="9">
        <v>48</v>
      </c>
      <c r="G6628" s="9">
        <v>579</v>
      </c>
      <c r="H6628" s="5" t="s">
        <v>21</v>
      </c>
      <c r="I6628" s="5" t="s">
        <v>16163</v>
      </c>
      <c r="J6628" s="12" t="str">
        <f>HYPERLINK("https://www.boe.es/gazeta/dias/1802/06/15/pdfs/GMD-1802-48.pdf#page=3","Abrir facsímil")</f>
        <v>Abrir facsímil</v>
      </c>
      <c r="K6628" s="15" t="s">
        <v>23</v>
      </c>
    </row>
    <row r="6629" spans="1:11" ht="42" customHeight="1">
      <c r="A6629" s="4" t="s">
        <v>16161</v>
      </c>
      <c r="B6629" s="5" t="s">
        <v>16161</v>
      </c>
      <c r="C6629" s="5" t="s">
        <v>35</v>
      </c>
      <c r="D6629" s="5" t="s">
        <v>36</v>
      </c>
      <c r="E6629" s="5" t="s">
        <v>389</v>
      </c>
      <c r="F6629" s="9">
        <v>96</v>
      </c>
      <c r="G6629" s="9">
        <v>1183</v>
      </c>
      <c r="H6629" s="5" t="s">
        <v>21</v>
      </c>
      <c r="I6629" s="5" t="s">
        <v>16164</v>
      </c>
      <c r="J6629" s="12" t="str">
        <f>HYPERLINK("https://www.boe.es/gazeta/dias/1802/11/26/pdfs/GMD-1802-96.pdf#page=3","Abrir facsímil")</f>
        <v>Abrir facsímil</v>
      </c>
      <c r="K6629" s="15" t="s">
        <v>23</v>
      </c>
    </row>
    <row r="6630" spans="1:11" ht="42" customHeight="1">
      <c r="A6630" s="4" t="s">
        <v>16165</v>
      </c>
      <c r="B6630" s="5" t="s">
        <v>16166</v>
      </c>
      <c r="C6630" s="5" t="s">
        <v>35</v>
      </c>
      <c r="D6630" s="5" t="s">
        <v>36</v>
      </c>
      <c r="E6630" s="5" t="s">
        <v>1264</v>
      </c>
      <c r="F6630" s="9">
        <v>105</v>
      </c>
      <c r="G6630" s="9">
        <v>1278</v>
      </c>
      <c r="H6630" s="5" t="s">
        <v>21</v>
      </c>
      <c r="I6630" s="5" t="s">
        <v>16167</v>
      </c>
      <c r="J6630" s="12" t="str">
        <f>HYPERLINK("https://www.boe.es/gazeta/dias/1802/12/28/pdfs/GMD-1802-105.pdf#page=2","Abrir facsímil")</f>
        <v>Abrir facsímil</v>
      </c>
      <c r="K6630" s="15" t="s">
        <v>23</v>
      </c>
    </row>
    <row r="6631" spans="1:11" ht="42" customHeight="1">
      <c r="A6631" s="4" t="s">
        <v>16168</v>
      </c>
      <c r="B6631" s="5" t="s">
        <v>16168</v>
      </c>
      <c r="C6631" s="5" t="s">
        <v>29</v>
      </c>
      <c r="D6631" s="5" t="s">
        <v>30</v>
      </c>
      <c r="E6631" s="5" t="s">
        <v>175</v>
      </c>
      <c r="F6631" s="9">
        <v>37</v>
      </c>
      <c r="G6631" s="9">
        <v>436</v>
      </c>
      <c r="H6631" s="5" t="s">
        <v>21</v>
      </c>
      <c r="I6631" s="5" t="s">
        <v>16169</v>
      </c>
      <c r="J6631" s="12" t="str">
        <f>HYPERLINK("https://www.boe.es/gazeta/dias/1802/05/07/pdfs/GMD-1802-37.pdf#page=4","Abrir facsímil")</f>
        <v>Abrir facsímil</v>
      </c>
      <c r="K6631" s="15" t="s">
        <v>23</v>
      </c>
    </row>
    <row r="6632" spans="1:11" ht="42" customHeight="1">
      <c r="A6632" s="4" t="s">
        <v>16170</v>
      </c>
      <c r="B6632" s="5" t="s">
        <v>16170</v>
      </c>
      <c r="C6632" s="5" t="s">
        <v>35</v>
      </c>
      <c r="D6632" s="5" t="s">
        <v>36</v>
      </c>
      <c r="E6632" s="5" t="s">
        <v>339</v>
      </c>
      <c r="F6632" s="9">
        <v>39</v>
      </c>
      <c r="G6632" s="9">
        <v>460</v>
      </c>
      <c r="H6632" s="5" t="s">
        <v>21</v>
      </c>
      <c r="I6632" s="5" t="s">
        <v>16171</v>
      </c>
      <c r="J6632" s="12" t="str">
        <f>HYPERLINK("https://www.boe.es/gazeta/dias/1802/05/14/pdfs/GMD-1802-39.pdf#page=4","Abrir facsímil")</f>
        <v>Abrir facsímil</v>
      </c>
      <c r="K6632" s="15" t="s">
        <v>23</v>
      </c>
    </row>
    <row r="6633" spans="1:11" ht="42" customHeight="1">
      <c r="A6633" s="4" t="s">
        <v>16172</v>
      </c>
      <c r="B6633" s="5" t="s">
        <v>16172</v>
      </c>
      <c r="C6633" s="5" t="s">
        <v>35</v>
      </c>
      <c r="D6633" s="5" t="s">
        <v>36</v>
      </c>
      <c r="E6633" s="5" t="s">
        <v>865</v>
      </c>
      <c r="F6633" s="9">
        <v>12</v>
      </c>
      <c r="G6633" s="9">
        <v>119</v>
      </c>
      <c r="H6633" s="5" t="s">
        <v>21</v>
      </c>
      <c r="I6633" s="5" t="s">
        <v>16173</v>
      </c>
      <c r="J6633" s="12" t="str">
        <f>HYPERLINK("https://www.boe.es/gazeta/dias/1802/02/09/pdfs/GMD-1802-12.pdf#page=3","Abrir facsímil")</f>
        <v>Abrir facsímil</v>
      </c>
      <c r="K6633" s="15" t="s">
        <v>23</v>
      </c>
    </row>
    <row r="6634" spans="1:11" ht="42" customHeight="1">
      <c r="A6634" s="4" t="s">
        <v>16172</v>
      </c>
      <c r="B6634" s="5" t="s">
        <v>16172</v>
      </c>
      <c r="C6634" s="5" t="s">
        <v>18</v>
      </c>
      <c r="D6634" s="5" t="s">
        <v>19</v>
      </c>
      <c r="E6634" s="5" t="s">
        <v>44</v>
      </c>
      <c r="F6634" s="9">
        <v>99</v>
      </c>
      <c r="G6634" s="9">
        <v>1220</v>
      </c>
      <c r="H6634" s="5" t="s">
        <v>21</v>
      </c>
      <c r="I6634" s="5" t="s">
        <v>16174</v>
      </c>
      <c r="J6634" s="12" t="str">
        <f>HYPERLINK("https://www.boe.es/gazeta/dias/1802/12/07/pdfs/GMD-1802-99.pdf#page=4","Abrir facsímil")</f>
        <v>Abrir facsímil</v>
      </c>
      <c r="K6634" s="15" t="s">
        <v>23</v>
      </c>
    </row>
    <row r="6635" spans="1:11" ht="42" customHeight="1">
      <c r="A6635" s="4" t="s">
        <v>16172</v>
      </c>
      <c r="B6635" s="5" t="s">
        <v>16172</v>
      </c>
      <c r="C6635" s="5" t="s">
        <v>35</v>
      </c>
      <c r="D6635" s="5" t="s">
        <v>36</v>
      </c>
      <c r="E6635" s="5" t="s">
        <v>604</v>
      </c>
      <c r="F6635" s="9">
        <v>100</v>
      </c>
      <c r="G6635" s="9">
        <v>1233</v>
      </c>
      <c r="H6635" s="5" t="s">
        <v>21</v>
      </c>
      <c r="I6635" s="5" t="s">
        <v>16175</v>
      </c>
      <c r="J6635" s="12" t="str">
        <f>HYPERLINK("https://www.boe.es/gazeta/dias/1802/12/10/pdfs/GMD-1802-100.pdf#page=5","Abrir facsímil")</f>
        <v>Abrir facsímil</v>
      </c>
      <c r="K6635" s="15" t="s">
        <v>23</v>
      </c>
    </row>
    <row r="6636" spans="1:11" ht="42" customHeight="1">
      <c r="A6636" s="4" t="s">
        <v>16176</v>
      </c>
      <c r="B6636" s="5" t="s">
        <v>16176</v>
      </c>
      <c r="C6636" s="5" t="s">
        <v>90</v>
      </c>
      <c r="D6636" s="5" t="s">
        <v>91</v>
      </c>
      <c r="E6636" s="5" t="s">
        <v>188</v>
      </c>
      <c r="F6636" s="9">
        <v>49</v>
      </c>
      <c r="G6636" s="9">
        <v>589</v>
      </c>
      <c r="H6636" s="5" t="s">
        <v>21</v>
      </c>
      <c r="I6636" s="5" t="s">
        <v>16177</v>
      </c>
      <c r="J6636" s="12" t="str">
        <f>HYPERLINK("https://www.boe.es/gazeta/dias/1802/06/18/pdfs/GMD-1802-49.pdf#page=1","Abrir facsímil")</f>
        <v>Abrir facsímil</v>
      </c>
      <c r="K6636" s="15" t="s">
        <v>23</v>
      </c>
    </row>
    <row r="6637" spans="1:11" ht="42" customHeight="1">
      <c r="A6637" s="4" t="s">
        <v>16178</v>
      </c>
      <c r="B6637" s="5" t="s">
        <v>16179</v>
      </c>
      <c r="C6637" s="5" t="s">
        <v>55</v>
      </c>
      <c r="D6637" s="5" t="s">
        <v>56</v>
      </c>
      <c r="E6637" s="5" t="s">
        <v>172</v>
      </c>
      <c r="F6637" s="9">
        <v>35</v>
      </c>
      <c r="G6637" s="9">
        <v>404</v>
      </c>
      <c r="H6637" s="5" t="s">
        <v>21</v>
      </c>
      <c r="I6637" s="5" t="s">
        <v>16180</v>
      </c>
      <c r="J6637" s="12" t="str">
        <f>HYPERLINK("https://www.boe.es/gazeta/dias/1802/04/30/pdfs/GMD-1802-35.pdf#page=4","Abrir facsímil")</f>
        <v>Abrir facsímil</v>
      </c>
      <c r="K6637" s="15" t="s">
        <v>23</v>
      </c>
    </row>
    <row r="6638" spans="1:11" ht="42" customHeight="1">
      <c r="A6638" s="4" t="s">
        <v>16181</v>
      </c>
      <c r="B6638" s="5" t="s">
        <v>16182</v>
      </c>
      <c r="C6638" s="5" t="s">
        <v>35</v>
      </c>
      <c r="D6638" s="5" t="s">
        <v>36</v>
      </c>
      <c r="E6638" s="5" t="s">
        <v>192</v>
      </c>
      <c r="F6638" s="9">
        <v>53</v>
      </c>
      <c r="G6638" s="9">
        <v>636</v>
      </c>
      <c r="H6638" s="5" t="s">
        <v>21</v>
      </c>
      <c r="I6638" s="5" t="s">
        <v>16183</v>
      </c>
      <c r="J6638" s="12" t="str">
        <f>HYPERLINK("https://www.boe.es/gazeta/dias/1802/07/02/pdfs/GMD-1802-53.pdf#page=4","Abrir facsímil")</f>
        <v>Abrir facsímil</v>
      </c>
      <c r="K6638" s="15" t="s">
        <v>23</v>
      </c>
    </row>
    <row r="6639" spans="1:11" ht="42" customHeight="1">
      <c r="A6639" s="4" t="s">
        <v>16184</v>
      </c>
      <c r="B6639" s="5" t="s">
        <v>16185</v>
      </c>
      <c r="C6639" s="5" t="s">
        <v>35</v>
      </c>
      <c r="D6639" s="5" t="s">
        <v>36</v>
      </c>
      <c r="E6639" s="5" t="s">
        <v>20</v>
      </c>
      <c r="F6639" s="9">
        <v>84</v>
      </c>
      <c r="G6639" s="9">
        <v>1037</v>
      </c>
      <c r="H6639" s="5" t="s">
        <v>21</v>
      </c>
      <c r="I6639" s="5" t="s">
        <v>16186</v>
      </c>
      <c r="J6639" s="12" t="str">
        <f>HYPERLINK("https://www.boe.es/gazeta/dias/1802/10/15/pdfs/GMD-1802-84.pdf#page=5","Abrir facsímil")</f>
        <v>Abrir facsímil</v>
      </c>
      <c r="K6639" s="15" t="s">
        <v>23</v>
      </c>
    </row>
    <row r="6640" spans="1:11" ht="42" customHeight="1">
      <c r="A6640" s="4" t="s">
        <v>16187</v>
      </c>
      <c r="B6640" s="5" t="s">
        <v>16187</v>
      </c>
      <c r="C6640" s="5" t="s">
        <v>35</v>
      </c>
      <c r="D6640" s="5" t="s">
        <v>36</v>
      </c>
      <c r="E6640" s="5" t="s">
        <v>49</v>
      </c>
      <c r="F6640" s="9">
        <v>83</v>
      </c>
      <c r="G6640" s="9">
        <v>1015</v>
      </c>
      <c r="H6640" s="5" t="s">
        <v>21</v>
      </c>
      <c r="I6640" s="5" t="s">
        <v>9595</v>
      </c>
      <c r="J6640" s="12" t="str">
        <f>HYPERLINK("https://www.boe.es/gazeta/dias/1802/10/12/pdfs/GMD-1802-83.pdf#page=3","Abrir facsímil")</f>
        <v>Abrir facsímil</v>
      </c>
      <c r="K6640" s="15" t="s">
        <v>23</v>
      </c>
    </row>
    <row r="6641" spans="1:11" ht="42" customHeight="1">
      <c r="A6641" s="4" t="s">
        <v>16188</v>
      </c>
      <c r="B6641" s="5" t="s">
        <v>16188</v>
      </c>
      <c r="C6641" s="5" t="s">
        <v>29</v>
      </c>
      <c r="D6641" s="5" t="s">
        <v>30</v>
      </c>
      <c r="E6641" s="5" t="s">
        <v>678</v>
      </c>
      <c r="F6641" s="9">
        <v>15</v>
      </c>
      <c r="G6641" s="9">
        <v>149</v>
      </c>
      <c r="H6641" s="5" t="s">
        <v>21</v>
      </c>
      <c r="I6641" s="5" t="s">
        <v>16189</v>
      </c>
      <c r="J6641" s="12" t="str">
        <f>HYPERLINK("https://www.boe.es/gazeta/dias/1802/02/19/pdfs/GMD-1802-15.pdf#page=1","Abrir facsímil")</f>
        <v>Abrir facsímil</v>
      </c>
      <c r="K6641" s="15" t="s">
        <v>23</v>
      </c>
    </row>
    <row r="6642" spans="1:11" ht="42" customHeight="1">
      <c r="A6642" s="4" t="s">
        <v>16190</v>
      </c>
      <c r="B6642" s="5" t="s">
        <v>16191</v>
      </c>
      <c r="C6642" s="5" t="s">
        <v>35</v>
      </c>
      <c r="D6642" s="5" t="s">
        <v>36</v>
      </c>
      <c r="E6642" s="5" t="s">
        <v>678</v>
      </c>
      <c r="F6642" s="9">
        <v>15</v>
      </c>
      <c r="G6642" s="9">
        <v>149</v>
      </c>
      <c r="H6642" s="5" t="s">
        <v>21</v>
      </c>
      <c r="I6642" s="5" t="s">
        <v>16192</v>
      </c>
      <c r="J6642" s="12" t="str">
        <f>HYPERLINK("https://www.boe.es/gazeta/dias/1802/02/19/pdfs/GMD-1802-15.pdf#page=1","Abrir facsímil")</f>
        <v>Abrir facsímil</v>
      </c>
      <c r="K6642" s="15" t="s">
        <v>23</v>
      </c>
    </row>
    <row r="6643" spans="1:11" ht="42" customHeight="1">
      <c r="A6643" s="4" t="s">
        <v>16193</v>
      </c>
      <c r="B6643" s="5" t="s">
        <v>16194</v>
      </c>
      <c r="C6643" s="5" t="s">
        <v>29</v>
      </c>
      <c r="D6643" s="5" t="s">
        <v>30</v>
      </c>
      <c r="E6643" s="5" t="s">
        <v>826</v>
      </c>
      <c r="F6643" s="9">
        <v>67</v>
      </c>
      <c r="G6643" s="9">
        <v>815</v>
      </c>
      <c r="H6643" s="5" t="s">
        <v>21</v>
      </c>
      <c r="I6643" s="5" t="s">
        <v>16195</v>
      </c>
      <c r="J6643" s="12" t="str">
        <f>HYPERLINK("https://www.boe.es/gazeta/dias/1802/08/17/pdfs/GMD-1802-67.pdf#page=3","Abrir facsímil")</f>
        <v>Abrir facsímil</v>
      </c>
      <c r="K6643" s="15" t="s">
        <v>23</v>
      </c>
    </row>
    <row r="6644" spans="1:11" ht="42" customHeight="1">
      <c r="A6644" s="4" t="s">
        <v>16196</v>
      </c>
      <c r="B6644" s="5" t="s">
        <v>16196</v>
      </c>
      <c r="C6644" s="5" t="s">
        <v>35</v>
      </c>
      <c r="D6644" s="5" t="s">
        <v>36</v>
      </c>
      <c r="E6644" s="5" t="s">
        <v>1264</v>
      </c>
      <c r="F6644" s="9">
        <v>105</v>
      </c>
      <c r="G6644" s="9">
        <v>1283</v>
      </c>
      <c r="H6644" s="5" t="s">
        <v>21</v>
      </c>
      <c r="I6644" s="5" t="s">
        <v>16197</v>
      </c>
      <c r="J6644" s="12" t="str">
        <f>HYPERLINK("https://www.boe.es/gazeta/dias/1802/12/28/pdfs/GMD-1802-105.pdf#page=7","Abrir facsímil")</f>
        <v>Abrir facsímil</v>
      </c>
      <c r="K6644" s="15" t="s">
        <v>23</v>
      </c>
    </row>
    <row r="6645" spans="1:11" ht="42" customHeight="1">
      <c r="A6645" s="4" t="s">
        <v>16198</v>
      </c>
      <c r="B6645" s="5" t="s">
        <v>16199</v>
      </c>
      <c r="C6645" s="5" t="s">
        <v>35</v>
      </c>
      <c r="D6645" s="5" t="s">
        <v>36</v>
      </c>
      <c r="E6645" s="5" t="s">
        <v>175</v>
      </c>
      <c r="F6645" s="9">
        <v>37</v>
      </c>
      <c r="G6645" s="9">
        <v>435</v>
      </c>
      <c r="H6645" s="5" t="s">
        <v>21</v>
      </c>
      <c r="I6645" s="5" t="s">
        <v>16200</v>
      </c>
      <c r="J6645" s="12" t="str">
        <f>HYPERLINK("https://www.boe.es/gazeta/dias/1802/05/07/pdfs/GMD-1802-37.pdf#page=3","Abrir facsímil")</f>
        <v>Abrir facsímil</v>
      </c>
      <c r="K6645" s="15" t="s">
        <v>23</v>
      </c>
    </row>
    <row r="6646" spans="1:11" ht="42" customHeight="1">
      <c r="A6646" s="4" t="s">
        <v>16201</v>
      </c>
      <c r="B6646" s="5" t="s">
        <v>16202</v>
      </c>
      <c r="C6646" s="5" t="s">
        <v>29</v>
      </c>
      <c r="D6646" s="5" t="s">
        <v>30</v>
      </c>
      <c r="E6646" s="5" t="s">
        <v>114</v>
      </c>
      <c r="F6646" s="9">
        <v>82</v>
      </c>
      <c r="G6646" s="9">
        <v>1005</v>
      </c>
      <c r="H6646" s="5" t="s">
        <v>21</v>
      </c>
      <c r="I6646" s="5" t="s">
        <v>16203</v>
      </c>
      <c r="J6646" s="12" t="str">
        <f>HYPERLINK("https://www.boe.es/gazeta/dias/1802/10/08/pdfs/GMD-1802-82.pdf#page=5","Abrir facsímil")</f>
        <v>Abrir facsímil</v>
      </c>
      <c r="K6646" s="15" t="s">
        <v>23</v>
      </c>
    </row>
    <row r="6647" spans="1:11" ht="42" customHeight="1">
      <c r="A6647" s="4" t="s">
        <v>16204</v>
      </c>
      <c r="B6647" s="5" t="s">
        <v>16204</v>
      </c>
      <c r="C6647" s="5" t="s">
        <v>35</v>
      </c>
      <c r="D6647" s="5" t="s">
        <v>36</v>
      </c>
      <c r="E6647" s="5" t="s">
        <v>1332</v>
      </c>
      <c r="F6647" s="9">
        <v>4</v>
      </c>
      <c r="G6647" s="9">
        <v>29</v>
      </c>
      <c r="H6647" s="5" t="s">
        <v>21</v>
      </c>
      <c r="I6647" s="5" t="s">
        <v>16205</v>
      </c>
      <c r="J6647" s="12" t="str">
        <f>HYPERLINK("https://www.boe.es/gazeta/dias/1802/01/12/pdfs/GMD-1802-4.pdf#page=1","Abrir facsímil")</f>
        <v>Abrir facsímil</v>
      </c>
      <c r="K6647" s="15" t="s">
        <v>23</v>
      </c>
    </row>
    <row r="6648" spans="1:11" ht="42" customHeight="1">
      <c r="A6648" s="4" t="s">
        <v>16206</v>
      </c>
      <c r="B6648" s="5" t="s">
        <v>16206</v>
      </c>
      <c r="C6648" s="5" t="s">
        <v>35</v>
      </c>
      <c r="D6648" s="5" t="s">
        <v>36</v>
      </c>
      <c r="E6648" s="5" t="s">
        <v>339</v>
      </c>
      <c r="F6648" s="9">
        <v>39</v>
      </c>
      <c r="G6648" s="9">
        <v>458</v>
      </c>
      <c r="H6648" s="5" t="s">
        <v>21</v>
      </c>
      <c r="I6648" s="5" t="s">
        <v>16207</v>
      </c>
      <c r="J6648" s="12" t="str">
        <f>HYPERLINK("https://www.boe.es/gazeta/dias/1802/05/14/pdfs/GMD-1802-39.pdf#page=2","Abrir facsímil")</f>
        <v>Abrir facsímil</v>
      </c>
      <c r="K6648" s="15" t="s">
        <v>23</v>
      </c>
    </row>
    <row r="6649" spans="1:11" ht="42" customHeight="1">
      <c r="A6649" s="4" t="s">
        <v>16206</v>
      </c>
      <c r="B6649" s="5" t="s">
        <v>16206</v>
      </c>
      <c r="C6649" s="5" t="s">
        <v>29</v>
      </c>
      <c r="D6649" s="5" t="s">
        <v>30</v>
      </c>
      <c r="E6649" s="5" t="s">
        <v>339</v>
      </c>
      <c r="F6649" s="9">
        <v>39</v>
      </c>
      <c r="G6649" s="9">
        <v>462</v>
      </c>
      <c r="H6649" s="5" t="s">
        <v>21</v>
      </c>
      <c r="I6649" s="5" t="s">
        <v>16208</v>
      </c>
      <c r="J6649" s="12" t="str">
        <f>HYPERLINK("https://www.boe.es/gazeta/dias/1802/05/14/pdfs/GMD-1802-39.pdf#page=6","Abrir facsímil")</f>
        <v>Abrir facsímil</v>
      </c>
      <c r="K6649" s="15" t="s">
        <v>23</v>
      </c>
    </row>
    <row r="6650" spans="1:11" ht="42" customHeight="1">
      <c r="A6650" s="4" t="s">
        <v>16206</v>
      </c>
      <c r="B6650" s="5" t="s">
        <v>16206</v>
      </c>
      <c r="C6650" s="5" t="s">
        <v>35</v>
      </c>
      <c r="D6650" s="5" t="s">
        <v>36</v>
      </c>
      <c r="E6650" s="5" t="s">
        <v>328</v>
      </c>
      <c r="F6650" s="9">
        <v>45</v>
      </c>
      <c r="G6650" s="9">
        <v>537</v>
      </c>
      <c r="H6650" s="5" t="s">
        <v>21</v>
      </c>
      <c r="I6650" s="5" t="s">
        <v>16209</v>
      </c>
      <c r="J6650" s="12" t="str">
        <f>HYPERLINK("https://www.boe.es/gazeta/dias/1802/06/04/pdfs/GMD-1802-45.pdf#page=1","Abrir facsímil")</f>
        <v>Abrir facsímil</v>
      </c>
      <c r="K6650" s="15" t="s">
        <v>23</v>
      </c>
    </row>
    <row r="6651" spans="1:11" ht="42" customHeight="1">
      <c r="A6651" s="4" t="s">
        <v>16210</v>
      </c>
      <c r="B6651" s="5" t="s">
        <v>16211</v>
      </c>
      <c r="C6651" s="5" t="s">
        <v>35</v>
      </c>
      <c r="D6651" s="5" t="s">
        <v>36</v>
      </c>
      <c r="E6651" s="5" t="s">
        <v>530</v>
      </c>
      <c r="F6651" s="9">
        <v>48</v>
      </c>
      <c r="G6651" s="9">
        <v>577</v>
      </c>
      <c r="H6651" s="5" t="s">
        <v>21</v>
      </c>
      <c r="I6651" s="5" t="s">
        <v>16212</v>
      </c>
      <c r="J6651" s="12" t="str">
        <f>HYPERLINK("https://www.boe.es/gazeta/dias/1802/06/15/pdfs/GMD-1802-48.pdf#page=1","Abrir facsímil")</f>
        <v>Abrir facsímil</v>
      </c>
      <c r="K6651" s="15" t="s">
        <v>23</v>
      </c>
    </row>
    <row r="6652" spans="1:11" ht="42" customHeight="1">
      <c r="A6652" s="4" t="s">
        <v>16213</v>
      </c>
      <c r="B6652" s="5" t="s">
        <v>16214</v>
      </c>
      <c r="C6652" s="5" t="s">
        <v>18</v>
      </c>
      <c r="D6652" s="5" t="s">
        <v>19</v>
      </c>
      <c r="E6652" s="5" t="s">
        <v>1097</v>
      </c>
      <c r="F6652" s="9">
        <v>20</v>
      </c>
      <c r="G6652" s="9">
        <v>216</v>
      </c>
      <c r="H6652" s="5" t="s">
        <v>21</v>
      </c>
      <c r="I6652" s="5" t="s">
        <v>16215</v>
      </c>
      <c r="J6652" s="12" t="str">
        <f>HYPERLINK("https://www.boe.es/gazeta/dias/1802/03/09/pdfs/GMD-1802-20.pdf#page=4","Abrir facsímil")</f>
        <v>Abrir facsímil</v>
      </c>
      <c r="K6652" s="15" t="s">
        <v>23</v>
      </c>
    </row>
    <row r="6653" spans="1:11" ht="42" customHeight="1">
      <c r="A6653" s="4" t="s">
        <v>16216</v>
      </c>
      <c r="B6653" s="5" t="s">
        <v>16216</v>
      </c>
      <c r="C6653" s="5" t="s">
        <v>29</v>
      </c>
      <c r="D6653" s="5" t="s">
        <v>30</v>
      </c>
      <c r="E6653" s="5" t="s">
        <v>631</v>
      </c>
      <c r="F6653" s="9">
        <v>36</v>
      </c>
      <c r="G6653" s="9">
        <v>422</v>
      </c>
      <c r="H6653" s="5" t="s">
        <v>21</v>
      </c>
      <c r="I6653" s="5" t="s">
        <v>16217</v>
      </c>
      <c r="J6653" s="12" t="str">
        <f>HYPERLINK("https://www.boe.es/gazeta/dias/1802/05/04/pdfs/GMD-1802-36.pdf#page=2","Abrir facsímil")</f>
        <v>Abrir facsímil</v>
      </c>
      <c r="K6653" s="15" t="s">
        <v>23</v>
      </c>
    </row>
    <row r="6654" spans="1:11" ht="42" customHeight="1">
      <c r="A6654" s="4" t="s">
        <v>16216</v>
      </c>
      <c r="B6654" s="5" t="s">
        <v>16216</v>
      </c>
      <c r="C6654" s="5" t="s">
        <v>35</v>
      </c>
      <c r="D6654" s="5" t="s">
        <v>36</v>
      </c>
      <c r="E6654" s="5" t="s">
        <v>481</v>
      </c>
      <c r="F6654" s="9">
        <v>79</v>
      </c>
      <c r="G6654" s="9">
        <v>965</v>
      </c>
      <c r="H6654" s="5" t="s">
        <v>21</v>
      </c>
      <c r="I6654" s="5" t="s">
        <v>16218</v>
      </c>
      <c r="J6654" s="12" t="str">
        <f>HYPERLINK("https://www.boe.es/gazeta/dias/1802/09/28/pdfs/GMD-1802-79.pdf#page=1","Abrir facsímil")</f>
        <v>Abrir facsímil</v>
      </c>
      <c r="K6654" s="15" t="s">
        <v>23</v>
      </c>
    </row>
    <row r="6655" spans="1:11" ht="42" customHeight="1">
      <c r="A6655" s="4" t="s">
        <v>16219</v>
      </c>
      <c r="B6655" s="5" t="s">
        <v>16220</v>
      </c>
      <c r="C6655" s="5" t="s">
        <v>90</v>
      </c>
      <c r="D6655" s="5" t="s">
        <v>91</v>
      </c>
      <c r="E6655" s="5" t="s">
        <v>188</v>
      </c>
      <c r="F6655" s="9">
        <v>49</v>
      </c>
      <c r="G6655" s="9">
        <v>591</v>
      </c>
      <c r="H6655" s="5" t="s">
        <v>21</v>
      </c>
      <c r="I6655" s="5" t="s">
        <v>16221</v>
      </c>
      <c r="J6655" s="12" t="str">
        <f>HYPERLINK("https://www.boe.es/gazeta/dias/1802/06/18/pdfs/GMD-1802-49.pdf#page=3","Abrir facsímil")</f>
        <v>Abrir facsímil</v>
      </c>
      <c r="K6655" s="15" t="s">
        <v>23</v>
      </c>
    </row>
    <row r="6656" spans="1:11" ht="42" customHeight="1">
      <c r="A6656" s="4" t="s">
        <v>16222</v>
      </c>
      <c r="B6656" s="5" t="s">
        <v>16223</v>
      </c>
      <c r="C6656" s="5" t="s">
        <v>35</v>
      </c>
      <c r="D6656" s="5" t="s">
        <v>36</v>
      </c>
      <c r="E6656" s="5" t="s">
        <v>631</v>
      </c>
      <c r="F6656" s="9">
        <v>36</v>
      </c>
      <c r="G6656" s="9">
        <v>421</v>
      </c>
      <c r="H6656" s="5" t="s">
        <v>21</v>
      </c>
      <c r="I6656" s="5" t="s">
        <v>16224</v>
      </c>
      <c r="J6656" s="12" t="str">
        <f>HYPERLINK("https://www.boe.es/gazeta/dias/1802/05/04/pdfs/GMD-1802-36.pdf#page=1","Abrir facsímil")</f>
        <v>Abrir facsímil</v>
      </c>
      <c r="K6656" s="15" t="s">
        <v>23</v>
      </c>
    </row>
    <row r="6657" spans="1:11" ht="42" customHeight="1">
      <c r="A6657" s="4" t="s">
        <v>16222</v>
      </c>
      <c r="B6657" s="5" t="s">
        <v>16223</v>
      </c>
      <c r="C6657" s="5" t="s">
        <v>35</v>
      </c>
      <c r="D6657" s="5" t="s">
        <v>36</v>
      </c>
      <c r="E6657" s="5" t="s">
        <v>325</v>
      </c>
      <c r="F6657" s="9">
        <v>90</v>
      </c>
      <c r="G6657" s="9">
        <v>1109</v>
      </c>
      <c r="H6657" s="5" t="s">
        <v>21</v>
      </c>
      <c r="I6657" s="5" t="s">
        <v>16225</v>
      </c>
      <c r="J6657" s="12" t="str">
        <f>HYPERLINK("https://www.boe.es/gazeta/dias/1802/11/05/pdfs/GMD-1802-90.pdf#page=1","Abrir facsímil")</f>
        <v>Abrir facsímil</v>
      </c>
      <c r="K6657" s="15" t="s">
        <v>23</v>
      </c>
    </row>
    <row r="6658" spans="1:11" ht="42" customHeight="1">
      <c r="A6658" s="4" t="s">
        <v>16226</v>
      </c>
      <c r="B6658" s="5" t="s">
        <v>16227</v>
      </c>
      <c r="C6658" s="5" t="s">
        <v>18</v>
      </c>
      <c r="D6658" s="5" t="s">
        <v>19</v>
      </c>
      <c r="E6658" s="5" t="s">
        <v>443</v>
      </c>
      <c r="F6658" s="9">
        <v>78</v>
      </c>
      <c r="G6658" s="9">
        <v>963</v>
      </c>
      <c r="H6658" s="5" t="s">
        <v>21</v>
      </c>
      <c r="I6658" s="5" t="s">
        <v>16228</v>
      </c>
      <c r="J6658" s="12" t="str">
        <f>HYPERLINK("https://www.boe.es/gazeta/dias/1802/09/24/pdfs/GMD-1802-78.pdf#page=11","Abrir facsímil")</f>
        <v>Abrir facsímil</v>
      </c>
      <c r="K6658" s="15" t="s">
        <v>23</v>
      </c>
    </row>
    <row r="6659" spans="1:11" ht="42" customHeight="1">
      <c r="A6659" s="4" t="s">
        <v>16229</v>
      </c>
      <c r="B6659" s="5" t="s">
        <v>16230</v>
      </c>
      <c r="C6659" s="5" t="s">
        <v>90</v>
      </c>
      <c r="D6659" s="5" t="s">
        <v>91</v>
      </c>
      <c r="E6659" s="5" t="s">
        <v>900</v>
      </c>
      <c r="F6659" s="9">
        <v>16</v>
      </c>
      <c r="G6659" s="9">
        <v>169</v>
      </c>
      <c r="H6659" s="5" t="s">
        <v>21</v>
      </c>
      <c r="I6659" s="5" t="s">
        <v>16231</v>
      </c>
      <c r="J6659" s="12" t="str">
        <f>HYPERLINK("https://www.boe.es/gazeta/dias/1802/02/23/pdfs/GMD-1802-16.pdf#page=9","Abrir facsímil")</f>
        <v>Abrir facsímil</v>
      </c>
      <c r="K6659" s="15" t="s">
        <v>23</v>
      </c>
    </row>
    <row r="6660" spans="1:11" ht="42" customHeight="1">
      <c r="A6660" s="4" t="s">
        <v>16232</v>
      </c>
      <c r="B6660" s="5" t="s">
        <v>16233</v>
      </c>
      <c r="C6660" s="5" t="s">
        <v>42</v>
      </c>
      <c r="D6660" s="5" t="s">
        <v>43</v>
      </c>
      <c r="E6660" s="5" t="s">
        <v>44</v>
      </c>
      <c r="F6660" s="9">
        <v>99</v>
      </c>
      <c r="G6660" s="9" t="s">
        <v>544</v>
      </c>
      <c r="H6660" s="5" t="s">
        <v>21</v>
      </c>
      <c r="I6660" s="5" t="s">
        <v>16234</v>
      </c>
      <c r="J6660" s="12" t="str">
        <f>HYPERLINK("https://www.boe.es/gazeta/dias/1802/12/07/pdfs/GMD-D-1802-99.pdf#page=11","Abrir facsímil")</f>
        <v>Abrir facsímil</v>
      </c>
      <c r="K6660" s="15" t="s">
        <v>23</v>
      </c>
    </row>
    <row r="6661" spans="1:11" ht="42" customHeight="1">
      <c r="A6661" s="4" t="s">
        <v>16235</v>
      </c>
      <c r="B6661" s="5" t="s">
        <v>16236</v>
      </c>
      <c r="C6661" s="5" t="s">
        <v>42</v>
      </c>
      <c r="D6661" s="5" t="s">
        <v>43</v>
      </c>
      <c r="E6661" s="5" t="s">
        <v>44</v>
      </c>
      <c r="F6661" s="9">
        <v>99</v>
      </c>
      <c r="G6661" s="9" t="s">
        <v>314</v>
      </c>
      <c r="H6661" s="5" t="s">
        <v>21</v>
      </c>
      <c r="I6661" s="5" t="s">
        <v>16237</v>
      </c>
      <c r="J6661" s="12" t="str">
        <f>HYPERLINK("https://www.boe.es/gazeta/dias/1802/12/07/pdfs/GMD-D-1802-99.pdf#page=2","Abrir facsímil")</f>
        <v>Abrir facsímil</v>
      </c>
      <c r="K6661" s="15" t="s">
        <v>23</v>
      </c>
    </row>
    <row r="6662" spans="1:11" ht="42" customHeight="1">
      <c r="A6662" s="4" t="s">
        <v>16238</v>
      </c>
      <c r="B6662" s="5" t="s">
        <v>16239</v>
      </c>
      <c r="C6662" s="5" t="s">
        <v>42</v>
      </c>
      <c r="D6662" s="5" t="s">
        <v>43</v>
      </c>
      <c r="E6662" s="5" t="s">
        <v>44</v>
      </c>
      <c r="F6662" s="9">
        <v>99</v>
      </c>
      <c r="G6662" s="9" t="s">
        <v>78</v>
      </c>
      <c r="H6662" s="5" t="s">
        <v>21</v>
      </c>
      <c r="I6662" s="5" t="s">
        <v>16240</v>
      </c>
      <c r="J6662" s="12" t="str">
        <f>HYPERLINK("https://www.boe.es/gazeta/dias/1802/12/07/pdfs/GMD-D-1802-99.pdf#page=15","Abrir facsímil")</f>
        <v>Abrir facsímil</v>
      </c>
      <c r="K6662" s="15" t="s">
        <v>23</v>
      </c>
    </row>
    <row r="6663" spans="1:11" ht="42" customHeight="1">
      <c r="A6663" s="4" t="s">
        <v>16241</v>
      </c>
      <c r="B6663" s="5" t="s">
        <v>16242</v>
      </c>
      <c r="C6663" s="5" t="s">
        <v>18</v>
      </c>
      <c r="D6663" s="5" t="s">
        <v>19</v>
      </c>
      <c r="E6663" s="5" t="s">
        <v>183</v>
      </c>
      <c r="F6663" s="9">
        <v>56</v>
      </c>
      <c r="G6663" s="9">
        <v>679</v>
      </c>
      <c r="H6663" s="5" t="s">
        <v>21</v>
      </c>
      <c r="I6663" s="5" t="s">
        <v>16243</v>
      </c>
      <c r="J6663" s="12" t="str">
        <f>HYPERLINK("https://www.boe.es/gazeta/dias/1802/07/13/pdfs/GMD-1802-56.pdf#page=11","Abrir facsímil")</f>
        <v>Abrir facsímil</v>
      </c>
      <c r="K6663" s="15" t="s">
        <v>23</v>
      </c>
    </row>
    <row r="6664" spans="1:11" ht="42" customHeight="1">
      <c r="A6664" s="4" t="s">
        <v>16244</v>
      </c>
      <c r="B6664" s="5" t="s">
        <v>16245</v>
      </c>
      <c r="C6664" s="5" t="s">
        <v>29</v>
      </c>
      <c r="D6664" s="5" t="s">
        <v>30</v>
      </c>
      <c r="E6664" s="5" t="s">
        <v>635</v>
      </c>
      <c r="F6664" s="9">
        <v>47</v>
      </c>
      <c r="G6664" s="9">
        <v>573</v>
      </c>
      <c r="H6664" s="5" t="s">
        <v>21</v>
      </c>
      <c r="I6664" s="5" t="s">
        <v>16246</v>
      </c>
      <c r="J6664" s="12" t="str">
        <f>HYPERLINK("https://www.boe.es/gazeta/dias/1802/06/11/pdfs/GMD-1802-47.pdf#page=9","Abrir facsímil")</f>
        <v>Abrir facsímil</v>
      </c>
      <c r="K6664" s="15" t="s">
        <v>23</v>
      </c>
    </row>
    <row r="6665" spans="1:11" ht="42" customHeight="1">
      <c r="A6665" s="4" t="s">
        <v>16247</v>
      </c>
      <c r="B6665" s="5" t="s">
        <v>16248</v>
      </c>
      <c r="C6665" s="5" t="s">
        <v>35</v>
      </c>
      <c r="D6665" s="5" t="s">
        <v>36</v>
      </c>
      <c r="E6665" s="5" t="s">
        <v>642</v>
      </c>
      <c r="F6665" s="9">
        <v>51</v>
      </c>
      <c r="G6665" s="9">
        <v>617</v>
      </c>
      <c r="H6665" s="5" t="s">
        <v>21</v>
      </c>
      <c r="I6665" s="5" t="s">
        <v>16249</v>
      </c>
      <c r="J6665" s="12" t="str">
        <f>HYPERLINK("https://www.boe.es/gazeta/dias/1802/06/25/pdfs/GMD-1802-51.pdf#page=5","Abrir facsímil")</f>
        <v>Abrir facsímil</v>
      </c>
      <c r="K6665" s="15" t="s">
        <v>23</v>
      </c>
    </row>
    <row r="6666" spans="1:11" ht="42" customHeight="1">
      <c r="A6666" s="4" t="s">
        <v>16250</v>
      </c>
      <c r="B6666" s="5" t="s">
        <v>16251</v>
      </c>
      <c r="C6666" s="5" t="s">
        <v>18</v>
      </c>
      <c r="D6666" s="5" t="s">
        <v>19</v>
      </c>
      <c r="E6666" s="5" t="s">
        <v>900</v>
      </c>
      <c r="F6666" s="9">
        <v>16</v>
      </c>
      <c r="G6666" s="9">
        <v>169</v>
      </c>
      <c r="H6666" s="5" t="s">
        <v>21</v>
      </c>
      <c r="I6666" s="5" t="s">
        <v>16252</v>
      </c>
      <c r="J6666" s="12" t="str">
        <f>HYPERLINK("https://www.boe.es/gazeta/dias/1802/02/23/pdfs/GMD-1802-16.pdf#page=9","Abrir facsímil")</f>
        <v>Abrir facsímil</v>
      </c>
      <c r="K6666" s="15" t="s">
        <v>23</v>
      </c>
    </row>
    <row r="6667" spans="1:11" ht="42" customHeight="1">
      <c r="A6667" s="4" t="s">
        <v>16253</v>
      </c>
      <c r="B6667" s="5" t="s">
        <v>16253</v>
      </c>
      <c r="C6667" s="5" t="s">
        <v>29</v>
      </c>
      <c r="D6667" s="5" t="s">
        <v>30</v>
      </c>
      <c r="E6667" s="5" t="s">
        <v>299</v>
      </c>
      <c r="F6667" s="9">
        <v>19</v>
      </c>
      <c r="G6667" s="9">
        <v>212</v>
      </c>
      <c r="H6667" s="5" t="s">
        <v>21</v>
      </c>
      <c r="I6667" s="5" t="s">
        <v>16254</v>
      </c>
      <c r="J6667" s="12" t="str">
        <f>HYPERLINK("https://www.boe.es/gazeta/dias/1802/03/05/pdfs/GMD-1802-19.pdf#page=12","Abrir facsímil")</f>
        <v>Abrir facsímil</v>
      </c>
      <c r="K6667" s="15" t="s">
        <v>23</v>
      </c>
    </row>
    <row r="6668" spans="1:11" ht="42" customHeight="1">
      <c r="A6668" s="4" t="s">
        <v>16255</v>
      </c>
      <c r="B6668" s="5" t="s">
        <v>16255</v>
      </c>
      <c r="C6668" s="5" t="s">
        <v>18</v>
      </c>
      <c r="D6668" s="5" t="s">
        <v>19</v>
      </c>
      <c r="E6668" s="5" t="s">
        <v>1749</v>
      </c>
      <c r="F6668" s="9">
        <v>60</v>
      </c>
      <c r="G6668" s="9">
        <v>717</v>
      </c>
      <c r="H6668" s="5" t="s">
        <v>21</v>
      </c>
      <c r="I6668" s="5" t="s">
        <v>16256</v>
      </c>
      <c r="J6668" s="12" t="str">
        <f>HYPERLINK("https://www.boe.es/gazeta/dias/1802/07/23/pdfs/GMD-1802-60.pdf#page=1","Abrir facsímil")</f>
        <v>Abrir facsímil</v>
      </c>
      <c r="K6668" s="15" t="s">
        <v>23</v>
      </c>
    </row>
    <row r="6669" spans="1:11" ht="42" customHeight="1">
      <c r="A6669" s="4" t="s">
        <v>16257</v>
      </c>
      <c r="B6669" s="5" t="s">
        <v>16257</v>
      </c>
      <c r="C6669" s="5" t="s">
        <v>18</v>
      </c>
      <c r="D6669" s="5" t="s">
        <v>19</v>
      </c>
      <c r="E6669" s="5" t="s">
        <v>1749</v>
      </c>
      <c r="F6669" s="9">
        <v>60</v>
      </c>
      <c r="G6669" s="9">
        <v>717</v>
      </c>
      <c r="H6669" s="5" t="s">
        <v>21</v>
      </c>
      <c r="I6669" s="5" t="s">
        <v>16258</v>
      </c>
      <c r="J6669" s="12" t="str">
        <f>HYPERLINK("https://www.boe.es/gazeta/dias/1802/07/23/pdfs/GMD-1802-60.pdf#page=1","Abrir facsímil")</f>
        <v>Abrir facsímil</v>
      </c>
      <c r="K6669" s="15" t="s">
        <v>23</v>
      </c>
    </row>
    <row r="6670" spans="1:11" ht="42" customHeight="1">
      <c r="A6670" s="4" t="s">
        <v>16259</v>
      </c>
      <c r="B6670" s="5" t="s">
        <v>16260</v>
      </c>
      <c r="C6670" s="5" t="s">
        <v>18</v>
      </c>
      <c r="D6670" s="5" t="s">
        <v>19</v>
      </c>
      <c r="E6670" s="5" t="s">
        <v>332</v>
      </c>
      <c r="F6670" s="9">
        <v>24</v>
      </c>
      <c r="G6670" s="9">
        <v>276</v>
      </c>
      <c r="H6670" s="5" t="s">
        <v>21</v>
      </c>
      <c r="I6670" s="5" t="s">
        <v>16261</v>
      </c>
      <c r="J6670" s="12" t="str">
        <f>HYPERLINK("https://www.boe.es/gazeta/dias/1802/03/23/pdfs/GMD-1802-24.pdf#page=12","Abrir facsímil")</f>
        <v>Abrir facsímil</v>
      </c>
      <c r="K6670" s="15" t="s">
        <v>23</v>
      </c>
    </row>
    <row r="6671" spans="1:11" ht="42" customHeight="1">
      <c r="A6671" s="4" t="s">
        <v>16262</v>
      </c>
      <c r="B6671" s="5" t="s">
        <v>16263</v>
      </c>
      <c r="C6671" s="5" t="s">
        <v>55</v>
      </c>
      <c r="D6671" s="5" t="s">
        <v>56</v>
      </c>
      <c r="E6671" s="5" t="s">
        <v>517</v>
      </c>
      <c r="F6671" s="9">
        <v>61</v>
      </c>
      <c r="G6671" s="9">
        <v>733</v>
      </c>
      <c r="H6671" s="5" t="s">
        <v>21</v>
      </c>
      <c r="I6671" s="5" t="s">
        <v>16264</v>
      </c>
      <c r="J6671" s="12" t="str">
        <f>HYPERLINK("https://www.boe.es/gazeta/dias/1802/07/27/pdfs/GMD-1802-61.pdf#page=1","Abrir facsímil")</f>
        <v>Abrir facsímil</v>
      </c>
      <c r="K6671" s="15" t="s">
        <v>23</v>
      </c>
    </row>
    <row r="6672" spans="1:11" ht="42" customHeight="1">
      <c r="A6672" s="4" t="s">
        <v>16265</v>
      </c>
      <c r="B6672" s="5" t="s">
        <v>16266</v>
      </c>
      <c r="C6672" s="5" t="s">
        <v>35</v>
      </c>
      <c r="D6672" s="5" t="s">
        <v>36</v>
      </c>
      <c r="E6672" s="5" t="s">
        <v>325</v>
      </c>
      <c r="F6672" s="9">
        <v>90</v>
      </c>
      <c r="G6672" s="9">
        <v>1109</v>
      </c>
      <c r="H6672" s="5" t="s">
        <v>21</v>
      </c>
      <c r="I6672" s="5" t="s">
        <v>16267</v>
      </c>
      <c r="J6672" s="12" t="str">
        <f>HYPERLINK("https://www.boe.es/gazeta/dias/1802/11/05/pdfs/GMD-1802-90.pdf#page=1","Abrir facsímil")</f>
        <v>Abrir facsímil</v>
      </c>
      <c r="K6672" s="15" t="s">
        <v>23</v>
      </c>
    </row>
    <row r="6673" spans="1:11" ht="42" customHeight="1">
      <c r="A6673" s="4" t="s">
        <v>16268</v>
      </c>
      <c r="B6673" s="5" t="s">
        <v>16269</v>
      </c>
      <c r="C6673" s="5" t="s">
        <v>35</v>
      </c>
      <c r="D6673" s="5" t="s">
        <v>36</v>
      </c>
      <c r="E6673" s="5" t="s">
        <v>258</v>
      </c>
      <c r="F6673" s="9">
        <v>63</v>
      </c>
      <c r="G6673" s="9">
        <v>763</v>
      </c>
      <c r="H6673" s="5" t="s">
        <v>21</v>
      </c>
      <c r="I6673" s="5" t="s">
        <v>16270</v>
      </c>
      <c r="J6673" s="12" t="str">
        <f>HYPERLINK("https://www.boe.es/gazeta/dias/1802/08/03/pdfs/GMD-1802-63.pdf#page=3","Abrir facsímil")</f>
        <v>Abrir facsímil</v>
      </c>
      <c r="K6673" s="15" t="s">
        <v>23</v>
      </c>
    </row>
    <row r="6674" spans="1:11" ht="42" customHeight="1">
      <c r="A6674" s="4" t="s">
        <v>16271</v>
      </c>
      <c r="B6674" s="5" t="s">
        <v>16272</v>
      </c>
      <c r="C6674" s="5" t="s">
        <v>29</v>
      </c>
      <c r="D6674" s="5" t="s">
        <v>30</v>
      </c>
      <c r="E6674" s="5" t="s">
        <v>44</v>
      </c>
      <c r="F6674" s="9">
        <v>99</v>
      </c>
      <c r="G6674" s="9">
        <v>1218</v>
      </c>
      <c r="H6674" s="5" t="s">
        <v>21</v>
      </c>
      <c r="I6674" s="5" t="s">
        <v>16273</v>
      </c>
      <c r="J6674" s="12" t="str">
        <f>HYPERLINK("https://www.boe.es/gazeta/dias/1802/12/07/pdfs/GMD-1802-99.pdf#page=2","Abrir facsímil")</f>
        <v>Abrir facsímil</v>
      </c>
      <c r="K6674" s="15" t="s">
        <v>23</v>
      </c>
    </row>
    <row r="6675" spans="1:11" ht="42" customHeight="1">
      <c r="A6675" s="4" t="s">
        <v>16274</v>
      </c>
      <c r="B6675" s="5" t="s">
        <v>16275</v>
      </c>
      <c r="C6675" s="5" t="s">
        <v>35</v>
      </c>
      <c r="D6675" s="5" t="s">
        <v>36</v>
      </c>
      <c r="E6675" s="5" t="s">
        <v>826</v>
      </c>
      <c r="F6675" s="9">
        <v>67</v>
      </c>
      <c r="G6675" s="9">
        <v>813</v>
      </c>
      <c r="H6675" s="5" t="s">
        <v>21</v>
      </c>
      <c r="I6675" s="5" t="s">
        <v>16276</v>
      </c>
      <c r="J6675" s="12" t="str">
        <f>HYPERLINK("https://www.boe.es/gazeta/dias/1802/08/17/pdfs/GMD-1802-67.pdf#page=1","Abrir facsímil")</f>
        <v>Abrir facsímil</v>
      </c>
      <c r="K6675" s="15" t="s">
        <v>23</v>
      </c>
    </row>
    <row r="6676" spans="1:11" ht="42" customHeight="1">
      <c r="A6676" s="4" t="s">
        <v>16274</v>
      </c>
      <c r="B6676" s="5" t="s">
        <v>16275</v>
      </c>
      <c r="C6676" s="5" t="s">
        <v>35</v>
      </c>
      <c r="D6676" s="5" t="s">
        <v>36</v>
      </c>
      <c r="E6676" s="5" t="s">
        <v>311</v>
      </c>
      <c r="F6676" s="9">
        <v>88</v>
      </c>
      <c r="G6676" s="9">
        <v>1085</v>
      </c>
      <c r="H6676" s="5" t="s">
        <v>21</v>
      </c>
      <c r="I6676" s="5" t="s">
        <v>16277</v>
      </c>
      <c r="J6676" s="12" t="str">
        <f>HYPERLINK("https://www.boe.es/gazeta/dias/1802/10/29/pdfs/GMD-1802-88.pdf#page=1","Abrir facsímil")</f>
        <v>Abrir facsímil</v>
      </c>
      <c r="K6676" s="15" t="s">
        <v>23</v>
      </c>
    </row>
    <row r="6677" spans="1:11" ht="42" customHeight="1">
      <c r="A6677" s="4" t="s">
        <v>16278</v>
      </c>
      <c r="B6677" s="5" t="s">
        <v>16278</v>
      </c>
      <c r="C6677" s="5" t="s">
        <v>35</v>
      </c>
      <c r="D6677" s="5" t="s">
        <v>36</v>
      </c>
      <c r="E6677" s="5" t="s">
        <v>148</v>
      </c>
      <c r="F6677" s="9">
        <v>66</v>
      </c>
      <c r="G6677" s="9">
        <v>806</v>
      </c>
      <c r="H6677" s="5" t="s">
        <v>21</v>
      </c>
      <c r="I6677" s="5" t="s">
        <v>16279</v>
      </c>
      <c r="J6677" s="12" t="str">
        <f>HYPERLINK("https://www.boe.es/gazeta/dias/1802/08/13/pdfs/GMD-1802-66.pdf#page=10","Abrir facsímil")</f>
        <v>Abrir facsímil</v>
      </c>
      <c r="K6677" s="15" t="s">
        <v>23</v>
      </c>
    </row>
    <row r="6678" spans="1:11" ht="42" customHeight="1">
      <c r="A6678" s="4" t="s">
        <v>16280</v>
      </c>
      <c r="B6678" s="5" t="s">
        <v>16281</v>
      </c>
      <c r="C6678" s="5" t="s">
        <v>18</v>
      </c>
      <c r="D6678" s="5" t="s">
        <v>19</v>
      </c>
      <c r="E6678" s="5" t="s">
        <v>49</v>
      </c>
      <c r="F6678" s="9">
        <v>83</v>
      </c>
      <c r="G6678" s="9">
        <v>1021</v>
      </c>
      <c r="H6678" s="5" t="s">
        <v>21</v>
      </c>
      <c r="I6678" s="5" t="s">
        <v>16282</v>
      </c>
      <c r="J6678" s="12" t="str">
        <f>HYPERLINK("https://www.boe.es/gazeta/dias/1802/10/12/pdfs/GMD-1802-83.pdf#page=9","Abrir facsímil")</f>
        <v>Abrir facsímil</v>
      </c>
      <c r="K6678" s="15" t="s">
        <v>23</v>
      </c>
    </row>
    <row r="6679" spans="1:11" ht="42" customHeight="1">
      <c r="A6679" s="4" t="s">
        <v>16283</v>
      </c>
      <c r="B6679" s="5" t="s">
        <v>16284</v>
      </c>
      <c r="C6679" s="5" t="s">
        <v>55</v>
      </c>
      <c r="D6679" s="5" t="s">
        <v>56</v>
      </c>
      <c r="E6679" s="5" t="s">
        <v>196</v>
      </c>
      <c r="F6679" s="9">
        <v>2</v>
      </c>
      <c r="G6679" s="9">
        <v>17</v>
      </c>
      <c r="H6679" s="5" t="s">
        <v>21</v>
      </c>
      <c r="I6679" s="5" t="s">
        <v>16285</v>
      </c>
      <c r="J6679" s="12" t="str">
        <f>HYPERLINK("https://www.boe.es/gazeta/dias/1802/01/05/pdfs/GMD-1802-2.pdf#page=9","Abrir facsímil")</f>
        <v>Abrir facsímil</v>
      </c>
      <c r="K6679" s="15" t="s">
        <v>23</v>
      </c>
    </row>
    <row r="6680" spans="1:11" ht="42" customHeight="1">
      <c r="A6680" s="4" t="s">
        <v>16286</v>
      </c>
      <c r="B6680" s="5" t="s">
        <v>16287</v>
      </c>
      <c r="C6680" s="5" t="s">
        <v>18</v>
      </c>
      <c r="D6680" s="5" t="s">
        <v>19</v>
      </c>
      <c r="E6680" s="5" t="s">
        <v>196</v>
      </c>
      <c r="F6680" s="9">
        <v>2</v>
      </c>
      <c r="G6680" s="9">
        <v>17</v>
      </c>
      <c r="H6680" s="5" t="s">
        <v>21</v>
      </c>
      <c r="I6680" s="5" t="s">
        <v>16288</v>
      </c>
      <c r="J6680" s="12" t="str">
        <f>HYPERLINK("https://www.boe.es/gazeta/dias/1802/01/05/pdfs/GMD-1802-2.pdf#page=9","Abrir facsímil")</f>
        <v>Abrir facsímil</v>
      </c>
      <c r="K6680" s="15" t="s">
        <v>23</v>
      </c>
    </row>
    <row r="6681" spans="1:11" ht="42" customHeight="1">
      <c r="A6681" s="4" t="s">
        <v>16289</v>
      </c>
      <c r="B6681" s="5" t="s">
        <v>16290</v>
      </c>
      <c r="C6681" s="5" t="s">
        <v>18</v>
      </c>
      <c r="D6681" s="5" t="s">
        <v>19</v>
      </c>
      <c r="E6681" s="5" t="s">
        <v>49</v>
      </c>
      <c r="F6681" s="9">
        <v>83</v>
      </c>
      <c r="G6681" s="9">
        <v>1025</v>
      </c>
      <c r="H6681" s="5" t="s">
        <v>21</v>
      </c>
      <c r="I6681" s="5" t="s">
        <v>16291</v>
      </c>
      <c r="J6681" s="12" t="str">
        <f>HYPERLINK("https://www.boe.es/gazeta/dias/1802/10/12/pdfs/GMD-1802-83.pdf#page=13","Abrir facsímil")</f>
        <v>Abrir facsímil</v>
      </c>
      <c r="K6681" s="15" t="s">
        <v>23</v>
      </c>
    </row>
    <row r="6682" spans="1:11" ht="42" customHeight="1">
      <c r="A6682" s="4" t="s">
        <v>16292</v>
      </c>
      <c r="B6682" s="5" t="s">
        <v>16292</v>
      </c>
      <c r="C6682" s="5" t="s">
        <v>35</v>
      </c>
      <c r="D6682" s="5" t="s">
        <v>36</v>
      </c>
      <c r="E6682" s="5" t="s">
        <v>1588</v>
      </c>
      <c r="F6682" s="9">
        <v>18</v>
      </c>
      <c r="G6682" s="9">
        <v>194</v>
      </c>
      <c r="H6682" s="5" t="s">
        <v>21</v>
      </c>
      <c r="I6682" s="5" t="s">
        <v>16293</v>
      </c>
      <c r="J6682" s="12" t="str">
        <f>HYPERLINK("https://www.boe.es/gazeta/dias/1802/03/02/pdfs/GMD-1802-18.pdf#page=6","Abrir facsímil")</f>
        <v>Abrir facsímil</v>
      </c>
      <c r="K6682" s="15" t="s">
        <v>23</v>
      </c>
    </row>
    <row r="6683" spans="1:11" ht="42" customHeight="1">
      <c r="A6683" s="4" t="s">
        <v>16294</v>
      </c>
      <c r="B6683" s="5" t="s">
        <v>16295</v>
      </c>
      <c r="C6683" s="5" t="s">
        <v>29</v>
      </c>
      <c r="D6683" s="5" t="s">
        <v>30</v>
      </c>
      <c r="E6683" s="5" t="s">
        <v>20</v>
      </c>
      <c r="F6683" s="9">
        <v>84</v>
      </c>
      <c r="G6683" s="9">
        <v>1047</v>
      </c>
      <c r="H6683" s="5" t="s">
        <v>21</v>
      </c>
      <c r="I6683" s="5" t="s">
        <v>16296</v>
      </c>
      <c r="J6683" s="12" t="str">
        <f>HYPERLINK("https://www.boe.es/gazeta/dias/1802/10/15/pdfs/GMD-1802-84.pdf#page=15","Abrir facsímil")</f>
        <v>Abrir facsímil</v>
      </c>
      <c r="K6683" s="15" t="s">
        <v>23</v>
      </c>
    </row>
    <row r="6684" spans="1:11" ht="42" customHeight="1">
      <c r="A6684" s="4" t="s">
        <v>16297</v>
      </c>
      <c r="B6684" s="5" t="s">
        <v>16298</v>
      </c>
      <c r="C6684" s="5" t="s">
        <v>18</v>
      </c>
      <c r="D6684" s="5" t="s">
        <v>19</v>
      </c>
      <c r="E6684" s="5" t="s">
        <v>20</v>
      </c>
      <c r="F6684" s="9">
        <v>84</v>
      </c>
      <c r="G6684" s="9">
        <v>1043</v>
      </c>
      <c r="H6684" s="5" t="s">
        <v>21</v>
      </c>
      <c r="I6684" s="5" t="s">
        <v>16299</v>
      </c>
      <c r="J6684" s="12" t="str">
        <f>HYPERLINK("https://www.boe.es/gazeta/dias/1802/10/15/pdfs/GMD-1802-84.pdf#page=11","Abrir facsímil")</f>
        <v>Abrir facsímil</v>
      </c>
      <c r="K6684" s="15" t="s">
        <v>23</v>
      </c>
    </row>
    <row r="6685" spans="1:11" ht="42" customHeight="1">
      <c r="A6685" s="4" t="s">
        <v>16300</v>
      </c>
      <c r="B6685" s="5" t="s">
        <v>16301</v>
      </c>
      <c r="C6685" s="5" t="s">
        <v>18</v>
      </c>
      <c r="D6685" s="5" t="s">
        <v>19</v>
      </c>
      <c r="E6685" s="5" t="s">
        <v>604</v>
      </c>
      <c r="F6685" s="9">
        <v>100</v>
      </c>
      <c r="G6685" s="9">
        <v>1235</v>
      </c>
      <c r="H6685" s="5" t="s">
        <v>21</v>
      </c>
      <c r="I6685" s="5" t="s">
        <v>16302</v>
      </c>
      <c r="J6685" s="12" t="str">
        <f>HYPERLINK("https://www.boe.es/gazeta/dias/1802/12/10/pdfs/GMD-1802-100.pdf#page=7","Abrir facsímil")</f>
        <v>Abrir facsímil</v>
      </c>
      <c r="K6685" s="15" t="s">
        <v>23</v>
      </c>
    </row>
    <row r="6686" spans="1:11" ht="42" customHeight="1">
      <c r="A6686" s="4" t="s">
        <v>16303</v>
      </c>
      <c r="B6686" s="5" t="s">
        <v>16304</v>
      </c>
      <c r="C6686" s="5" t="s">
        <v>29</v>
      </c>
      <c r="D6686" s="5" t="s">
        <v>30</v>
      </c>
      <c r="E6686" s="5" t="s">
        <v>823</v>
      </c>
      <c r="F6686" s="9">
        <v>94</v>
      </c>
      <c r="G6686" s="9">
        <v>1156</v>
      </c>
      <c r="H6686" s="5" t="s">
        <v>21</v>
      </c>
      <c r="I6686" s="5" t="s">
        <v>16305</v>
      </c>
      <c r="J6686" s="12" t="str">
        <f>HYPERLINK("https://www.boe.es/gazeta/dias/1802/11/19/pdfs/GMD-1802-94.pdf#page=4","Abrir facsímil")</f>
        <v>Abrir facsímil</v>
      </c>
      <c r="K6686" s="15" t="s">
        <v>23</v>
      </c>
    </row>
    <row r="6687" spans="1:11" ht="42" customHeight="1">
      <c r="A6687" s="4" t="s">
        <v>16306</v>
      </c>
      <c r="B6687" s="5" t="s">
        <v>16307</v>
      </c>
      <c r="C6687" s="5" t="s">
        <v>29</v>
      </c>
      <c r="D6687" s="5" t="s">
        <v>30</v>
      </c>
      <c r="E6687" s="5" t="s">
        <v>196</v>
      </c>
      <c r="F6687" s="9">
        <v>2</v>
      </c>
      <c r="G6687" s="9">
        <v>17</v>
      </c>
      <c r="H6687" s="5" t="s">
        <v>21</v>
      </c>
      <c r="I6687" s="5" t="s">
        <v>16308</v>
      </c>
      <c r="J6687" s="12" t="str">
        <f>HYPERLINK("https://www.boe.es/gazeta/dias/1802/01/05/pdfs/GMD-1802-2.pdf#page=9","Abrir facsímil")</f>
        <v>Abrir facsímil</v>
      </c>
      <c r="K6687" s="15" t="s">
        <v>23</v>
      </c>
    </row>
    <row r="6688" spans="1:11" ht="42" customHeight="1">
      <c r="A6688" s="4" t="s">
        <v>16309</v>
      </c>
      <c r="B6688" s="5" t="s">
        <v>16309</v>
      </c>
      <c r="C6688" s="5" t="s">
        <v>35</v>
      </c>
      <c r="D6688" s="5" t="s">
        <v>36</v>
      </c>
      <c r="E6688" s="5" t="s">
        <v>706</v>
      </c>
      <c r="F6688" s="9">
        <v>80</v>
      </c>
      <c r="G6688" s="9">
        <v>981</v>
      </c>
      <c r="H6688" s="5" t="s">
        <v>21</v>
      </c>
      <c r="I6688" s="5" t="s">
        <v>16310</v>
      </c>
      <c r="J6688" s="12" t="str">
        <f>HYPERLINK("https://www.boe.es/gazeta/dias/1802/10/01/pdfs/GMD-1802-80.pdf#page=5","Abrir facsímil")</f>
        <v>Abrir facsímil</v>
      </c>
      <c r="K6688" s="15" t="s">
        <v>23</v>
      </c>
    </row>
    <row r="6689" spans="1:11" ht="42" customHeight="1">
      <c r="A6689" s="4" t="s">
        <v>16311</v>
      </c>
      <c r="B6689" s="5" t="s">
        <v>16311</v>
      </c>
      <c r="C6689" s="5" t="s">
        <v>35</v>
      </c>
      <c r="D6689" s="5" t="s">
        <v>36</v>
      </c>
      <c r="E6689" s="5" t="s">
        <v>92</v>
      </c>
      <c r="F6689" s="9">
        <v>29</v>
      </c>
      <c r="G6689" s="9">
        <v>334</v>
      </c>
      <c r="H6689" s="5" t="s">
        <v>21</v>
      </c>
      <c r="I6689" s="5" t="s">
        <v>16312</v>
      </c>
      <c r="J6689" s="12" t="str">
        <f>HYPERLINK("https://www.boe.es/gazeta/dias/1802/04/09/pdfs/GMD-1802-29.pdf#page=2","Abrir facsímil")</f>
        <v>Abrir facsímil</v>
      </c>
      <c r="K6689" s="15" t="s">
        <v>23</v>
      </c>
    </row>
    <row r="6690" spans="1:11" ht="42" customHeight="1">
      <c r="A6690" s="4" t="s">
        <v>16311</v>
      </c>
      <c r="B6690" s="5" t="s">
        <v>16311</v>
      </c>
      <c r="C6690" s="5" t="s">
        <v>18</v>
      </c>
      <c r="D6690" s="5" t="s">
        <v>19</v>
      </c>
      <c r="E6690" s="5" t="s">
        <v>1749</v>
      </c>
      <c r="F6690" s="9">
        <v>60</v>
      </c>
      <c r="G6690" s="9">
        <v>721</v>
      </c>
      <c r="H6690" s="5" t="s">
        <v>21</v>
      </c>
      <c r="I6690" s="5" t="s">
        <v>16313</v>
      </c>
      <c r="J6690" s="12" t="str">
        <f>HYPERLINK("https://www.boe.es/gazeta/dias/1802/07/23/pdfs/GMD-1802-60.pdf#page=5","Abrir facsímil")</f>
        <v>Abrir facsímil</v>
      </c>
      <c r="K6690" s="15" t="s">
        <v>23</v>
      </c>
    </row>
    <row r="6691" spans="1:11" ht="42" customHeight="1">
      <c r="A6691" s="4" t="s">
        <v>16311</v>
      </c>
      <c r="B6691" s="5" t="s">
        <v>16311</v>
      </c>
      <c r="C6691" s="5" t="s">
        <v>29</v>
      </c>
      <c r="D6691" s="5" t="s">
        <v>30</v>
      </c>
      <c r="E6691" s="5" t="s">
        <v>292</v>
      </c>
      <c r="F6691" s="9">
        <v>62</v>
      </c>
      <c r="G6691" s="9">
        <v>750</v>
      </c>
      <c r="H6691" s="5" t="s">
        <v>21</v>
      </c>
      <c r="I6691" s="5" t="s">
        <v>16314</v>
      </c>
      <c r="J6691" s="12" t="str">
        <f>HYPERLINK("https://www.boe.es/gazeta/dias/1802/07/30/pdfs/GMD-1802-62.pdf#page=6","Abrir facsímil")</f>
        <v>Abrir facsímil</v>
      </c>
      <c r="K6691" s="15" t="s">
        <v>23</v>
      </c>
    </row>
    <row r="6692" spans="1:11" ht="42" customHeight="1">
      <c r="A6692" s="4" t="s">
        <v>16311</v>
      </c>
      <c r="B6692" s="5" t="s">
        <v>16311</v>
      </c>
      <c r="C6692" s="5" t="s">
        <v>35</v>
      </c>
      <c r="D6692" s="5" t="s">
        <v>36</v>
      </c>
      <c r="E6692" s="5" t="s">
        <v>481</v>
      </c>
      <c r="F6692" s="9">
        <v>79</v>
      </c>
      <c r="G6692" s="9">
        <v>967</v>
      </c>
      <c r="H6692" s="5" t="s">
        <v>21</v>
      </c>
      <c r="I6692" s="5" t="s">
        <v>16315</v>
      </c>
      <c r="J6692" s="12" t="str">
        <f>HYPERLINK("https://www.boe.es/gazeta/dias/1802/09/28/pdfs/GMD-1802-79.pdf#page=3","Abrir facsímil")</f>
        <v>Abrir facsímil</v>
      </c>
      <c r="K6692" s="15" t="s">
        <v>23</v>
      </c>
    </row>
    <row r="6693" spans="1:11" ht="42" customHeight="1">
      <c r="A6693" s="4" t="s">
        <v>16311</v>
      </c>
      <c r="B6693" s="5" t="s">
        <v>16311</v>
      </c>
      <c r="C6693" s="5" t="s">
        <v>35</v>
      </c>
      <c r="D6693" s="5" t="s">
        <v>36</v>
      </c>
      <c r="E6693" s="5" t="s">
        <v>481</v>
      </c>
      <c r="F6693" s="9">
        <v>79</v>
      </c>
      <c r="G6693" s="9">
        <v>968</v>
      </c>
      <c r="H6693" s="5" t="s">
        <v>21</v>
      </c>
      <c r="I6693" s="5" t="s">
        <v>16316</v>
      </c>
      <c r="J6693" s="12" t="str">
        <f>HYPERLINK("https://www.boe.es/gazeta/dias/1802/09/28/pdfs/GMD-1802-79.pdf#page=4","Abrir facsímil")</f>
        <v>Abrir facsímil</v>
      </c>
      <c r="K6693" s="15" t="s">
        <v>23</v>
      </c>
    </row>
    <row r="6694" spans="1:11" ht="42" customHeight="1">
      <c r="A6694" s="4" t="s">
        <v>16311</v>
      </c>
      <c r="B6694" s="5" t="s">
        <v>16311</v>
      </c>
      <c r="C6694" s="5" t="s">
        <v>35</v>
      </c>
      <c r="D6694" s="5" t="s">
        <v>36</v>
      </c>
      <c r="E6694" s="5" t="s">
        <v>745</v>
      </c>
      <c r="F6694" s="9">
        <v>92</v>
      </c>
      <c r="G6694" s="9">
        <v>1134</v>
      </c>
      <c r="H6694" s="5" t="s">
        <v>21</v>
      </c>
      <c r="I6694" s="5" t="s">
        <v>16317</v>
      </c>
      <c r="J6694" s="12" t="str">
        <f>HYPERLINK("https://www.boe.es/gazeta/dias/1802/11/12/pdfs/GMD-1802-92.pdf#page=2","Abrir facsímil")</f>
        <v>Abrir facsímil</v>
      </c>
      <c r="K6694" s="15" t="s">
        <v>23</v>
      </c>
    </row>
    <row r="6695" spans="1:11" ht="42" customHeight="1">
      <c r="A6695" s="4" t="s">
        <v>16311</v>
      </c>
      <c r="B6695" s="5" t="s">
        <v>16311</v>
      </c>
      <c r="C6695" s="5" t="s">
        <v>29</v>
      </c>
      <c r="D6695" s="5" t="s">
        <v>30</v>
      </c>
      <c r="E6695" s="5" t="s">
        <v>749</v>
      </c>
      <c r="F6695" s="9">
        <v>97</v>
      </c>
      <c r="G6695" s="9">
        <v>1199</v>
      </c>
      <c r="H6695" s="5" t="s">
        <v>21</v>
      </c>
      <c r="I6695" s="5" t="s">
        <v>16318</v>
      </c>
      <c r="J6695" s="12" t="str">
        <f>HYPERLINK("https://www.boe.es/gazeta/dias/1802/11/30/pdfs/GMD-1802-97.pdf#page=7","Abrir facsímil")</f>
        <v>Abrir facsímil</v>
      </c>
      <c r="K6695" s="15" t="s">
        <v>23</v>
      </c>
    </row>
    <row r="6696" spans="1:11" ht="42" customHeight="1">
      <c r="A6696" s="4" t="s">
        <v>16311</v>
      </c>
      <c r="B6696" s="5" t="s">
        <v>16311</v>
      </c>
      <c r="C6696" s="5" t="s">
        <v>35</v>
      </c>
      <c r="D6696" s="5" t="s">
        <v>36</v>
      </c>
      <c r="E6696" s="5" t="s">
        <v>751</v>
      </c>
      <c r="F6696" s="9">
        <v>98</v>
      </c>
      <c r="G6696" s="9">
        <v>1205</v>
      </c>
      <c r="H6696" s="5" t="s">
        <v>21</v>
      </c>
      <c r="I6696" s="5" t="s">
        <v>16319</v>
      </c>
      <c r="J6696" s="12" t="str">
        <f>HYPERLINK("https://www.boe.es/gazeta/dias/1802/12/03/pdfs/GMD-1802-98.pdf#page=1","Abrir facsímil")</f>
        <v>Abrir facsímil</v>
      </c>
      <c r="K6696" s="15" t="s">
        <v>23</v>
      </c>
    </row>
    <row r="6697" spans="1:11" ht="42" customHeight="1">
      <c r="A6697" s="4" t="s">
        <v>16320</v>
      </c>
      <c r="B6697" s="5" t="s">
        <v>16320</v>
      </c>
      <c r="C6697" s="5" t="s">
        <v>160</v>
      </c>
      <c r="D6697" s="5" t="s">
        <v>91</v>
      </c>
      <c r="E6697" s="5" t="s">
        <v>170</v>
      </c>
      <c r="F6697" s="9">
        <v>28</v>
      </c>
      <c r="G6697" s="9">
        <v>321</v>
      </c>
      <c r="H6697" s="5" t="s">
        <v>21</v>
      </c>
      <c r="I6697" s="5" t="s">
        <v>16321</v>
      </c>
      <c r="J6697" s="12" t="str">
        <f>HYPERLINK("https://www.boe.es/gazeta/dias/1802/04/06/pdfs/GMD-1802-28.pdf#page=1","Abrir facsímil")</f>
        <v>Abrir facsímil</v>
      </c>
      <c r="K6697" s="15" t="s">
        <v>23</v>
      </c>
    </row>
    <row r="6698" spans="1:11" ht="42" customHeight="1">
      <c r="A6698" s="4" t="s">
        <v>16322</v>
      </c>
      <c r="B6698" s="5" t="s">
        <v>16323</v>
      </c>
      <c r="C6698" s="5" t="s">
        <v>18</v>
      </c>
      <c r="D6698" s="5" t="s">
        <v>19</v>
      </c>
      <c r="E6698" s="5" t="s">
        <v>20</v>
      </c>
      <c r="F6698" s="9">
        <v>84</v>
      </c>
      <c r="G6698" s="9">
        <v>1043</v>
      </c>
      <c r="H6698" s="5" t="s">
        <v>21</v>
      </c>
      <c r="I6698" s="5" t="s">
        <v>16324</v>
      </c>
      <c r="J6698" s="12" t="str">
        <f>HYPERLINK("https://www.boe.es/gazeta/dias/1802/10/15/pdfs/GMD-1802-84.pdf#page=11","Abrir facsímil")</f>
        <v>Abrir facsímil</v>
      </c>
      <c r="K6698" s="15" t="s">
        <v>23</v>
      </c>
    </row>
    <row r="6699" spans="1:11" ht="42" customHeight="1">
      <c r="A6699" s="4" t="s">
        <v>16325</v>
      </c>
      <c r="B6699" s="5" t="s">
        <v>16326</v>
      </c>
      <c r="C6699" s="5" t="s">
        <v>90</v>
      </c>
      <c r="D6699" s="5" t="s">
        <v>91</v>
      </c>
      <c r="E6699" s="5" t="s">
        <v>86</v>
      </c>
      <c r="F6699" s="9">
        <v>26</v>
      </c>
      <c r="G6699" s="9">
        <v>297</v>
      </c>
      <c r="H6699" s="5" t="s">
        <v>21</v>
      </c>
      <c r="I6699" s="5" t="s">
        <v>16327</v>
      </c>
      <c r="J6699" s="12" t="str">
        <f>HYPERLINK("https://www.boe.es/gazeta/dias/1802/03/30/pdfs/GMD-1802-26.pdf#page=9","Abrir facsímil")</f>
        <v>Abrir facsímil</v>
      </c>
      <c r="K6699" s="15" t="s">
        <v>23</v>
      </c>
    </row>
    <row r="6700" spans="1:11" ht="42" customHeight="1">
      <c r="A6700" s="4" t="s">
        <v>16328</v>
      </c>
      <c r="B6700" s="5" t="s">
        <v>16329</v>
      </c>
      <c r="C6700" s="5" t="s">
        <v>18</v>
      </c>
      <c r="D6700" s="5" t="s">
        <v>19</v>
      </c>
      <c r="E6700" s="5" t="s">
        <v>20</v>
      </c>
      <c r="F6700" s="9">
        <v>84</v>
      </c>
      <c r="G6700" s="9">
        <v>1042</v>
      </c>
      <c r="H6700" s="5" t="s">
        <v>21</v>
      </c>
      <c r="I6700" s="5" t="s">
        <v>16330</v>
      </c>
      <c r="J6700" s="12" t="str">
        <f>HYPERLINK("https://www.boe.es/gazeta/dias/1802/10/15/pdfs/GMD-1802-84.pdf#page=10","Abrir facsímil")</f>
        <v>Abrir facsímil</v>
      </c>
      <c r="K6700" s="15" t="s">
        <v>23</v>
      </c>
    </row>
    <row r="6701" spans="1:11" ht="42" customHeight="1">
      <c r="A6701" s="4" t="s">
        <v>16331</v>
      </c>
      <c r="B6701" s="5" t="s">
        <v>16332</v>
      </c>
      <c r="C6701" s="5" t="s">
        <v>29</v>
      </c>
      <c r="D6701" s="5" t="s">
        <v>30</v>
      </c>
      <c r="E6701" s="5" t="s">
        <v>678</v>
      </c>
      <c r="F6701" s="9">
        <v>15</v>
      </c>
      <c r="G6701" s="9">
        <v>158</v>
      </c>
      <c r="H6701" s="5" t="s">
        <v>21</v>
      </c>
      <c r="I6701" s="5" t="s">
        <v>16333</v>
      </c>
      <c r="J6701" s="12" t="str">
        <f>HYPERLINK("https://www.boe.es/gazeta/dias/1802/02/19/pdfs/GMD-1802-15.pdf#page=10","Abrir facsímil")</f>
        <v>Abrir facsímil</v>
      </c>
      <c r="K6701" s="15" t="s">
        <v>23</v>
      </c>
    </row>
    <row r="6702" spans="1:11" ht="42" customHeight="1">
      <c r="A6702" s="4" t="s">
        <v>16334</v>
      </c>
      <c r="B6702" s="5" t="s">
        <v>16334</v>
      </c>
      <c r="C6702" s="5" t="s">
        <v>42</v>
      </c>
      <c r="D6702" s="5" t="s">
        <v>43</v>
      </c>
      <c r="E6702" s="5" t="s">
        <v>44</v>
      </c>
      <c r="F6702" s="9">
        <v>99</v>
      </c>
      <c r="G6702" s="9" t="s">
        <v>251</v>
      </c>
      <c r="H6702" s="5" t="s">
        <v>21</v>
      </c>
      <c r="I6702" s="5" t="s">
        <v>16335</v>
      </c>
      <c r="J6702" s="12" t="str">
        <f>HYPERLINK("https://www.boe.es/gazeta/dias/1802/12/07/pdfs/GMD-D-1802-99.pdf#page=6","Abrir facsímil")</f>
        <v>Abrir facsímil</v>
      </c>
      <c r="K6702" s="15" t="s">
        <v>23</v>
      </c>
    </row>
    <row r="6703" spans="1:11" ht="42" customHeight="1">
      <c r="A6703" s="4" t="s">
        <v>16336</v>
      </c>
      <c r="B6703" s="5" t="s">
        <v>16336</v>
      </c>
      <c r="C6703" s="5" t="s">
        <v>42</v>
      </c>
      <c r="D6703" s="5" t="s">
        <v>43</v>
      </c>
      <c r="E6703" s="5" t="s">
        <v>44</v>
      </c>
      <c r="F6703" s="9">
        <v>99</v>
      </c>
      <c r="G6703" s="9" t="s">
        <v>537</v>
      </c>
      <c r="H6703" s="5" t="s">
        <v>21</v>
      </c>
      <c r="I6703" s="5" t="s">
        <v>16337</v>
      </c>
      <c r="J6703" s="12" t="str">
        <f>HYPERLINK("https://www.boe.es/gazeta/dias/1802/12/07/pdfs/GMD-D-1802-99.pdf#page=9","Abrir facsímil")</f>
        <v>Abrir facsímil</v>
      </c>
      <c r="K6703" s="15" t="s">
        <v>23</v>
      </c>
    </row>
    <row r="6704" spans="1:11" ht="42" customHeight="1">
      <c r="A6704" s="4" t="s">
        <v>16338</v>
      </c>
      <c r="B6704" s="5" t="s">
        <v>16339</v>
      </c>
      <c r="C6704" s="5" t="s">
        <v>42</v>
      </c>
      <c r="D6704" s="5" t="s">
        <v>43</v>
      </c>
      <c r="E6704" s="5" t="s">
        <v>44</v>
      </c>
      <c r="F6704" s="9">
        <v>99</v>
      </c>
      <c r="G6704" s="9" t="s">
        <v>314</v>
      </c>
      <c r="H6704" s="5" t="s">
        <v>21</v>
      </c>
      <c r="I6704" s="5" t="s">
        <v>16340</v>
      </c>
      <c r="J6704" s="12" t="str">
        <f>HYPERLINK("https://www.boe.es/gazeta/dias/1802/12/07/pdfs/GMD-D-1802-99.pdf#page=2","Abrir facsímil")</f>
        <v>Abrir facsímil</v>
      </c>
      <c r="K6704" s="15" t="s">
        <v>23</v>
      </c>
    </row>
    <row r="6705" spans="1:11" ht="42" customHeight="1">
      <c r="A6705" s="4" t="s">
        <v>16341</v>
      </c>
      <c r="B6705" s="5" t="s">
        <v>16342</v>
      </c>
      <c r="C6705" s="5" t="s">
        <v>29</v>
      </c>
      <c r="D6705" s="5" t="s">
        <v>30</v>
      </c>
      <c r="E6705" s="5" t="s">
        <v>491</v>
      </c>
      <c r="F6705" s="9">
        <v>57</v>
      </c>
      <c r="G6705" s="9">
        <v>689</v>
      </c>
      <c r="H6705" s="5" t="s">
        <v>21</v>
      </c>
      <c r="I6705" s="5" t="s">
        <v>16343</v>
      </c>
      <c r="J6705" s="12" t="str">
        <f>HYPERLINK("https://www.boe.es/gazeta/dias/1802/07/16/pdfs/GMD-1802-57.pdf#page=9","Abrir facsímil")</f>
        <v>Abrir facsímil</v>
      </c>
      <c r="K6705" s="15" t="s">
        <v>23</v>
      </c>
    </row>
    <row r="6706" spans="1:11" ht="42" customHeight="1">
      <c r="A6706" s="4" t="s">
        <v>16344</v>
      </c>
      <c r="B6706" s="5" t="s">
        <v>16345</v>
      </c>
      <c r="C6706" s="5" t="s">
        <v>18</v>
      </c>
      <c r="D6706" s="5" t="s">
        <v>19</v>
      </c>
      <c r="E6706" s="5" t="s">
        <v>49</v>
      </c>
      <c r="F6706" s="9">
        <v>83</v>
      </c>
      <c r="G6706" s="9">
        <v>1024</v>
      </c>
      <c r="H6706" s="5" t="s">
        <v>21</v>
      </c>
      <c r="I6706" s="5" t="s">
        <v>16346</v>
      </c>
      <c r="J6706" s="12" t="str">
        <f>HYPERLINK("https://www.boe.es/gazeta/dias/1802/10/12/pdfs/GMD-1802-83.pdf#page=12","Abrir facsímil")</f>
        <v>Abrir facsímil</v>
      </c>
      <c r="K6706" s="15" t="s">
        <v>23</v>
      </c>
    </row>
    <row r="6707" spans="1:11" ht="42" customHeight="1">
      <c r="A6707" s="4" t="s">
        <v>16347</v>
      </c>
      <c r="B6707" s="5" t="s">
        <v>16347</v>
      </c>
      <c r="C6707" s="5" t="s">
        <v>18</v>
      </c>
      <c r="D6707" s="5" t="s">
        <v>19</v>
      </c>
      <c r="E6707" s="5" t="s">
        <v>1113</v>
      </c>
      <c r="F6707" s="9">
        <v>6</v>
      </c>
      <c r="G6707" s="9">
        <v>57</v>
      </c>
      <c r="H6707" s="5" t="s">
        <v>21</v>
      </c>
      <c r="I6707" s="5" t="s">
        <v>16348</v>
      </c>
      <c r="J6707" s="12" t="str">
        <f>HYPERLINK("https://www.boe.es/gazeta/dias/1802/01/19/pdfs/GMD-1802-6.pdf#page=5","Abrir facsímil")</f>
        <v>Abrir facsímil</v>
      </c>
      <c r="K6707" s="15" t="s">
        <v>23</v>
      </c>
    </row>
    <row r="6708" spans="1:11" ht="42" customHeight="1">
      <c r="A6708" s="4" t="s">
        <v>16347</v>
      </c>
      <c r="B6708" s="5" t="s">
        <v>16347</v>
      </c>
      <c r="C6708" s="5" t="s">
        <v>35</v>
      </c>
      <c r="D6708" s="5" t="s">
        <v>36</v>
      </c>
      <c r="E6708" s="5" t="s">
        <v>172</v>
      </c>
      <c r="F6708" s="9">
        <v>35</v>
      </c>
      <c r="G6708" s="9">
        <v>408</v>
      </c>
      <c r="H6708" s="5" t="s">
        <v>21</v>
      </c>
      <c r="I6708" s="5" t="s">
        <v>16349</v>
      </c>
      <c r="J6708" s="12" t="str">
        <f>HYPERLINK("https://www.boe.es/gazeta/dias/1802/04/30/pdfs/GMD-1802-35.pdf#page=8","Abrir facsímil")</f>
        <v>Abrir facsímil</v>
      </c>
      <c r="K6708" s="15" t="s">
        <v>23</v>
      </c>
    </row>
    <row r="6709" spans="1:11" ht="42" customHeight="1">
      <c r="A6709" s="4" t="s">
        <v>16350</v>
      </c>
      <c r="B6709" s="5" t="s">
        <v>16350</v>
      </c>
      <c r="C6709" s="5" t="s">
        <v>35</v>
      </c>
      <c r="D6709" s="5" t="s">
        <v>36</v>
      </c>
      <c r="E6709" s="5" t="s">
        <v>247</v>
      </c>
      <c r="F6709" s="9">
        <v>14</v>
      </c>
      <c r="G6709" s="9">
        <v>143</v>
      </c>
      <c r="H6709" s="5" t="s">
        <v>21</v>
      </c>
      <c r="I6709" s="5" t="s">
        <v>16351</v>
      </c>
      <c r="J6709" s="12" t="str">
        <f>HYPERLINK("https://www.boe.es/gazeta/dias/1802/02/16/pdfs/GMD-1802-14.pdf#page=7","Abrir facsímil")</f>
        <v>Abrir facsímil</v>
      </c>
      <c r="K6709" s="15" t="s">
        <v>23</v>
      </c>
    </row>
    <row r="6710" spans="1:11" ht="42" customHeight="1">
      <c r="A6710" s="4" t="s">
        <v>16352</v>
      </c>
      <c r="B6710" s="5" t="s">
        <v>16353</v>
      </c>
      <c r="C6710" s="5" t="s">
        <v>35</v>
      </c>
      <c r="D6710" s="5" t="s">
        <v>36</v>
      </c>
      <c r="E6710" s="5" t="s">
        <v>71</v>
      </c>
      <c r="F6710" s="9">
        <v>21</v>
      </c>
      <c r="G6710" s="9">
        <v>232</v>
      </c>
      <c r="H6710" s="5" t="s">
        <v>21</v>
      </c>
      <c r="I6710" s="5" t="s">
        <v>16354</v>
      </c>
      <c r="J6710" s="12" t="str">
        <f>HYPERLINK("https://www.boe.es/gazeta/dias/1802/03/12/pdfs/GMD-1802-21.pdf#page=8","Abrir facsímil")</f>
        <v>Abrir facsímil</v>
      </c>
      <c r="K6710" s="15" t="s">
        <v>23</v>
      </c>
    </row>
    <row r="6711" spans="1:11" ht="42" customHeight="1">
      <c r="A6711" s="4" t="s">
        <v>16355</v>
      </c>
      <c r="B6711" s="5" t="s">
        <v>16356</v>
      </c>
      <c r="C6711" s="5" t="s">
        <v>18</v>
      </c>
      <c r="D6711" s="5" t="s">
        <v>19</v>
      </c>
      <c r="E6711" s="5" t="s">
        <v>152</v>
      </c>
      <c r="F6711" s="9">
        <v>25</v>
      </c>
      <c r="G6711" s="9">
        <v>284</v>
      </c>
      <c r="H6711" s="5" t="s">
        <v>21</v>
      </c>
      <c r="I6711" s="5" t="s">
        <v>16357</v>
      </c>
      <c r="J6711" s="12" t="str">
        <f>HYPERLINK("https://www.boe.es/gazeta/dias/1802/03/26/pdfs/GMD-1802-25.pdf#page=8","Abrir facsímil")</f>
        <v>Abrir facsímil</v>
      </c>
      <c r="K6711" s="15" t="s">
        <v>23</v>
      </c>
    </row>
    <row r="6712" spans="1:11" ht="42" customHeight="1">
      <c r="A6712" s="4" t="s">
        <v>16355</v>
      </c>
      <c r="B6712" s="5" t="s">
        <v>16356</v>
      </c>
      <c r="C6712" s="5" t="s">
        <v>35</v>
      </c>
      <c r="D6712" s="5" t="s">
        <v>36</v>
      </c>
      <c r="E6712" s="5" t="s">
        <v>148</v>
      </c>
      <c r="F6712" s="9">
        <v>66</v>
      </c>
      <c r="G6712" s="9">
        <v>808</v>
      </c>
      <c r="H6712" s="5" t="s">
        <v>21</v>
      </c>
      <c r="I6712" s="5" t="s">
        <v>16358</v>
      </c>
      <c r="J6712" s="12" t="str">
        <f>HYPERLINK("https://www.boe.es/gazeta/dias/1802/08/13/pdfs/GMD-1802-66.pdf#page=12","Abrir facsímil")</f>
        <v>Abrir facsímil</v>
      </c>
      <c r="K6712" s="15" t="s">
        <v>23</v>
      </c>
    </row>
    <row r="6713" spans="1:11" ht="42" customHeight="1">
      <c r="A6713" s="4" t="s">
        <v>16359</v>
      </c>
      <c r="B6713" s="5" t="s">
        <v>16360</v>
      </c>
      <c r="C6713" s="5" t="s">
        <v>29</v>
      </c>
      <c r="D6713" s="5" t="s">
        <v>30</v>
      </c>
      <c r="E6713" s="5" t="s">
        <v>152</v>
      </c>
      <c r="F6713" s="9">
        <v>25</v>
      </c>
      <c r="G6713" s="9">
        <v>284</v>
      </c>
      <c r="H6713" s="5" t="s">
        <v>21</v>
      </c>
      <c r="I6713" s="5" t="s">
        <v>16361</v>
      </c>
      <c r="J6713" s="12" t="str">
        <f>HYPERLINK("https://www.boe.es/gazeta/dias/1802/03/26/pdfs/GMD-1802-25.pdf#page=8","Abrir facsímil")</f>
        <v>Abrir facsímil</v>
      </c>
      <c r="K6713" s="15" t="s">
        <v>23</v>
      </c>
    </row>
    <row r="6714" spans="1:11" ht="42" customHeight="1">
      <c r="A6714" s="4" t="s">
        <v>16359</v>
      </c>
      <c r="B6714" s="5" t="s">
        <v>16360</v>
      </c>
      <c r="C6714" s="5" t="s">
        <v>18</v>
      </c>
      <c r="D6714" s="5" t="s">
        <v>19</v>
      </c>
      <c r="E6714" s="5" t="s">
        <v>152</v>
      </c>
      <c r="F6714" s="9">
        <v>25</v>
      </c>
      <c r="G6714" s="9">
        <v>285</v>
      </c>
      <c r="H6714" s="5" t="s">
        <v>21</v>
      </c>
      <c r="I6714" s="5" t="s">
        <v>16362</v>
      </c>
      <c r="J6714" s="12" t="str">
        <f>HYPERLINK("https://www.boe.es/gazeta/dias/1802/03/26/pdfs/GMD-1802-25.pdf#page=9","Abrir facsímil")</f>
        <v>Abrir facsímil</v>
      </c>
      <c r="K6714" s="15" t="s">
        <v>23</v>
      </c>
    </row>
    <row r="6715" spans="1:11" ht="42" customHeight="1">
      <c r="A6715" s="4" t="s">
        <v>16359</v>
      </c>
      <c r="B6715" s="5" t="s">
        <v>16360</v>
      </c>
      <c r="C6715" s="5" t="s">
        <v>35</v>
      </c>
      <c r="D6715" s="5" t="s">
        <v>36</v>
      </c>
      <c r="E6715" s="5" t="s">
        <v>148</v>
      </c>
      <c r="F6715" s="9">
        <v>66</v>
      </c>
      <c r="G6715" s="9">
        <v>808</v>
      </c>
      <c r="H6715" s="5" t="s">
        <v>21</v>
      </c>
      <c r="I6715" s="5" t="s">
        <v>16363</v>
      </c>
      <c r="J6715" s="12" t="str">
        <f>HYPERLINK("https://www.boe.es/gazeta/dias/1802/08/13/pdfs/GMD-1802-66.pdf#page=12","Abrir facsímil")</f>
        <v>Abrir facsímil</v>
      </c>
      <c r="K6715" s="15" t="s">
        <v>23</v>
      </c>
    </row>
    <row r="6716" spans="1:11" ht="42" customHeight="1">
      <c r="A6716" s="4" t="s">
        <v>16364</v>
      </c>
      <c r="B6716" s="5" t="s">
        <v>16365</v>
      </c>
      <c r="C6716" s="5" t="s">
        <v>18</v>
      </c>
      <c r="D6716" s="5" t="s">
        <v>19</v>
      </c>
      <c r="E6716" s="5" t="s">
        <v>826</v>
      </c>
      <c r="F6716" s="9">
        <v>67</v>
      </c>
      <c r="G6716" s="9">
        <v>819</v>
      </c>
      <c r="H6716" s="5" t="s">
        <v>21</v>
      </c>
      <c r="I6716" s="5" t="s">
        <v>16366</v>
      </c>
      <c r="J6716" s="12" t="str">
        <f>HYPERLINK("https://www.boe.es/gazeta/dias/1802/08/17/pdfs/GMD-1802-67.pdf#page=7","Abrir facsímil")</f>
        <v>Abrir facsímil</v>
      </c>
      <c r="K6716" s="15" t="s">
        <v>23</v>
      </c>
    </row>
    <row r="6717" spans="1:11" ht="42" customHeight="1">
      <c r="A6717" s="4" t="s">
        <v>16367</v>
      </c>
      <c r="B6717" s="5" t="s">
        <v>16368</v>
      </c>
      <c r="C6717" s="5" t="s">
        <v>18</v>
      </c>
      <c r="D6717" s="5" t="s">
        <v>19</v>
      </c>
      <c r="E6717" s="5" t="s">
        <v>49</v>
      </c>
      <c r="F6717" s="9">
        <v>83</v>
      </c>
      <c r="G6717" s="9">
        <v>1025</v>
      </c>
      <c r="H6717" s="5" t="s">
        <v>21</v>
      </c>
      <c r="I6717" s="5" t="s">
        <v>16369</v>
      </c>
      <c r="J6717" s="12" t="str">
        <f>HYPERLINK("https://www.boe.es/gazeta/dias/1802/10/12/pdfs/GMD-1802-83.pdf#page=13","Abrir facsímil")</f>
        <v>Abrir facsímil</v>
      </c>
      <c r="K6717" s="15" t="s">
        <v>23</v>
      </c>
    </row>
    <row r="6718" spans="1:11" ht="42" customHeight="1">
      <c r="A6718" s="4" t="s">
        <v>16370</v>
      </c>
      <c r="B6718" s="5" t="s">
        <v>16370</v>
      </c>
      <c r="C6718" s="5" t="s">
        <v>18</v>
      </c>
      <c r="D6718" s="5" t="s">
        <v>19</v>
      </c>
      <c r="E6718" s="5" t="s">
        <v>128</v>
      </c>
      <c r="F6718" s="9">
        <v>9</v>
      </c>
      <c r="G6718" s="9">
        <v>86</v>
      </c>
      <c r="H6718" s="5" t="s">
        <v>21</v>
      </c>
      <c r="I6718" s="5" t="s">
        <v>16371</v>
      </c>
      <c r="J6718" s="12" t="str">
        <f>HYPERLINK("https://www.boe.es/gazeta/dias/1802/01/29/pdfs/GMD-1802-9.pdf#page=6","Abrir facsímil")</f>
        <v>Abrir facsímil</v>
      </c>
      <c r="K6718" s="15" t="s">
        <v>23</v>
      </c>
    </row>
    <row r="6719" spans="1:11" ht="42" customHeight="1">
      <c r="A6719" s="4" t="s">
        <v>16370</v>
      </c>
      <c r="B6719" s="5" t="s">
        <v>16370</v>
      </c>
      <c r="C6719" s="5" t="s">
        <v>35</v>
      </c>
      <c r="D6719" s="5" t="s">
        <v>36</v>
      </c>
      <c r="E6719" s="5" t="s">
        <v>109</v>
      </c>
      <c r="F6719" s="9">
        <v>10</v>
      </c>
      <c r="G6719" s="9">
        <v>97</v>
      </c>
      <c r="H6719" s="5" t="s">
        <v>21</v>
      </c>
      <c r="I6719" s="5" t="s">
        <v>16372</v>
      </c>
      <c r="J6719" s="12" t="str">
        <f>HYPERLINK("https://www.boe.es/gazeta/dias/1802/02/02/pdfs/GMD-1802-10.pdf#page=5","Abrir facsímil")</f>
        <v>Abrir facsímil</v>
      </c>
      <c r="K6719" s="15" t="s">
        <v>23</v>
      </c>
    </row>
    <row r="6720" spans="1:11" ht="42" customHeight="1">
      <c r="A6720" s="4" t="s">
        <v>16373</v>
      </c>
      <c r="B6720" s="5" t="s">
        <v>16373</v>
      </c>
      <c r="C6720" s="5" t="s">
        <v>35</v>
      </c>
      <c r="D6720" s="5" t="s">
        <v>36</v>
      </c>
      <c r="E6720" s="5" t="s">
        <v>381</v>
      </c>
      <c r="F6720" s="9">
        <v>13</v>
      </c>
      <c r="G6720" s="9">
        <v>127</v>
      </c>
      <c r="H6720" s="5" t="s">
        <v>21</v>
      </c>
      <c r="I6720" s="5" t="s">
        <v>16374</v>
      </c>
      <c r="J6720" s="12" t="str">
        <f>HYPERLINK("https://www.boe.es/gazeta/dias/1802/02/12/pdfs/GMD-1802-13.pdf#page=3","Abrir facsímil")</f>
        <v>Abrir facsímil</v>
      </c>
      <c r="K6720" s="15" t="s">
        <v>23</v>
      </c>
    </row>
    <row r="6721" spans="1:11" ht="42" customHeight="1">
      <c r="A6721" s="4" t="s">
        <v>16375</v>
      </c>
      <c r="B6721" s="5" t="s">
        <v>16376</v>
      </c>
      <c r="C6721" s="5" t="s">
        <v>18</v>
      </c>
      <c r="D6721" s="5" t="s">
        <v>19</v>
      </c>
      <c r="E6721" s="5" t="s">
        <v>20</v>
      </c>
      <c r="F6721" s="9">
        <v>84</v>
      </c>
      <c r="G6721" s="9">
        <v>1040</v>
      </c>
      <c r="H6721" s="5" t="s">
        <v>21</v>
      </c>
      <c r="I6721" s="5" t="s">
        <v>16377</v>
      </c>
      <c r="J6721" s="12" t="str">
        <f>HYPERLINK("https://www.boe.es/gazeta/dias/1802/10/15/pdfs/GMD-1802-84.pdf#page=8","Abrir facsímil")</f>
        <v>Abrir facsímil</v>
      </c>
      <c r="K6721" s="15" t="s">
        <v>23</v>
      </c>
    </row>
    <row r="6722" spans="1:11" ht="42" customHeight="1">
      <c r="A6722" s="4" t="s">
        <v>16378</v>
      </c>
      <c r="B6722" s="5" t="s">
        <v>16379</v>
      </c>
      <c r="C6722" s="5" t="s">
        <v>18</v>
      </c>
      <c r="D6722" s="5" t="s">
        <v>19</v>
      </c>
      <c r="E6722" s="5" t="s">
        <v>49</v>
      </c>
      <c r="F6722" s="9">
        <v>83</v>
      </c>
      <c r="G6722" s="9">
        <v>1022</v>
      </c>
      <c r="H6722" s="5" t="s">
        <v>21</v>
      </c>
      <c r="I6722" s="5" t="s">
        <v>16380</v>
      </c>
      <c r="J6722" s="12" t="str">
        <f>HYPERLINK("https://www.boe.es/gazeta/dias/1802/10/12/pdfs/GMD-1802-83.pdf#page=10","Abrir facsímil")</f>
        <v>Abrir facsímil</v>
      </c>
      <c r="K6722" s="15" t="s">
        <v>23</v>
      </c>
    </row>
    <row r="6723" spans="1:11" ht="42" customHeight="1">
      <c r="A6723" s="4" t="s">
        <v>16381</v>
      </c>
      <c r="B6723" s="5" t="s">
        <v>16382</v>
      </c>
      <c r="C6723" s="5" t="s">
        <v>29</v>
      </c>
      <c r="D6723" s="5" t="s">
        <v>30</v>
      </c>
      <c r="E6723" s="5" t="s">
        <v>146</v>
      </c>
      <c r="F6723" s="9">
        <v>42</v>
      </c>
      <c r="G6723" s="9">
        <v>504</v>
      </c>
      <c r="H6723" s="5" t="s">
        <v>21</v>
      </c>
      <c r="I6723" s="5" t="s">
        <v>16383</v>
      </c>
      <c r="J6723" s="12" t="str">
        <f>HYPERLINK("https://www.boe.es/gazeta/dias/1802/05/25/pdfs/GMD-1802-42.pdf#page=8","Abrir facsímil")</f>
        <v>Abrir facsímil</v>
      </c>
      <c r="K6723" s="15" t="s">
        <v>23</v>
      </c>
    </row>
    <row r="6724" spans="1:11" ht="42" customHeight="1">
      <c r="A6724" s="4" t="s">
        <v>16384</v>
      </c>
      <c r="B6724" s="5" t="s">
        <v>16385</v>
      </c>
      <c r="C6724" s="5" t="s">
        <v>18</v>
      </c>
      <c r="D6724" s="5" t="s">
        <v>19</v>
      </c>
      <c r="E6724" s="5" t="s">
        <v>49</v>
      </c>
      <c r="F6724" s="9">
        <v>83</v>
      </c>
      <c r="G6724" s="9">
        <v>1022</v>
      </c>
      <c r="H6724" s="5" t="s">
        <v>21</v>
      </c>
      <c r="I6724" s="5" t="s">
        <v>16386</v>
      </c>
      <c r="J6724" s="12" t="str">
        <f>HYPERLINK("https://www.boe.es/gazeta/dias/1802/10/12/pdfs/GMD-1802-83.pdf#page=10","Abrir facsímil")</f>
        <v>Abrir facsímil</v>
      </c>
      <c r="K6724" s="15" t="s">
        <v>23</v>
      </c>
    </row>
    <row r="6725" spans="1:11" ht="42" customHeight="1">
      <c r="A6725" s="4" t="s">
        <v>16387</v>
      </c>
      <c r="B6725" s="5" t="s">
        <v>16388</v>
      </c>
      <c r="C6725" s="5" t="s">
        <v>29</v>
      </c>
      <c r="D6725" s="5" t="s">
        <v>30</v>
      </c>
      <c r="E6725" s="5" t="s">
        <v>1381</v>
      </c>
      <c r="F6725" s="9">
        <v>17</v>
      </c>
      <c r="G6725" s="9">
        <v>185</v>
      </c>
      <c r="H6725" s="5" t="s">
        <v>21</v>
      </c>
      <c r="I6725" s="5" t="s">
        <v>16389</v>
      </c>
      <c r="J6725" s="12" t="str">
        <f>HYPERLINK("https://www.boe.es/gazeta/dias/1802/02/26/pdfs/GMD-1802-17.pdf#page=9","Abrir facsímil")</f>
        <v>Abrir facsímil</v>
      </c>
      <c r="K6725" s="15" t="s">
        <v>23</v>
      </c>
    </row>
    <row r="6726" spans="1:11" ht="42" customHeight="1">
      <c r="A6726" s="4" t="s">
        <v>16390</v>
      </c>
      <c r="B6726" s="5" t="s">
        <v>16391</v>
      </c>
      <c r="C6726" s="5" t="s">
        <v>42</v>
      </c>
      <c r="D6726" s="5" t="s">
        <v>43</v>
      </c>
      <c r="E6726" s="5" t="s">
        <v>44</v>
      </c>
      <c r="F6726" s="9">
        <v>99</v>
      </c>
      <c r="G6726" s="9" t="s">
        <v>251</v>
      </c>
      <c r="H6726" s="5" t="s">
        <v>21</v>
      </c>
      <c r="I6726" s="5" t="s">
        <v>16392</v>
      </c>
      <c r="J6726" s="12" t="str">
        <f>HYPERLINK("https://www.boe.es/gazeta/dias/1802/12/07/pdfs/GMD-D-1802-99.pdf#page=6","Abrir facsímil")</f>
        <v>Abrir facsímil</v>
      </c>
      <c r="K6726" s="15" t="s">
        <v>23</v>
      </c>
    </row>
    <row r="6727" spans="1:11" ht="42" customHeight="1">
      <c r="A6727" s="4" t="s">
        <v>16393</v>
      </c>
      <c r="B6727" s="5" t="s">
        <v>16393</v>
      </c>
      <c r="C6727" s="5" t="s">
        <v>90</v>
      </c>
      <c r="D6727" s="5" t="s">
        <v>91</v>
      </c>
      <c r="E6727" s="5" t="s">
        <v>86</v>
      </c>
      <c r="F6727" s="9">
        <v>26</v>
      </c>
      <c r="G6727" s="9">
        <v>297</v>
      </c>
      <c r="H6727" s="5" t="s">
        <v>21</v>
      </c>
      <c r="I6727" s="5" t="s">
        <v>16394</v>
      </c>
      <c r="J6727" s="12" t="str">
        <f>HYPERLINK("https://www.boe.es/gazeta/dias/1802/03/30/pdfs/GMD-1802-26.pdf#page=9","Abrir facsímil")</f>
        <v>Abrir facsímil</v>
      </c>
      <c r="K6727" s="15" t="s">
        <v>23</v>
      </c>
    </row>
    <row r="6728" spans="1:11" ht="42" customHeight="1">
      <c r="A6728" s="4" t="s">
        <v>16395</v>
      </c>
      <c r="B6728" s="5" t="s">
        <v>16396</v>
      </c>
      <c r="C6728" s="5" t="s">
        <v>42</v>
      </c>
      <c r="D6728" s="5" t="s">
        <v>43</v>
      </c>
      <c r="E6728" s="5" t="s">
        <v>44</v>
      </c>
      <c r="F6728" s="9">
        <v>99</v>
      </c>
      <c r="G6728" s="9" t="s">
        <v>554</v>
      </c>
      <c r="H6728" s="5" t="s">
        <v>21</v>
      </c>
      <c r="I6728" s="5" t="s">
        <v>16397</v>
      </c>
      <c r="J6728" s="12" t="str">
        <f>HYPERLINK("https://www.boe.es/gazeta/dias/1802/12/07/pdfs/GMD-D-1802-99.pdf#page=4","Abrir facsímil")</f>
        <v>Abrir facsímil</v>
      </c>
      <c r="K6728" s="15" t="s">
        <v>23</v>
      </c>
    </row>
    <row r="6729" spans="1:11" ht="42" customHeight="1">
      <c r="A6729" s="4" t="s">
        <v>16398</v>
      </c>
      <c r="B6729" s="5" t="s">
        <v>16399</v>
      </c>
      <c r="C6729" s="5" t="s">
        <v>29</v>
      </c>
      <c r="D6729" s="5" t="s">
        <v>30</v>
      </c>
      <c r="E6729" s="5" t="s">
        <v>328</v>
      </c>
      <c r="F6729" s="9">
        <v>45</v>
      </c>
      <c r="G6729" s="9">
        <v>540</v>
      </c>
      <c r="H6729" s="5" t="s">
        <v>21</v>
      </c>
      <c r="I6729" s="5" t="s">
        <v>16400</v>
      </c>
      <c r="J6729" s="12" t="str">
        <f>HYPERLINK("https://www.boe.es/gazeta/dias/1802/06/04/pdfs/GMD-1802-45.pdf#page=4","Abrir facsímil")</f>
        <v>Abrir facsímil</v>
      </c>
      <c r="K6729" s="15" t="s">
        <v>23</v>
      </c>
    </row>
    <row r="6730" spans="1:11" ht="42" customHeight="1">
      <c r="A6730" s="4" t="s">
        <v>16401</v>
      </c>
      <c r="B6730" s="5" t="s">
        <v>16402</v>
      </c>
      <c r="C6730" s="5" t="s">
        <v>35</v>
      </c>
      <c r="D6730" s="5" t="s">
        <v>36</v>
      </c>
      <c r="E6730" s="5" t="s">
        <v>826</v>
      </c>
      <c r="F6730" s="9">
        <v>67</v>
      </c>
      <c r="G6730" s="9">
        <v>813</v>
      </c>
      <c r="H6730" s="5" t="s">
        <v>21</v>
      </c>
      <c r="I6730" s="5" t="s">
        <v>16403</v>
      </c>
      <c r="J6730" s="12" t="str">
        <f>HYPERLINK("https://www.boe.es/gazeta/dias/1802/08/17/pdfs/GMD-1802-67.pdf#page=1","Abrir facsímil")</f>
        <v>Abrir facsímil</v>
      </c>
      <c r="K6730" s="15" t="s">
        <v>23</v>
      </c>
    </row>
    <row r="6731" spans="1:11" ht="42" customHeight="1">
      <c r="A6731" s="4" t="s">
        <v>16404</v>
      </c>
      <c r="B6731" s="5" t="s">
        <v>16404</v>
      </c>
      <c r="C6731" s="5" t="s">
        <v>18</v>
      </c>
      <c r="D6731" s="5" t="s">
        <v>19</v>
      </c>
      <c r="E6731" s="5" t="s">
        <v>530</v>
      </c>
      <c r="F6731" s="9">
        <v>48</v>
      </c>
      <c r="G6731" s="9">
        <v>587</v>
      </c>
      <c r="H6731" s="5" t="s">
        <v>21</v>
      </c>
      <c r="I6731" s="5" t="s">
        <v>16405</v>
      </c>
      <c r="J6731" s="12" t="str">
        <f>HYPERLINK("https://www.boe.es/gazeta/dias/1802/06/15/pdfs/GMD-1802-48.pdf#page=11","Abrir facsímil")</f>
        <v>Abrir facsímil</v>
      </c>
      <c r="K6731" s="15" t="s">
        <v>23</v>
      </c>
    </row>
    <row r="6732" spans="1:11" ht="42" customHeight="1">
      <c r="A6732" s="4" t="s">
        <v>16406</v>
      </c>
      <c r="B6732" s="5" t="s">
        <v>16406</v>
      </c>
      <c r="C6732" s="5" t="s">
        <v>55</v>
      </c>
      <c r="D6732" s="5" t="s">
        <v>56</v>
      </c>
      <c r="E6732" s="5" t="s">
        <v>339</v>
      </c>
      <c r="F6732" s="9">
        <v>39</v>
      </c>
      <c r="G6732" s="9">
        <v>472</v>
      </c>
      <c r="H6732" s="5" t="s">
        <v>21</v>
      </c>
      <c r="I6732" s="5" t="s">
        <v>16407</v>
      </c>
      <c r="J6732" s="12" t="str">
        <f>HYPERLINK("https://www.boe.es/gazeta/dias/1802/05/14/pdfs/GMD-1802-39.pdf#page=16","Abrir facsímil")</f>
        <v>Abrir facsímil</v>
      </c>
      <c r="K6732" s="15" t="s">
        <v>23</v>
      </c>
    </row>
    <row r="6733" spans="1:11" ht="42" customHeight="1">
      <c r="A6733" s="4" t="s">
        <v>16406</v>
      </c>
      <c r="B6733" s="5" t="s">
        <v>16406</v>
      </c>
      <c r="C6733" s="5" t="s">
        <v>42</v>
      </c>
      <c r="D6733" s="5" t="s">
        <v>43</v>
      </c>
      <c r="E6733" s="5" t="s">
        <v>44</v>
      </c>
      <c r="F6733" s="9">
        <v>99</v>
      </c>
      <c r="G6733" s="9" t="s">
        <v>322</v>
      </c>
      <c r="H6733" s="5" t="s">
        <v>21</v>
      </c>
      <c r="I6733" s="5" t="s">
        <v>16408</v>
      </c>
      <c r="J6733" s="12" t="str">
        <f>HYPERLINK("https://www.boe.es/gazeta/dias/1802/12/07/pdfs/GMD-D-1802-99.pdf#page=10","Abrir facsímil")</f>
        <v>Abrir facsímil</v>
      </c>
      <c r="K6733" s="15" t="s">
        <v>23</v>
      </c>
    </row>
    <row r="6734" spans="1:11" ht="42" customHeight="1">
      <c r="A6734" s="4" t="s">
        <v>16409</v>
      </c>
      <c r="B6734" s="5" t="s">
        <v>16409</v>
      </c>
      <c r="C6734" s="5" t="s">
        <v>29</v>
      </c>
      <c r="D6734" s="5" t="s">
        <v>30</v>
      </c>
      <c r="E6734" s="5" t="s">
        <v>175</v>
      </c>
      <c r="F6734" s="9">
        <v>37</v>
      </c>
      <c r="G6734" s="9">
        <v>437</v>
      </c>
      <c r="H6734" s="5" t="s">
        <v>21</v>
      </c>
      <c r="I6734" s="5" t="s">
        <v>16410</v>
      </c>
      <c r="J6734" s="12" t="str">
        <f>HYPERLINK("https://www.boe.es/gazeta/dias/1802/05/07/pdfs/GMD-1802-37.pdf#page=5","Abrir facsímil")</f>
        <v>Abrir facsímil</v>
      </c>
      <c r="K6734" s="15" t="s">
        <v>23</v>
      </c>
    </row>
    <row r="6735" spans="1:11" ht="42" customHeight="1">
      <c r="A6735" s="4" t="s">
        <v>16411</v>
      </c>
      <c r="B6735" s="5" t="s">
        <v>16412</v>
      </c>
      <c r="C6735" s="5" t="s">
        <v>90</v>
      </c>
      <c r="D6735" s="5" t="s">
        <v>91</v>
      </c>
      <c r="E6735" s="5" t="s">
        <v>907</v>
      </c>
      <c r="F6735" s="9">
        <v>77</v>
      </c>
      <c r="G6735" s="9">
        <v>949</v>
      </c>
      <c r="H6735" s="5" t="s">
        <v>21</v>
      </c>
      <c r="I6735" s="5" t="s">
        <v>16413</v>
      </c>
      <c r="J6735" s="12" t="str">
        <f>HYPERLINK("https://www.boe.es/gazeta/dias/1802/09/21/pdfs/GMD-1802-77.pdf#page=9","Abrir facsímil")</f>
        <v>Abrir facsímil</v>
      </c>
      <c r="K6735" s="15" t="s">
        <v>23</v>
      </c>
    </row>
    <row r="6736" spans="1:11" ht="42" customHeight="1">
      <c r="A6736" s="4" t="s">
        <v>16414</v>
      </c>
      <c r="B6736" s="5" t="s">
        <v>16415</v>
      </c>
      <c r="C6736" s="5" t="s">
        <v>90</v>
      </c>
      <c r="D6736" s="5" t="s">
        <v>91</v>
      </c>
      <c r="E6736" s="5" t="s">
        <v>381</v>
      </c>
      <c r="F6736" s="9">
        <v>13</v>
      </c>
      <c r="G6736" s="9">
        <v>132</v>
      </c>
      <c r="H6736" s="5" t="s">
        <v>21</v>
      </c>
      <c r="I6736" s="5" t="s">
        <v>16416</v>
      </c>
      <c r="J6736" s="12" t="str">
        <f>HYPERLINK("https://www.boe.es/gazeta/dias/1802/02/12/pdfs/GMD-1802-13.pdf#page=8","Abrir facsímil")</f>
        <v>Abrir facsímil</v>
      </c>
      <c r="K6736" s="15" t="s">
        <v>23</v>
      </c>
    </row>
    <row r="6737" spans="1:11" ht="42" customHeight="1">
      <c r="A6737" s="4" t="s">
        <v>16417</v>
      </c>
      <c r="B6737" s="5" t="s">
        <v>16417</v>
      </c>
      <c r="C6737" s="5" t="s">
        <v>55</v>
      </c>
      <c r="D6737" s="5" t="s">
        <v>56</v>
      </c>
      <c r="E6737" s="5" t="s">
        <v>1749</v>
      </c>
      <c r="F6737" s="9">
        <v>60</v>
      </c>
      <c r="G6737" s="9">
        <v>731</v>
      </c>
      <c r="H6737" s="5" t="s">
        <v>21</v>
      </c>
      <c r="I6737" s="5" t="s">
        <v>16418</v>
      </c>
      <c r="J6737" s="12" t="str">
        <f>HYPERLINK("https://www.boe.es/gazeta/dias/1802/07/23/pdfs/GMD-1802-60.pdf#page=15","Abrir facsímil")</f>
        <v>Abrir facsímil</v>
      </c>
      <c r="K6737" s="15" t="s">
        <v>23</v>
      </c>
    </row>
    <row r="6738" spans="1:11" ht="42" customHeight="1">
      <c r="A6738" s="4" t="s">
        <v>16419</v>
      </c>
      <c r="B6738" s="5" t="s">
        <v>16419</v>
      </c>
      <c r="C6738" s="5" t="s">
        <v>160</v>
      </c>
      <c r="D6738" s="5" t="s">
        <v>91</v>
      </c>
      <c r="E6738" s="5" t="s">
        <v>439</v>
      </c>
      <c r="F6738" s="9">
        <v>76</v>
      </c>
      <c r="G6738" s="9">
        <v>939</v>
      </c>
      <c r="H6738" s="5" t="s">
        <v>21</v>
      </c>
      <c r="I6738" s="5" t="s">
        <v>16420</v>
      </c>
      <c r="J6738" s="12" t="str">
        <f>HYPERLINK("https://www.boe.es/gazeta/dias/1802/09/17/pdfs/GMD-1802-76.pdf#page=11","Abrir facsímil")</f>
        <v>Abrir facsímil</v>
      </c>
      <c r="K6738" s="15" t="s">
        <v>23</v>
      </c>
    </row>
    <row r="6739" spans="1:11" ht="42" customHeight="1">
      <c r="A6739" s="4" t="s">
        <v>16421</v>
      </c>
      <c r="B6739" s="5" t="s">
        <v>16422</v>
      </c>
      <c r="C6739" s="5" t="s">
        <v>18</v>
      </c>
      <c r="D6739" s="5" t="s">
        <v>19</v>
      </c>
      <c r="E6739" s="5" t="s">
        <v>714</v>
      </c>
      <c r="F6739" s="9">
        <v>89</v>
      </c>
      <c r="G6739" s="9">
        <v>1108</v>
      </c>
      <c r="H6739" s="5" t="s">
        <v>21</v>
      </c>
      <c r="I6739" s="5" t="s">
        <v>16423</v>
      </c>
      <c r="J6739" s="12" t="str">
        <f>HYPERLINK("https://www.boe.es/gazeta/dias/1802/11/02/pdfs/GMD-1802-89.pdf#page=12","Abrir facsímil")</f>
        <v>Abrir facsímil</v>
      </c>
      <c r="K6739" s="15" t="s">
        <v>23</v>
      </c>
    </row>
    <row r="6740" spans="1:11" ht="42" customHeight="1">
      <c r="A6740" s="4" t="s">
        <v>16424</v>
      </c>
      <c r="B6740" s="5" t="s">
        <v>16425</v>
      </c>
      <c r="C6740" s="5" t="s">
        <v>18</v>
      </c>
      <c r="D6740" s="5" t="s">
        <v>19</v>
      </c>
      <c r="E6740" s="5" t="s">
        <v>206</v>
      </c>
      <c r="F6740" s="9">
        <v>22</v>
      </c>
      <c r="G6740" s="9">
        <v>242</v>
      </c>
      <c r="H6740" s="5" t="s">
        <v>21</v>
      </c>
      <c r="I6740" s="5" t="s">
        <v>16426</v>
      </c>
      <c r="J6740" s="12" t="str">
        <f>HYPERLINK("https://www.boe.es/gazeta/dias/1802/03/16/pdfs/GMD-1802-22.pdf#page=10","Abrir facsímil")</f>
        <v>Abrir facsímil</v>
      </c>
      <c r="K6740" s="15" t="s">
        <v>23</v>
      </c>
    </row>
    <row r="6741" spans="1:11" ht="42" customHeight="1">
      <c r="A6741" s="4" t="s">
        <v>16427</v>
      </c>
      <c r="B6741" s="5" t="s">
        <v>16428</v>
      </c>
      <c r="C6741" s="5" t="s">
        <v>29</v>
      </c>
      <c r="D6741" s="5" t="s">
        <v>30</v>
      </c>
      <c r="E6741" s="5" t="s">
        <v>49</v>
      </c>
      <c r="F6741" s="9">
        <v>83</v>
      </c>
      <c r="G6741" s="9">
        <v>1021</v>
      </c>
      <c r="H6741" s="5" t="s">
        <v>21</v>
      </c>
      <c r="I6741" s="5" t="s">
        <v>16429</v>
      </c>
      <c r="J6741" s="12" t="str">
        <f>HYPERLINK("https://www.boe.es/gazeta/dias/1802/10/12/pdfs/GMD-1802-83.pdf#page=9","Abrir facsímil")</f>
        <v>Abrir facsímil</v>
      </c>
      <c r="K6741" s="15" t="s">
        <v>23</v>
      </c>
    </row>
    <row r="6742" spans="1:11" ht="42" customHeight="1">
      <c r="A6742" s="4" t="s">
        <v>16430</v>
      </c>
      <c r="B6742" s="5" t="s">
        <v>16431</v>
      </c>
      <c r="C6742" s="5" t="s">
        <v>90</v>
      </c>
      <c r="D6742" s="5" t="s">
        <v>91</v>
      </c>
      <c r="E6742" s="5" t="s">
        <v>1264</v>
      </c>
      <c r="F6742" s="9">
        <v>105</v>
      </c>
      <c r="G6742" s="9">
        <v>1286</v>
      </c>
      <c r="H6742" s="5" t="s">
        <v>21</v>
      </c>
      <c r="I6742" s="5" t="s">
        <v>16432</v>
      </c>
      <c r="J6742" s="12" t="str">
        <f>HYPERLINK("https://www.boe.es/gazeta/dias/1802/12/28/pdfs/GMD-1802-105.pdf#page=10","Abrir facsímil")</f>
        <v>Abrir facsímil</v>
      </c>
      <c r="K6742" s="15" t="s">
        <v>23</v>
      </c>
    </row>
    <row r="6743" spans="1:11" ht="42" customHeight="1">
      <c r="A6743" s="4" t="s">
        <v>16433</v>
      </c>
      <c r="B6743" s="5" t="s">
        <v>16434</v>
      </c>
      <c r="C6743" s="5" t="s">
        <v>42</v>
      </c>
      <c r="D6743" s="5" t="s">
        <v>43</v>
      </c>
      <c r="E6743" s="5" t="s">
        <v>44</v>
      </c>
      <c r="F6743" s="9">
        <v>99</v>
      </c>
      <c r="G6743" s="9" t="s">
        <v>262</v>
      </c>
      <c r="H6743" s="5" t="s">
        <v>21</v>
      </c>
      <c r="I6743" s="5" t="s">
        <v>16435</v>
      </c>
      <c r="J6743" s="12" t="str">
        <f>HYPERLINK("https://www.boe.es/gazeta/dias/1802/12/07/pdfs/GMD-D-1802-99.pdf#page=8","Abrir facsímil")</f>
        <v>Abrir facsímil</v>
      </c>
      <c r="K6743" s="15" t="s">
        <v>23</v>
      </c>
    </row>
    <row r="6744" spans="1:11" ht="42" customHeight="1">
      <c r="A6744" s="4" t="s">
        <v>16436</v>
      </c>
      <c r="B6744" s="5" t="s">
        <v>16436</v>
      </c>
      <c r="C6744" s="5" t="s">
        <v>90</v>
      </c>
      <c r="D6744" s="5" t="s">
        <v>91</v>
      </c>
      <c r="E6744" s="5" t="s">
        <v>814</v>
      </c>
      <c r="F6744" s="9">
        <v>41</v>
      </c>
      <c r="G6744" s="9">
        <v>492</v>
      </c>
      <c r="H6744" s="5" t="s">
        <v>21</v>
      </c>
      <c r="I6744" s="5" t="s">
        <v>16437</v>
      </c>
      <c r="J6744" s="12" t="str">
        <f>HYPERLINK("https://www.boe.es/gazeta/dias/1802/05/21/pdfs/GMD-1802-41.pdf#page=8","Abrir facsímil")</f>
        <v>Abrir facsímil</v>
      </c>
      <c r="K6744" s="15" t="s">
        <v>23</v>
      </c>
    </row>
    <row r="6745" spans="1:11" ht="42" customHeight="1">
      <c r="A6745" s="4" t="s">
        <v>16438</v>
      </c>
      <c r="B6745" s="5" t="s">
        <v>16438</v>
      </c>
      <c r="C6745" s="5" t="s">
        <v>29</v>
      </c>
      <c r="D6745" s="5" t="s">
        <v>30</v>
      </c>
      <c r="E6745" s="5" t="s">
        <v>172</v>
      </c>
      <c r="F6745" s="9">
        <v>35</v>
      </c>
      <c r="G6745" s="9">
        <v>401</v>
      </c>
      <c r="H6745" s="5" t="s">
        <v>21</v>
      </c>
      <c r="I6745" s="5" t="s">
        <v>16439</v>
      </c>
      <c r="J6745" s="12" t="str">
        <f>HYPERLINK("https://www.boe.es/gazeta/dias/1802/04/30/pdfs/GMD-1802-35.pdf#page=1","Abrir facsímil")</f>
        <v>Abrir facsímil</v>
      </c>
      <c r="K6745" s="15" t="s">
        <v>23</v>
      </c>
    </row>
    <row r="6746" spans="1:11" ht="42" customHeight="1">
      <c r="A6746" s="4" t="s">
        <v>16440</v>
      </c>
      <c r="B6746" s="5" t="s">
        <v>16441</v>
      </c>
      <c r="C6746" s="5" t="s">
        <v>29</v>
      </c>
      <c r="D6746" s="5" t="s">
        <v>30</v>
      </c>
      <c r="E6746" s="5" t="s">
        <v>907</v>
      </c>
      <c r="F6746" s="9">
        <v>77</v>
      </c>
      <c r="G6746" s="9">
        <v>949</v>
      </c>
      <c r="H6746" s="5" t="s">
        <v>21</v>
      </c>
      <c r="I6746" s="5" t="s">
        <v>16442</v>
      </c>
      <c r="J6746" s="12" t="str">
        <f>HYPERLINK("https://www.boe.es/gazeta/dias/1802/09/21/pdfs/GMD-1802-77.pdf#page=9","Abrir facsímil")</f>
        <v>Abrir facsímil</v>
      </c>
      <c r="K6746" s="15" t="s">
        <v>23</v>
      </c>
    </row>
    <row r="6747" spans="1:11" ht="42" customHeight="1">
      <c r="A6747" s="4" t="s">
        <v>16443</v>
      </c>
      <c r="B6747" s="5" t="s">
        <v>16444</v>
      </c>
      <c r="C6747" s="5" t="s">
        <v>18</v>
      </c>
      <c r="D6747" s="5" t="s">
        <v>19</v>
      </c>
      <c r="E6747" s="5" t="s">
        <v>49</v>
      </c>
      <c r="F6747" s="9">
        <v>83</v>
      </c>
      <c r="G6747" s="9">
        <v>1026</v>
      </c>
      <c r="H6747" s="5" t="s">
        <v>21</v>
      </c>
      <c r="I6747" s="5" t="s">
        <v>16445</v>
      </c>
      <c r="J6747" s="12" t="str">
        <f>HYPERLINK("https://www.boe.es/gazeta/dias/1802/10/12/pdfs/GMD-1802-83.pdf#page=14","Abrir facsímil")</f>
        <v>Abrir facsímil</v>
      </c>
      <c r="K6747" s="15" t="s">
        <v>23</v>
      </c>
    </row>
    <row r="6748" spans="1:11" ht="42" customHeight="1">
      <c r="A6748" s="4" t="s">
        <v>16446</v>
      </c>
      <c r="B6748" s="5" t="s">
        <v>16447</v>
      </c>
      <c r="C6748" s="5" t="s">
        <v>18</v>
      </c>
      <c r="D6748" s="5" t="s">
        <v>19</v>
      </c>
      <c r="E6748" s="5" t="s">
        <v>49</v>
      </c>
      <c r="F6748" s="9">
        <v>83</v>
      </c>
      <c r="G6748" s="9">
        <v>1025</v>
      </c>
      <c r="H6748" s="5" t="s">
        <v>21</v>
      </c>
      <c r="I6748" s="5" t="s">
        <v>16448</v>
      </c>
      <c r="J6748" s="12" t="str">
        <f>HYPERLINK("https://www.boe.es/gazeta/dias/1802/10/12/pdfs/GMD-1802-83.pdf#page=13","Abrir facsímil")</f>
        <v>Abrir facsímil</v>
      </c>
      <c r="K6748" s="15" t="s">
        <v>23</v>
      </c>
    </row>
    <row r="6749" spans="1:11" ht="42" customHeight="1">
      <c r="A6749" s="4" t="s">
        <v>16449</v>
      </c>
      <c r="B6749" s="5" t="s">
        <v>16450</v>
      </c>
      <c r="C6749" s="5" t="s">
        <v>18</v>
      </c>
      <c r="D6749" s="5" t="s">
        <v>19</v>
      </c>
      <c r="E6749" s="5" t="s">
        <v>20</v>
      </c>
      <c r="F6749" s="9">
        <v>84</v>
      </c>
      <c r="G6749" s="9">
        <v>1041</v>
      </c>
      <c r="H6749" s="5" t="s">
        <v>21</v>
      </c>
      <c r="I6749" s="5" t="s">
        <v>16451</v>
      </c>
      <c r="J6749" s="12" t="str">
        <f>HYPERLINK("https://www.boe.es/gazeta/dias/1802/10/15/pdfs/GMD-1802-84.pdf#page=9","Abrir facsímil")</f>
        <v>Abrir facsímil</v>
      </c>
      <c r="K6749" s="15" t="s">
        <v>23</v>
      </c>
    </row>
    <row r="6750" spans="1:11" ht="42" customHeight="1">
      <c r="A6750" s="4" t="s">
        <v>16452</v>
      </c>
      <c r="B6750" s="5" t="s">
        <v>16452</v>
      </c>
      <c r="C6750" s="5" t="s">
        <v>18</v>
      </c>
      <c r="D6750" s="5" t="s">
        <v>19</v>
      </c>
      <c r="E6750" s="5" t="s">
        <v>128</v>
      </c>
      <c r="F6750" s="9">
        <v>9</v>
      </c>
      <c r="G6750" s="9">
        <v>87</v>
      </c>
      <c r="H6750" s="5" t="s">
        <v>21</v>
      </c>
      <c r="I6750" s="5" t="s">
        <v>16453</v>
      </c>
      <c r="J6750" s="12" t="str">
        <f>HYPERLINK("https://www.boe.es/gazeta/dias/1802/01/29/pdfs/GMD-1802-9.pdf#page=7","Abrir facsímil")</f>
        <v>Abrir facsímil</v>
      </c>
      <c r="K6750" s="15" t="s">
        <v>23</v>
      </c>
    </row>
    <row r="6751" spans="1:11" ht="42" customHeight="1">
      <c r="A6751" s="4" t="s">
        <v>16454</v>
      </c>
      <c r="B6751" s="5" t="s">
        <v>16455</v>
      </c>
      <c r="C6751" s="5" t="s">
        <v>29</v>
      </c>
      <c r="D6751" s="5" t="s">
        <v>30</v>
      </c>
      <c r="E6751" s="5" t="s">
        <v>823</v>
      </c>
      <c r="F6751" s="9">
        <v>94</v>
      </c>
      <c r="G6751" s="9">
        <v>1153</v>
      </c>
      <c r="H6751" s="5" t="s">
        <v>21</v>
      </c>
      <c r="I6751" s="5" t="s">
        <v>16456</v>
      </c>
      <c r="J6751" s="12" t="str">
        <f>HYPERLINK("https://www.boe.es/gazeta/dias/1802/11/19/pdfs/GMD-1802-94.pdf#page=1","Abrir facsímil")</f>
        <v>Abrir facsímil</v>
      </c>
      <c r="K6751" s="15" t="s">
        <v>23</v>
      </c>
    </row>
    <row r="6752" spans="1:11" ht="42" customHeight="1">
      <c r="A6752" s="4" t="s">
        <v>16457</v>
      </c>
      <c r="B6752" s="5" t="s">
        <v>16457</v>
      </c>
      <c r="C6752" s="5" t="s">
        <v>35</v>
      </c>
      <c r="D6752" s="5" t="s">
        <v>36</v>
      </c>
      <c r="E6752" s="5" t="s">
        <v>75</v>
      </c>
      <c r="F6752" s="9">
        <v>103</v>
      </c>
      <c r="G6752" s="9">
        <v>1260</v>
      </c>
      <c r="H6752" s="5" t="s">
        <v>21</v>
      </c>
      <c r="I6752" s="5" t="s">
        <v>16458</v>
      </c>
      <c r="J6752" s="12" t="str">
        <f>HYPERLINK("https://www.boe.es/gazeta/dias/1802/12/21/pdfs/GMD-1802-103.pdf#page=4","Abrir facsímil")</f>
        <v>Abrir facsímil</v>
      </c>
      <c r="K6752" s="15" t="s">
        <v>23</v>
      </c>
    </row>
    <row r="6753" spans="1:11" ht="42" customHeight="1">
      <c r="A6753" s="4" t="s">
        <v>16459</v>
      </c>
      <c r="B6753" s="5" t="s">
        <v>16459</v>
      </c>
      <c r="C6753" s="5" t="s">
        <v>18</v>
      </c>
      <c r="D6753" s="5" t="s">
        <v>19</v>
      </c>
      <c r="E6753" s="5" t="s">
        <v>152</v>
      </c>
      <c r="F6753" s="9">
        <v>25</v>
      </c>
      <c r="G6753" s="9">
        <v>281</v>
      </c>
      <c r="H6753" s="5" t="s">
        <v>21</v>
      </c>
      <c r="I6753" s="5" t="s">
        <v>16460</v>
      </c>
      <c r="J6753" s="12" t="str">
        <f>HYPERLINK("https://www.boe.es/gazeta/dias/1802/03/26/pdfs/GMD-1802-25.pdf#page=5","Abrir facsímil")</f>
        <v>Abrir facsímil</v>
      </c>
      <c r="K6753" s="15" t="s">
        <v>23</v>
      </c>
    </row>
    <row r="6754" spans="1:11" ht="42" customHeight="1">
      <c r="A6754" s="4" t="s">
        <v>16461</v>
      </c>
      <c r="B6754" s="5" t="s">
        <v>16461</v>
      </c>
      <c r="C6754" s="5" t="s">
        <v>18</v>
      </c>
      <c r="D6754" s="5" t="s">
        <v>19</v>
      </c>
      <c r="E6754" s="5" t="s">
        <v>181</v>
      </c>
      <c r="F6754" s="9">
        <v>55</v>
      </c>
      <c r="G6754" s="9">
        <v>666</v>
      </c>
      <c r="H6754" s="5" t="s">
        <v>21</v>
      </c>
      <c r="I6754" s="5" t="s">
        <v>16462</v>
      </c>
      <c r="J6754" s="12" t="str">
        <f>HYPERLINK("https://www.boe.es/gazeta/dias/1802/07/09/pdfs/GMD-1802-55.pdf#page=10","Abrir facsímil")</f>
        <v>Abrir facsímil</v>
      </c>
      <c r="K6754" s="15" t="s">
        <v>23</v>
      </c>
    </row>
    <row r="6755" spans="1:11" ht="42" customHeight="1">
      <c r="A6755" s="4" t="s">
        <v>16463</v>
      </c>
      <c r="B6755" s="5" t="s">
        <v>16464</v>
      </c>
      <c r="C6755" s="5" t="s">
        <v>29</v>
      </c>
      <c r="D6755" s="5" t="s">
        <v>30</v>
      </c>
      <c r="E6755" s="5" t="s">
        <v>172</v>
      </c>
      <c r="F6755" s="9">
        <v>35</v>
      </c>
      <c r="G6755" s="9">
        <v>411</v>
      </c>
      <c r="H6755" s="5" t="s">
        <v>21</v>
      </c>
      <c r="I6755" s="5" t="s">
        <v>16465</v>
      </c>
      <c r="J6755" s="12" t="str">
        <f>HYPERLINK("https://www.boe.es/gazeta/dias/1802/04/30/pdfs/GMD-1802-35.pdf#page=11","Abrir facsímil")</f>
        <v>Abrir facsímil</v>
      </c>
      <c r="K6755" s="15" t="s">
        <v>23</v>
      </c>
    </row>
    <row r="6756" spans="1:11" ht="42" customHeight="1">
      <c r="A6756" s="4" t="s">
        <v>16466</v>
      </c>
      <c r="B6756" s="5" t="s">
        <v>16466</v>
      </c>
      <c r="C6756" s="5" t="s">
        <v>29</v>
      </c>
      <c r="D6756" s="5" t="s">
        <v>30</v>
      </c>
      <c r="E6756" s="5" t="s">
        <v>167</v>
      </c>
      <c r="F6756" s="9">
        <v>23</v>
      </c>
      <c r="G6756" s="9">
        <v>256</v>
      </c>
      <c r="H6756" s="5" t="s">
        <v>21</v>
      </c>
      <c r="I6756" s="5" t="s">
        <v>16467</v>
      </c>
      <c r="J6756" s="12" t="str">
        <f>HYPERLINK("https://www.boe.es/gazeta/dias/1802/03/19/pdfs/GMD-1802-23.pdf#page=4","Abrir facsímil")</f>
        <v>Abrir facsímil</v>
      </c>
      <c r="K6756" s="15" t="s">
        <v>23</v>
      </c>
    </row>
    <row r="6757" spans="1:11" ht="42" customHeight="1">
      <c r="A6757" s="4" t="s">
        <v>16468</v>
      </c>
      <c r="B6757" s="5" t="s">
        <v>16469</v>
      </c>
      <c r="C6757" s="5" t="s">
        <v>35</v>
      </c>
      <c r="D6757" s="5" t="s">
        <v>36</v>
      </c>
      <c r="E6757" s="5" t="s">
        <v>165</v>
      </c>
      <c r="F6757" s="9">
        <v>3</v>
      </c>
      <c r="G6757" s="9">
        <v>23</v>
      </c>
      <c r="H6757" s="5" t="s">
        <v>21</v>
      </c>
      <c r="I6757" s="5" t="s">
        <v>16470</v>
      </c>
      <c r="J6757" s="12" t="str">
        <f>HYPERLINK("https://www.boe.es/gazeta/dias/1802/01/08/pdfs/GMD-1802-3.pdf#page=3","Abrir facsímil")</f>
        <v>Abrir facsímil</v>
      </c>
      <c r="K6757" s="15" t="s">
        <v>23</v>
      </c>
    </row>
    <row r="6758" spans="1:11" ht="42" customHeight="1">
      <c r="A6758" s="4" t="s">
        <v>16471</v>
      </c>
      <c r="B6758" s="5" t="s">
        <v>16472</v>
      </c>
      <c r="C6758" s="5" t="s">
        <v>18</v>
      </c>
      <c r="D6758" s="5" t="s">
        <v>19</v>
      </c>
      <c r="E6758" s="5" t="s">
        <v>44</v>
      </c>
      <c r="F6758" s="9">
        <v>99</v>
      </c>
      <c r="G6758" s="9">
        <v>1220</v>
      </c>
      <c r="H6758" s="5" t="s">
        <v>21</v>
      </c>
      <c r="I6758" s="5" t="s">
        <v>16473</v>
      </c>
      <c r="J6758" s="12" t="str">
        <f>HYPERLINK("https://www.boe.es/gazeta/dias/1802/12/07/pdfs/GMD-1802-99.pdf#page=4","Abrir facsímil")</f>
        <v>Abrir facsímil</v>
      </c>
      <c r="K6758" s="15" t="s">
        <v>23</v>
      </c>
    </row>
    <row r="6759" spans="1:11" ht="42" customHeight="1">
      <c r="A6759" s="4" t="s">
        <v>16474</v>
      </c>
      <c r="B6759" s="5" t="s">
        <v>16475</v>
      </c>
      <c r="C6759" s="5" t="s">
        <v>35</v>
      </c>
      <c r="D6759" s="5" t="s">
        <v>36</v>
      </c>
      <c r="E6759" s="5" t="s">
        <v>31</v>
      </c>
      <c r="F6759" s="9">
        <v>27</v>
      </c>
      <c r="G6759" s="9">
        <v>311</v>
      </c>
      <c r="H6759" s="5" t="s">
        <v>21</v>
      </c>
      <c r="I6759" s="5" t="s">
        <v>16476</v>
      </c>
      <c r="J6759" s="12" t="str">
        <f>HYPERLINK("https://www.boe.es/gazeta/dias/1802/04/02/pdfs/GMD-1802-27.pdf#page=7","Abrir facsímil")</f>
        <v>Abrir facsímil</v>
      </c>
      <c r="K6759" s="15" t="s">
        <v>23</v>
      </c>
    </row>
    <row r="6760" spans="1:11" ht="42" customHeight="1">
      <c r="A6760" s="4" t="s">
        <v>16477</v>
      </c>
      <c r="B6760" s="5" t="s">
        <v>16478</v>
      </c>
      <c r="C6760" s="5" t="s">
        <v>18</v>
      </c>
      <c r="D6760" s="5" t="s">
        <v>19</v>
      </c>
      <c r="E6760" s="5" t="s">
        <v>167</v>
      </c>
      <c r="F6760" s="9">
        <v>23</v>
      </c>
      <c r="G6760" s="9">
        <v>256</v>
      </c>
      <c r="H6760" s="5" t="s">
        <v>21</v>
      </c>
      <c r="I6760" s="5" t="s">
        <v>16479</v>
      </c>
      <c r="J6760" s="12" t="str">
        <f>HYPERLINK("https://www.boe.es/gazeta/dias/1802/03/19/pdfs/GMD-1802-23.pdf#page=4","Abrir facsímil")</f>
        <v>Abrir facsímil</v>
      </c>
      <c r="K6760" s="15" t="s">
        <v>23</v>
      </c>
    </row>
    <row r="6761" spans="1:11" ht="42" customHeight="1">
      <c r="A6761" s="4" t="s">
        <v>16477</v>
      </c>
      <c r="B6761" s="5" t="s">
        <v>16478</v>
      </c>
      <c r="C6761" s="5" t="s">
        <v>18</v>
      </c>
      <c r="D6761" s="5" t="s">
        <v>19</v>
      </c>
      <c r="E6761" s="5" t="s">
        <v>152</v>
      </c>
      <c r="F6761" s="9">
        <v>25</v>
      </c>
      <c r="G6761" s="9">
        <v>282</v>
      </c>
      <c r="H6761" s="5" t="s">
        <v>21</v>
      </c>
      <c r="I6761" s="5" t="s">
        <v>16480</v>
      </c>
      <c r="J6761" s="12" t="str">
        <f>HYPERLINK("https://www.boe.es/gazeta/dias/1802/03/26/pdfs/GMD-1802-25.pdf#page=6","Abrir facsímil")</f>
        <v>Abrir facsímil</v>
      </c>
      <c r="K6761" s="15" t="s">
        <v>23</v>
      </c>
    </row>
    <row r="6762" spans="1:11" ht="42" customHeight="1">
      <c r="A6762" s="4" t="s">
        <v>16477</v>
      </c>
      <c r="B6762" s="5" t="s">
        <v>16478</v>
      </c>
      <c r="C6762" s="5" t="s">
        <v>18</v>
      </c>
      <c r="D6762" s="5" t="s">
        <v>19</v>
      </c>
      <c r="E6762" s="5" t="s">
        <v>814</v>
      </c>
      <c r="F6762" s="9">
        <v>41</v>
      </c>
      <c r="G6762" s="9">
        <v>488</v>
      </c>
      <c r="H6762" s="5" t="s">
        <v>21</v>
      </c>
      <c r="I6762" s="5" t="s">
        <v>16481</v>
      </c>
      <c r="J6762" s="12" t="str">
        <f>HYPERLINK("https://www.boe.es/gazeta/dias/1802/05/21/pdfs/GMD-1802-41.pdf#page=4","Abrir facsímil")</f>
        <v>Abrir facsímil</v>
      </c>
      <c r="K6762" s="15" t="s">
        <v>23</v>
      </c>
    </row>
    <row r="6763" spans="1:11" ht="42" customHeight="1">
      <c r="A6763" s="4" t="s">
        <v>16482</v>
      </c>
      <c r="B6763" s="5" t="s">
        <v>16482</v>
      </c>
      <c r="C6763" s="5" t="s">
        <v>90</v>
      </c>
      <c r="D6763" s="5" t="s">
        <v>91</v>
      </c>
      <c r="E6763" s="5" t="s">
        <v>1407</v>
      </c>
      <c r="F6763" s="9">
        <v>8</v>
      </c>
      <c r="G6763" s="9">
        <v>78</v>
      </c>
      <c r="H6763" s="5" t="s">
        <v>21</v>
      </c>
      <c r="I6763" s="5" t="s">
        <v>16483</v>
      </c>
      <c r="J6763" s="12" t="str">
        <f>HYPERLINK("https://www.boe.es/gazeta/dias/1802/01/26/pdfs/GMD-1802-8.pdf#page=6","Abrir facsímil")</f>
        <v>Abrir facsímil</v>
      </c>
      <c r="K6763" s="15" t="s">
        <v>23</v>
      </c>
    </row>
    <row r="6764" spans="1:11" ht="42" customHeight="1">
      <c r="A6764" s="4" t="s">
        <v>16484</v>
      </c>
      <c r="B6764" s="5" t="s">
        <v>16484</v>
      </c>
      <c r="C6764" s="5" t="s">
        <v>55</v>
      </c>
      <c r="D6764" s="5" t="s">
        <v>56</v>
      </c>
      <c r="E6764" s="5" t="s">
        <v>133</v>
      </c>
      <c r="F6764" s="9">
        <v>33</v>
      </c>
      <c r="G6764" s="9">
        <v>388</v>
      </c>
      <c r="H6764" s="5" t="s">
        <v>21</v>
      </c>
      <c r="I6764" s="5" t="s">
        <v>16485</v>
      </c>
      <c r="J6764" s="12" t="str">
        <f>HYPERLINK("https://www.boe.es/gazeta/dias/1802/04/23/pdfs/GMD-1802-33.pdf#page=8","Abrir facsímil")</f>
        <v>Abrir facsímil</v>
      </c>
      <c r="K6764" s="15" t="s">
        <v>23</v>
      </c>
    </row>
    <row r="6765" spans="1:11" ht="42" customHeight="1">
      <c r="A6765" s="4" t="s">
        <v>16486</v>
      </c>
      <c r="B6765" s="5" t="s">
        <v>16486</v>
      </c>
      <c r="C6765" s="5" t="s">
        <v>29</v>
      </c>
      <c r="D6765" s="5" t="s">
        <v>30</v>
      </c>
      <c r="E6765" s="5" t="s">
        <v>163</v>
      </c>
      <c r="F6765" s="9">
        <v>1</v>
      </c>
      <c r="G6765" s="9">
        <v>3</v>
      </c>
      <c r="H6765" s="5" t="s">
        <v>21</v>
      </c>
      <c r="I6765" s="5" t="s">
        <v>16487</v>
      </c>
      <c r="J6765" s="12" t="str">
        <f>HYPERLINK("https://www.boe.es/gazeta/dias/1802/01/01/pdfs/GMD-1802-1.pdf#page=3","Abrir facsímil")</f>
        <v>Abrir facsímil</v>
      </c>
      <c r="K6765" s="15" t="s">
        <v>23</v>
      </c>
    </row>
    <row r="6766" spans="1:11" ht="42" customHeight="1">
      <c r="A6766" s="4" t="s">
        <v>16486</v>
      </c>
      <c r="B6766" s="5" t="s">
        <v>16486</v>
      </c>
      <c r="C6766" s="5" t="s">
        <v>35</v>
      </c>
      <c r="D6766" s="5" t="s">
        <v>36</v>
      </c>
      <c r="E6766" s="5" t="s">
        <v>57</v>
      </c>
      <c r="F6766" s="9">
        <v>54</v>
      </c>
      <c r="G6766" s="9">
        <v>647</v>
      </c>
      <c r="H6766" s="5" t="s">
        <v>21</v>
      </c>
      <c r="I6766" s="5" t="s">
        <v>16488</v>
      </c>
      <c r="J6766" s="12" t="str">
        <f>HYPERLINK("https://www.boe.es/gazeta/dias/1802/07/06/pdfs/GMD-1802-54.pdf#page=3","Abrir facsímil")</f>
        <v>Abrir facsímil</v>
      </c>
      <c r="K6766" s="15" t="s">
        <v>23</v>
      </c>
    </row>
    <row r="6767" spans="1:11" ht="42" customHeight="1">
      <c r="A6767" s="4" t="s">
        <v>16489</v>
      </c>
      <c r="B6767" s="5" t="s">
        <v>16489</v>
      </c>
      <c r="C6767" s="5" t="s">
        <v>90</v>
      </c>
      <c r="D6767" s="5" t="s">
        <v>91</v>
      </c>
      <c r="E6767" s="5" t="s">
        <v>1264</v>
      </c>
      <c r="F6767" s="9">
        <v>105</v>
      </c>
      <c r="G6767" s="9">
        <v>1286</v>
      </c>
      <c r="H6767" s="5" t="s">
        <v>21</v>
      </c>
      <c r="I6767" s="5" t="s">
        <v>16490</v>
      </c>
      <c r="J6767" s="12" t="str">
        <f>HYPERLINK("https://www.boe.es/gazeta/dias/1802/12/28/pdfs/GMD-1802-105.pdf#page=10","Abrir facsímil")</f>
        <v>Abrir facsímil</v>
      </c>
      <c r="K6767" s="15" t="s">
        <v>23</v>
      </c>
    </row>
    <row r="6768" spans="1:11" ht="42" customHeight="1">
      <c r="A6768" s="4" t="s">
        <v>16491</v>
      </c>
      <c r="B6768" s="5" t="s">
        <v>16492</v>
      </c>
      <c r="C6768" s="5" t="s">
        <v>90</v>
      </c>
      <c r="D6768" s="5" t="s">
        <v>91</v>
      </c>
      <c r="E6768" s="5" t="s">
        <v>311</v>
      </c>
      <c r="F6768" s="9">
        <v>88</v>
      </c>
      <c r="G6768" s="9">
        <v>1093</v>
      </c>
      <c r="H6768" s="5" t="s">
        <v>21</v>
      </c>
      <c r="I6768" s="5" t="s">
        <v>16493</v>
      </c>
      <c r="J6768" s="12" t="str">
        <f>HYPERLINK("https://www.boe.es/gazeta/dias/1802/10/29/pdfs/GMD-1802-88.pdf#page=9","Abrir facsímil")</f>
        <v>Abrir facsímil</v>
      </c>
      <c r="K6768" s="15" t="s">
        <v>23</v>
      </c>
    </row>
    <row r="6769" spans="1:11" ht="42" customHeight="1">
      <c r="A6769" s="4" t="s">
        <v>16494</v>
      </c>
      <c r="B6769" s="5" t="s">
        <v>16495</v>
      </c>
      <c r="C6769" s="5" t="s">
        <v>18</v>
      </c>
      <c r="D6769" s="5" t="s">
        <v>19</v>
      </c>
      <c r="E6769" s="5" t="s">
        <v>49</v>
      </c>
      <c r="F6769" s="9">
        <v>83</v>
      </c>
      <c r="G6769" s="9">
        <v>1023</v>
      </c>
      <c r="H6769" s="5" t="s">
        <v>21</v>
      </c>
      <c r="I6769" s="5" t="s">
        <v>16496</v>
      </c>
      <c r="J6769" s="12" t="str">
        <f>HYPERLINK("https://www.boe.es/gazeta/dias/1802/10/12/pdfs/GMD-1802-83.pdf#page=11","Abrir facsímil")</f>
        <v>Abrir facsímil</v>
      </c>
      <c r="K6769" s="15" t="s">
        <v>23</v>
      </c>
    </row>
    <row r="6770" spans="1:11" ht="42" customHeight="1">
      <c r="A6770" s="4" t="s">
        <v>16497</v>
      </c>
      <c r="B6770" s="5" t="s">
        <v>16498</v>
      </c>
      <c r="C6770" s="5" t="s">
        <v>29</v>
      </c>
      <c r="D6770" s="5" t="s">
        <v>30</v>
      </c>
      <c r="E6770" s="5" t="s">
        <v>389</v>
      </c>
      <c r="F6770" s="9">
        <v>96</v>
      </c>
      <c r="G6770" s="9">
        <v>1189</v>
      </c>
      <c r="H6770" s="5" t="s">
        <v>21</v>
      </c>
      <c r="I6770" s="5" t="s">
        <v>16499</v>
      </c>
      <c r="J6770" s="12" t="str">
        <f>HYPERLINK("https://www.boe.es/gazeta/dias/1802/11/26/pdfs/GMD-1802-96.pdf#page=9","Abrir facsímil")</f>
        <v>Abrir facsímil</v>
      </c>
      <c r="K6770" s="15" t="s">
        <v>23</v>
      </c>
    </row>
    <row r="6771" spans="1:11" ht="42" customHeight="1">
      <c r="A6771" s="4" t="s">
        <v>16500</v>
      </c>
      <c r="B6771" s="5" t="s">
        <v>16500</v>
      </c>
      <c r="C6771" s="5" t="s">
        <v>42</v>
      </c>
      <c r="D6771" s="5" t="s">
        <v>43</v>
      </c>
      <c r="E6771" s="5" t="s">
        <v>44</v>
      </c>
      <c r="F6771" s="9">
        <v>99</v>
      </c>
      <c r="G6771" s="9" t="s">
        <v>272</v>
      </c>
      <c r="H6771" s="5" t="s">
        <v>21</v>
      </c>
      <c r="I6771" s="5" t="s">
        <v>16501</v>
      </c>
      <c r="J6771" s="12" t="str">
        <f>HYPERLINK("https://www.boe.es/gazeta/dias/1802/12/07/pdfs/GMD-D-1802-99.pdf#page=3","Abrir facsímil")</f>
        <v>Abrir facsímil</v>
      </c>
      <c r="K6771" s="15" t="s">
        <v>23</v>
      </c>
    </row>
    <row r="6772" spans="1:11" ht="42" customHeight="1">
      <c r="A6772" s="4" t="s">
        <v>16502</v>
      </c>
      <c r="B6772" s="5" t="s">
        <v>16502</v>
      </c>
      <c r="C6772" s="5" t="s">
        <v>42</v>
      </c>
      <c r="D6772" s="5" t="s">
        <v>43</v>
      </c>
      <c r="E6772" s="5" t="s">
        <v>44</v>
      </c>
      <c r="F6772" s="9">
        <v>99</v>
      </c>
      <c r="G6772" s="9" t="s">
        <v>550</v>
      </c>
      <c r="H6772" s="5" t="s">
        <v>21</v>
      </c>
      <c r="I6772" s="5" t="s">
        <v>16503</v>
      </c>
      <c r="J6772" s="12" t="str">
        <f>HYPERLINK("https://www.boe.es/gazeta/dias/1802/12/07/pdfs/GMD-D-1802-99.pdf#page=16","Abrir facsímil")</f>
        <v>Abrir facsímil</v>
      </c>
      <c r="K6772" s="15" t="s">
        <v>23</v>
      </c>
    </row>
    <row r="6773" spans="1:11" ht="42" customHeight="1">
      <c r="A6773" s="4" t="s">
        <v>16504</v>
      </c>
      <c r="B6773" s="5" t="s">
        <v>16505</v>
      </c>
      <c r="C6773" s="5" t="s">
        <v>35</v>
      </c>
      <c r="D6773" s="5" t="s">
        <v>36</v>
      </c>
      <c r="E6773" s="5" t="s">
        <v>102</v>
      </c>
      <c r="F6773" s="9">
        <v>73</v>
      </c>
      <c r="G6773" s="9">
        <v>896</v>
      </c>
      <c r="H6773" s="5" t="s">
        <v>21</v>
      </c>
      <c r="I6773" s="5" t="s">
        <v>16506</v>
      </c>
      <c r="J6773" s="12" t="str">
        <f>HYPERLINK("https://www.boe.es/gazeta/dias/1802/09/07/pdfs/GMD-1802-73.pdf#page=4","Abrir facsímil")</f>
        <v>Abrir facsímil</v>
      </c>
      <c r="K6773" s="15" t="s">
        <v>23</v>
      </c>
    </row>
    <row r="6774" spans="1:11" ht="42" customHeight="1">
      <c r="A6774" s="4" t="s">
        <v>16507</v>
      </c>
      <c r="B6774" s="5" t="s">
        <v>16507</v>
      </c>
      <c r="C6774" s="5" t="s">
        <v>18</v>
      </c>
      <c r="D6774" s="5" t="s">
        <v>19</v>
      </c>
      <c r="E6774" s="5" t="s">
        <v>20</v>
      </c>
      <c r="F6774" s="9">
        <v>84</v>
      </c>
      <c r="G6774" s="9">
        <v>1043</v>
      </c>
      <c r="H6774" s="5" t="s">
        <v>21</v>
      </c>
      <c r="I6774" s="5" t="s">
        <v>16508</v>
      </c>
      <c r="J6774" s="12" t="str">
        <f>HYPERLINK("https://www.boe.es/gazeta/dias/1802/10/15/pdfs/GMD-1802-84.pdf#page=11","Abrir facsímil")</f>
        <v>Abrir facsímil</v>
      </c>
      <c r="K6774" s="15" t="s">
        <v>23</v>
      </c>
    </row>
    <row r="6775" spans="1:11" ht="42" customHeight="1">
      <c r="A6775" s="4" t="s">
        <v>16509</v>
      </c>
      <c r="B6775" s="5" t="s">
        <v>16509</v>
      </c>
      <c r="C6775" s="5" t="s">
        <v>35</v>
      </c>
      <c r="D6775" s="5" t="s">
        <v>36</v>
      </c>
      <c r="E6775" s="5" t="s">
        <v>655</v>
      </c>
      <c r="F6775" s="9">
        <v>46</v>
      </c>
      <c r="G6775" s="9">
        <v>549</v>
      </c>
      <c r="H6775" s="5" t="s">
        <v>21</v>
      </c>
      <c r="I6775" s="5" t="s">
        <v>16510</v>
      </c>
      <c r="J6775" s="12" t="str">
        <f>HYPERLINK("https://www.boe.es/gazeta/dias/1802/06/08/pdfs/GMD-1802-46.pdf#page=1","Abrir facsímil")</f>
        <v>Abrir facsímil</v>
      </c>
      <c r="K6775" s="15" t="s">
        <v>23</v>
      </c>
    </row>
    <row r="6776" spans="1:11" ht="42" customHeight="1">
      <c r="A6776" s="4" t="s">
        <v>16511</v>
      </c>
      <c r="B6776" s="5" t="s">
        <v>16512</v>
      </c>
      <c r="C6776" s="5" t="s">
        <v>18</v>
      </c>
      <c r="D6776" s="5" t="s">
        <v>19</v>
      </c>
      <c r="E6776" s="5" t="s">
        <v>20</v>
      </c>
      <c r="F6776" s="9">
        <v>84</v>
      </c>
      <c r="G6776" s="9">
        <v>1043</v>
      </c>
      <c r="H6776" s="5" t="s">
        <v>21</v>
      </c>
      <c r="I6776" s="5" t="s">
        <v>16513</v>
      </c>
      <c r="J6776" s="12" t="str">
        <f>HYPERLINK("https://www.boe.es/gazeta/dias/1802/10/15/pdfs/GMD-1802-84.pdf#page=11","Abrir facsímil")</f>
        <v>Abrir facsímil</v>
      </c>
      <c r="K6776" s="15" t="s">
        <v>23</v>
      </c>
    </row>
    <row r="6777" spans="1:11" ht="42" customHeight="1">
      <c r="A6777" s="4" t="s">
        <v>16514</v>
      </c>
      <c r="B6777" s="5" t="s">
        <v>16515</v>
      </c>
      <c r="C6777" s="5" t="s">
        <v>29</v>
      </c>
      <c r="D6777" s="5" t="s">
        <v>30</v>
      </c>
      <c r="E6777" s="5" t="s">
        <v>128</v>
      </c>
      <c r="F6777" s="9">
        <v>9</v>
      </c>
      <c r="G6777" s="9">
        <v>89</v>
      </c>
      <c r="H6777" s="5" t="s">
        <v>21</v>
      </c>
      <c r="I6777" s="5" t="s">
        <v>16516</v>
      </c>
      <c r="J6777" s="12" t="str">
        <f>HYPERLINK("https://www.boe.es/gazeta/dias/1802/01/29/pdfs/GMD-1802-9.pdf#page=9","Abrir facsímil")</f>
        <v>Abrir facsímil</v>
      </c>
      <c r="K6777" s="15" t="s">
        <v>23</v>
      </c>
    </row>
    <row r="6778" spans="1:11" ht="42" customHeight="1">
      <c r="A6778" s="4" t="s">
        <v>16517</v>
      </c>
      <c r="B6778" s="5" t="s">
        <v>16518</v>
      </c>
      <c r="C6778" s="5" t="s">
        <v>29</v>
      </c>
      <c r="D6778" s="5" t="s">
        <v>30</v>
      </c>
      <c r="E6778" s="5" t="s">
        <v>73</v>
      </c>
      <c r="F6778" s="9">
        <v>102</v>
      </c>
      <c r="G6778" s="9">
        <v>1254</v>
      </c>
      <c r="H6778" s="5" t="s">
        <v>21</v>
      </c>
      <c r="I6778" s="5" t="s">
        <v>16519</v>
      </c>
      <c r="J6778" s="12" t="str">
        <f>HYPERLINK("https://www.boe.es/gazeta/dias/1802/12/17/pdfs/GMD-1802-102.pdf#page=10","Abrir facsímil")</f>
        <v>Abrir facsímil</v>
      </c>
      <c r="K6778" s="15" t="s">
        <v>23</v>
      </c>
    </row>
    <row r="6779" spans="1:11" ht="42" customHeight="1">
      <c r="A6779" s="4" t="s">
        <v>16520</v>
      </c>
      <c r="B6779" s="5" t="s">
        <v>16521</v>
      </c>
      <c r="C6779" s="5" t="s">
        <v>29</v>
      </c>
      <c r="D6779" s="5" t="s">
        <v>30</v>
      </c>
      <c r="E6779" s="5" t="s">
        <v>865</v>
      </c>
      <c r="F6779" s="9">
        <v>12</v>
      </c>
      <c r="G6779" s="9">
        <v>124</v>
      </c>
      <c r="H6779" s="5" t="s">
        <v>21</v>
      </c>
      <c r="I6779" s="5" t="s">
        <v>16522</v>
      </c>
      <c r="J6779" s="12" t="str">
        <f>HYPERLINK("https://www.boe.es/gazeta/dias/1802/02/09/pdfs/GMD-1802-12.pdf#page=8","Abrir facsímil")</f>
        <v>Abrir facsímil</v>
      </c>
      <c r="K6779" s="15" t="s">
        <v>23</v>
      </c>
    </row>
    <row r="6780" spans="1:11" ht="42" customHeight="1">
      <c r="A6780" s="4" t="s">
        <v>16523</v>
      </c>
      <c r="B6780" s="5" t="s">
        <v>16524</v>
      </c>
      <c r="C6780" s="5" t="s">
        <v>18</v>
      </c>
      <c r="D6780" s="5" t="s">
        <v>19</v>
      </c>
      <c r="E6780" s="5" t="s">
        <v>20</v>
      </c>
      <c r="F6780" s="9">
        <v>84</v>
      </c>
      <c r="G6780" s="9">
        <v>1046</v>
      </c>
      <c r="H6780" s="5" t="s">
        <v>21</v>
      </c>
      <c r="I6780" s="5" t="s">
        <v>16525</v>
      </c>
      <c r="J6780" s="12" t="str">
        <f>HYPERLINK("https://www.boe.es/gazeta/dias/1802/10/15/pdfs/GMD-1802-84.pdf#page=14","Abrir facsímil")</f>
        <v>Abrir facsímil</v>
      </c>
      <c r="K6780" s="15" t="s">
        <v>23</v>
      </c>
    </row>
    <row r="6781" spans="1:11" ht="42" customHeight="1">
      <c r="A6781" s="4" t="s">
        <v>16526</v>
      </c>
      <c r="B6781" s="5" t="s">
        <v>16526</v>
      </c>
      <c r="C6781" s="5" t="s">
        <v>18</v>
      </c>
      <c r="D6781" s="5" t="s">
        <v>19</v>
      </c>
      <c r="E6781" s="5" t="s">
        <v>49</v>
      </c>
      <c r="F6781" s="9">
        <v>83</v>
      </c>
      <c r="G6781" s="9">
        <v>1023</v>
      </c>
      <c r="H6781" s="5" t="s">
        <v>21</v>
      </c>
      <c r="I6781" s="5" t="s">
        <v>16527</v>
      </c>
      <c r="J6781" s="12" t="str">
        <f>HYPERLINK("https://www.boe.es/gazeta/dias/1802/10/12/pdfs/GMD-1802-83.pdf#page=11","Abrir facsímil")</f>
        <v>Abrir facsímil</v>
      </c>
      <c r="K6781" s="15" t="s">
        <v>23</v>
      </c>
    </row>
    <row r="6782" spans="1:11" ht="42" customHeight="1">
      <c r="A6782" s="4" t="s">
        <v>16528</v>
      </c>
      <c r="B6782" s="5" t="s">
        <v>16529</v>
      </c>
      <c r="C6782" s="5" t="s">
        <v>42</v>
      </c>
      <c r="D6782" s="5" t="s">
        <v>43</v>
      </c>
      <c r="E6782" s="5" t="s">
        <v>44</v>
      </c>
      <c r="F6782" s="9">
        <v>99</v>
      </c>
      <c r="G6782" s="9" t="s">
        <v>272</v>
      </c>
      <c r="H6782" s="5" t="s">
        <v>21</v>
      </c>
      <c r="I6782" s="5" t="s">
        <v>16530</v>
      </c>
      <c r="J6782" s="12" t="str">
        <f>HYPERLINK("https://www.boe.es/gazeta/dias/1802/12/07/pdfs/GMD-D-1802-99.pdf#page=3","Abrir facsímil")</f>
        <v>Abrir facsímil</v>
      </c>
      <c r="K6782" s="15" t="s">
        <v>23</v>
      </c>
    </row>
    <row r="6783" spans="1:11" ht="42" customHeight="1">
      <c r="A6783" s="4" t="s">
        <v>16531</v>
      </c>
      <c r="B6783" s="5" t="s">
        <v>16532</v>
      </c>
      <c r="C6783" s="5" t="s">
        <v>18</v>
      </c>
      <c r="D6783" s="5" t="s">
        <v>19</v>
      </c>
      <c r="E6783" s="5" t="s">
        <v>49</v>
      </c>
      <c r="F6783" s="9">
        <v>83</v>
      </c>
      <c r="G6783" s="9">
        <v>1025</v>
      </c>
      <c r="H6783" s="5" t="s">
        <v>21</v>
      </c>
      <c r="I6783" s="5" t="s">
        <v>16533</v>
      </c>
      <c r="J6783" s="12" t="str">
        <f>HYPERLINK("https://www.boe.es/gazeta/dias/1802/10/12/pdfs/GMD-1802-83.pdf#page=13","Abrir facsímil")</f>
        <v>Abrir facsímil</v>
      </c>
      <c r="K6783" s="15" t="s">
        <v>23</v>
      </c>
    </row>
    <row r="6784" spans="1:11" ht="42" customHeight="1">
      <c r="A6784" s="4" t="s">
        <v>16534</v>
      </c>
      <c r="B6784" s="5" t="s">
        <v>16535</v>
      </c>
      <c r="C6784" s="5" t="s">
        <v>35</v>
      </c>
      <c r="D6784" s="5" t="s">
        <v>36</v>
      </c>
      <c r="E6784" s="5" t="s">
        <v>436</v>
      </c>
      <c r="F6784" s="9">
        <v>58</v>
      </c>
      <c r="G6784" s="9">
        <v>694</v>
      </c>
      <c r="H6784" s="5" t="s">
        <v>21</v>
      </c>
      <c r="I6784" s="5" t="s">
        <v>16536</v>
      </c>
      <c r="J6784" s="12" t="str">
        <f>HYPERLINK("https://www.boe.es/gazeta/dias/1802/07/20/pdfs/GMD-1802-58.pdf#page=2","Abrir facsímil")</f>
        <v>Abrir facsímil</v>
      </c>
      <c r="K6784" s="15" t="s">
        <v>23</v>
      </c>
    </row>
    <row r="6785" spans="1:11" ht="42" customHeight="1">
      <c r="A6785" s="4" t="s">
        <v>16537</v>
      </c>
      <c r="B6785" s="5" t="s">
        <v>16537</v>
      </c>
      <c r="C6785" s="5" t="s">
        <v>18</v>
      </c>
      <c r="D6785" s="5" t="s">
        <v>19</v>
      </c>
      <c r="E6785" s="5" t="s">
        <v>292</v>
      </c>
      <c r="F6785" s="9">
        <v>62</v>
      </c>
      <c r="G6785" s="9">
        <v>755</v>
      </c>
      <c r="H6785" s="5" t="s">
        <v>21</v>
      </c>
      <c r="I6785" s="5" t="s">
        <v>16538</v>
      </c>
      <c r="J6785" s="12" t="str">
        <f>HYPERLINK("https://www.boe.es/gazeta/dias/1802/07/30/pdfs/GMD-1802-62.pdf#page=11","Abrir facsímil")</f>
        <v>Abrir facsímil</v>
      </c>
      <c r="K6785" s="15" t="s">
        <v>23</v>
      </c>
    </row>
    <row r="6786" spans="1:11" ht="42" customHeight="1">
      <c r="A6786" s="4" t="s">
        <v>16539</v>
      </c>
      <c r="B6786" s="5" t="s">
        <v>16539</v>
      </c>
      <c r="C6786" s="5" t="s">
        <v>90</v>
      </c>
      <c r="D6786" s="5" t="s">
        <v>91</v>
      </c>
      <c r="E6786" s="5" t="s">
        <v>1381</v>
      </c>
      <c r="F6786" s="9">
        <v>17</v>
      </c>
      <c r="G6786" s="9">
        <v>187</v>
      </c>
      <c r="H6786" s="5" t="s">
        <v>21</v>
      </c>
      <c r="I6786" s="5" t="s">
        <v>16540</v>
      </c>
      <c r="J6786" s="12" t="str">
        <f>HYPERLINK("https://www.boe.es/gazeta/dias/1802/02/26/pdfs/GMD-1802-17.pdf#page=11","Abrir facsímil")</f>
        <v>Abrir facsímil</v>
      </c>
      <c r="K6786" s="15" t="s">
        <v>23</v>
      </c>
    </row>
    <row r="6787" spans="1:11" ht="42" customHeight="1">
      <c r="A6787" s="4" t="s">
        <v>16541</v>
      </c>
      <c r="B6787" s="5" t="s">
        <v>16541</v>
      </c>
      <c r="C6787" s="5" t="s">
        <v>18</v>
      </c>
      <c r="D6787" s="5" t="s">
        <v>19</v>
      </c>
      <c r="E6787" s="5" t="s">
        <v>20</v>
      </c>
      <c r="F6787" s="9">
        <v>84</v>
      </c>
      <c r="G6787" s="9">
        <v>1039</v>
      </c>
      <c r="H6787" s="5" t="s">
        <v>21</v>
      </c>
      <c r="I6787" s="5" t="s">
        <v>16542</v>
      </c>
      <c r="J6787" s="12" t="str">
        <f>HYPERLINK("https://www.boe.es/gazeta/dias/1802/10/15/pdfs/GMD-1802-84.pdf#page=7","Abrir facsímil")</f>
        <v>Abrir facsímil</v>
      </c>
      <c r="K6787" s="15" t="s">
        <v>23</v>
      </c>
    </row>
    <row r="6788" spans="1:11" ht="42" customHeight="1">
      <c r="A6788" s="4" t="s">
        <v>16543</v>
      </c>
      <c r="B6788" s="5" t="s">
        <v>16544</v>
      </c>
      <c r="C6788" s="5" t="s">
        <v>42</v>
      </c>
      <c r="D6788" s="5" t="s">
        <v>43</v>
      </c>
      <c r="E6788" s="5" t="s">
        <v>44</v>
      </c>
      <c r="F6788" s="9">
        <v>99</v>
      </c>
      <c r="G6788" s="9" t="s">
        <v>550</v>
      </c>
      <c r="H6788" s="5" t="s">
        <v>21</v>
      </c>
      <c r="I6788" s="5" t="s">
        <v>16545</v>
      </c>
      <c r="J6788" s="12" t="str">
        <f>HYPERLINK("https://www.boe.es/gazeta/dias/1802/12/07/pdfs/GMD-D-1802-99.pdf#page=16","Abrir facsímil")</f>
        <v>Abrir facsímil</v>
      </c>
      <c r="K6788" s="15" t="s">
        <v>23</v>
      </c>
    </row>
    <row r="6789" spans="1:11" ht="42" customHeight="1">
      <c r="A6789" s="4" t="s">
        <v>16546</v>
      </c>
      <c r="B6789" s="5" t="s">
        <v>16547</v>
      </c>
      <c r="C6789" s="5" t="s">
        <v>18</v>
      </c>
      <c r="D6789" s="5" t="s">
        <v>19</v>
      </c>
      <c r="E6789" s="5" t="s">
        <v>20</v>
      </c>
      <c r="F6789" s="9">
        <v>84</v>
      </c>
      <c r="G6789" s="9">
        <v>1040</v>
      </c>
      <c r="H6789" s="5" t="s">
        <v>21</v>
      </c>
      <c r="I6789" s="5" t="s">
        <v>16548</v>
      </c>
      <c r="J6789" s="12" t="str">
        <f>HYPERLINK("https://www.boe.es/gazeta/dias/1802/10/15/pdfs/GMD-1802-84.pdf#page=8","Abrir facsímil")</f>
        <v>Abrir facsímil</v>
      </c>
      <c r="K6789" s="15" t="s">
        <v>23</v>
      </c>
    </row>
    <row r="6790" spans="1:11" ht="42" customHeight="1">
      <c r="A6790" s="4" t="s">
        <v>16549</v>
      </c>
      <c r="B6790" s="5" t="s">
        <v>16550</v>
      </c>
      <c r="C6790" s="5" t="s">
        <v>18</v>
      </c>
      <c r="D6790" s="5" t="s">
        <v>19</v>
      </c>
      <c r="E6790" s="5" t="s">
        <v>20</v>
      </c>
      <c r="F6790" s="9">
        <v>84</v>
      </c>
      <c r="G6790" s="9">
        <v>1039</v>
      </c>
      <c r="H6790" s="5" t="s">
        <v>21</v>
      </c>
      <c r="I6790" s="5" t="s">
        <v>16551</v>
      </c>
      <c r="J6790" s="12" t="str">
        <f>HYPERLINK("https://www.boe.es/gazeta/dias/1802/10/15/pdfs/GMD-1802-84.pdf#page=7","Abrir facsímil")</f>
        <v>Abrir facsímil</v>
      </c>
      <c r="K6790" s="15" t="s">
        <v>23</v>
      </c>
    </row>
    <row r="6791" spans="1:11" ht="42" customHeight="1">
      <c r="A6791" s="4" t="s">
        <v>16552</v>
      </c>
      <c r="B6791" s="5" t="s">
        <v>16553</v>
      </c>
      <c r="C6791" s="5" t="s">
        <v>42</v>
      </c>
      <c r="D6791" s="5" t="s">
        <v>43</v>
      </c>
      <c r="E6791" s="5" t="s">
        <v>44</v>
      </c>
      <c r="F6791" s="9">
        <v>99</v>
      </c>
      <c r="G6791" s="9" t="s">
        <v>222</v>
      </c>
      <c r="H6791" s="5" t="s">
        <v>21</v>
      </c>
      <c r="I6791" s="5" t="s">
        <v>16554</v>
      </c>
      <c r="J6791" s="12" t="str">
        <f>HYPERLINK("https://www.boe.es/gazeta/dias/1802/12/07/pdfs/GMD-D-1802-99.pdf#page=5","Abrir facsímil")</f>
        <v>Abrir facsímil</v>
      </c>
      <c r="K6791" s="15" t="s">
        <v>23</v>
      </c>
    </row>
    <row r="6792" spans="1:11" ht="42" customHeight="1">
      <c r="A6792" s="4" t="s">
        <v>16555</v>
      </c>
      <c r="B6792" s="5" t="s">
        <v>16556</v>
      </c>
      <c r="C6792" s="5" t="s">
        <v>18</v>
      </c>
      <c r="D6792" s="5" t="s">
        <v>19</v>
      </c>
      <c r="E6792" s="5" t="s">
        <v>20</v>
      </c>
      <c r="F6792" s="9">
        <v>84</v>
      </c>
      <c r="G6792" s="9">
        <v>1046</v>
      </c>
      <c r="H6792" s="5" t="s">
        <v>21</v>
      </c>
      <c r="I6792" s="5" t="s">
        <v>16557</v>
      </c>
      <c r="J6792" s="12" t="str">
        <f>HYPERLINK("https://www.boe.es/gazeta/dias/1802/10/15/pdfs/GMD-1802-84.pdf#page=14","Abrir facsímil")</f>
        <v>Abrir facsímil</v>
      </c>
      <c r="K6792" s="15" t="s">
        <v>23</v>
      </c>
    </row>
    <row r="6793" spans="1:11" ht="42" customHeight="1">
      <c r="A6793" s="4" t="s">
        <v>16558</v>
      </c>
      <c r="B6793" s="5" t="s">
        <v>16558</v>
      </c>
      <c r="C6793" s="5" t="s">
        <v>55</v>
      </c>
      <c r="D6793" s="5" t="s">
        <v>56</v>
      </c>
      <c r="E6793" s="5" t="s">
        <v>172</v>
      </c>
      <c r="F6793" s="9">
        <v>35</v>
      </c>
      <c r="G6793" s="9">
        <v>416</v>
      </c>
      <c r="H6793" s="5" t="s">
        <v>21</v>
      </c>
      <c r="I6793" s="5" t="s">
        <v>16559</v>
      </c>
      <c r="J6793" s="12" t="str">
        <f>HYPERLINK("https://www.boe.es/gazeta/dias/1802/04/30/pdfs/GMD-1802-35.pdf#page=16","Abrir facsímil")</f>
        <v>Abrir facsímil</v>
      </c>
      <c r="K6793" s="15" t="s">
        <v>23</v>
      </c>
    </row>
    <row r="6794" spans="1:11" ht="42" customHeight="1">
      <c r="A6794" s="4" t="s">
        <v>16560</v>
      </c>
      <c r="B6794" s="5" t="s">
        <v>16561</v>
      </c>
      <c r="C6794" s="5" t="s">
        <v>160</v>
      </c>
      <c r="D6794" s="5" t="s">
        <v>91</v>
      </c>
      <c r="E6794" s="5" t="s">
        <v>710</v>
      </c>
      <c r="F6794" s="9">
        <v>85</v>
      </c>
      <c r="G6794" s="9">
        <v>1058</v>
      </c>
      <c r="H6794" s="5" t="s">
        <v>21</v>
      </c>
      <c r="I6794" s="5" t="s">
        <v>16562</v>
      </c>
      <c r="J6794" s="12" t="str">
        <f>HYPERLINK("https://www.boe.es/gazeta/dias/1802/10/19/pdfs/GMD-1802-85.pdf#page=10","Abrir facsímil")</f>
        <v>Abrir facsímil</v>
      </c>
      <c r="K6794" s="15" t="s">
        <v>23</v>
      </c>
    </row>
    <row r="6795" spans="1:11" ht="42" customHeight="1">
      <c r="A6795" s="4" t="s">
        <v>16563</v>
      </c>
      <c r="B6795" s="5" t="s">
        <v>16563</v>
      </c>
      <c r="C6795" s="5" t="s">
        <v>42</v>
      </c>
      <c r="D6795" s="5" t="s">
        <v>43</v>
      </c>
      <c r="E6795" s="5" t="s">
        <v>44</v>
      </c>
      <c r="F6795" s="9">
        <v>99</v>
      </c>
      <c r="G6795" s="9" t="s">
        <v>779</v>
      </c>
      <c r="H6795" s="5" t="s">
        <v>21</v>
      </c>
      <c r="I6795" s="5" t="s">
        <v>16564</v>
      </c>
      <c r="J6795" s="12" t="str">
        <f>HYPERLINK("https://www.boe.es/gazeta/dias/1802/12/07/pdfs/GMD-D-1802-99.pdf#page=13","Abrir facsímil")</f>
        <v>Abrir facsímil</v>
      </c>
      <c r="K6795" s="15" t="s">
        <v>23</v>
      </c>
    </row>
    <row r="6796" spans="1:11" ht="42" customHeight="1">
      <c r="A6796" s="4" t="s">
        <v>16565</v>
      </c>
      <c r="B6796" s="5" t="s">
        <v>16565</v>
      </c>
      <c r="C6796" s="5" t="s">
        <v>42</v>
      </c>
      <c r="D6796" s="5" t="s">
        <v>43</v>
      </c>
      <c r="E6796" s="5" t="s">
        <v>44</v>
      </c>
      <c r="F6796" s="9">
        <v>99</v>
      </c>
      <c r="G6796" s="9" t="s">
        <v>78</v>
      </c>
      <c r="H6796" s="5" t="s">
        <v>21</v>
      </c>
      <c r="I6796" s="5" t="s">
        <v>16566</v>
      </c>
      <c r="J6796" s="12" t="str">
        <f>HYPERLINK("https://www.boe.es/gazeta/dias/1802/12/07/pdfs/GMD-D-1802-99.pdf#page=15","Abrir facsímil")</f>
        <v>Abrir facsímil</v>
      </c>
      <c r="K6796" s="15" t="s">
        <v>23</v>
      </c>
    </row>
    <row r="6797" spans="1:11" ht="42" customHeight="1">
      <c r="A6797" s="4" t="s">
        <v>16567</v>
      </c>
      <c r="B6797" s="5" t="s">
        <v>16567</v>
      </c>
      <c r="C6797" s="5" t="s">
        <v>18</v>
      </c>
      <c r="D6797" s="5" t="s">
        <v>19</v>
      </c>
      <c r="E6797" s="5" t="s">
        <v>152</v>
      </c>
      <c r="F6797" s="9">
        <v>25</v>
      </c>
      <c r="G6797" s="9">
        <v>284</v>
      </c>
      <c r="H6797" s="5" t="s">
        <v>21</v>
      </c>
      <c r="I6797" s="5" t="s">
        <v>16568</v>
      </c>
      <c r="J6797" s="12" t="str">
        <f>HYPERLINK("https://www.boe.es/gazeta/dias/1802/03/26/pdfs/GMD-1802-25.pdf#page=8","Abrir facsímil")</f>
        <v>Abrir facsímil</v>
      </c>
      <c r="K6797" s="15" t="s">
        <v>23</v>
      </c>
    </row>
    <row r="6798" spans="1:11" ht="42" customHeight="1">
      <c r="A6798" s="4" t="s">
        <v>16567</v>
      </c>
      <c r="B6798" s="5" t="s">
        <v>16567</v>
      </c>
      <c r="C6798" s="5" t="s">
        <v>18</v>
      </c>
      <c r="D6798" s="5" t="s">
        <v>19</v>
      </c>
      <c r="E6798" s="5" t="s">
        <v>152</v>
      </c>
      <c r="F6798" s="9">
        <v>25</v>
      </c>
      <c r="G6798" s="9">
        <v>285</v>
      </c>
      <c r="H6798" s="5" t="s">
        <v>21</v>
      </c>
      <c r="I6798" s="5" t="s">
        <v>16569</v>
      </c>
      <c r="J6798" s="12" t="str">
        <f>HYPERLINK("https://www.boe.es/gazeta/dias/1802/03/26/pdfs/GMD-1802-25.pdf#page=9","Abrir facsímil")</f>
        <v>Abrir facsímil</v>
      </c>
      <c r="K6798" s="15" t="s">
        <v>23</v>
      </c>
    </row>
    <row r="6799" spans="1:11" ht="42" customHeight="1">
      <c r="A6799" s="4" t="s">
        <v>16567</v>
      </c>
      <c r="B6799" s="5" t="s">
        <v>16567</v>
      </c>
      <c r="C6799" s="5" t="s">
        <v>35</v>
      </c>
      <c r="D6799" s="5" t="s">
        <v>36</v>
      </c>
      <c r="E6799" s="5" t="s">
        <v>148</v>
      </c>
      <c r="F6799" s="9">
        <v>66</v>
      </c>
      <c r="G6799" s="9">
        <v>808</v>
      </c>
      <c r="H6799" s="5" t="s">
        <v>21</v>
      </c>
      <c r="I6799" s="5" t="s">
        <v>16570</v>
      </c>
      <c r="J6799" s="12" t="str">
        <f>HYPERLINK("https://www.boe.es/gazeta/dias/1802/08/13/pdfs/GMD-1802-66.pdf#page=12","Abrir facsímil")</f>
        <v>Abrir facsímil</v>
      </c>
      <c r="K6799" s="15" t="s">
        <v>23</v>
      </c>
    </row>
    <row r="6800" spans="1:11" ht="42" customHeight="1">
      <c r="A6800" s="4" t="s">
        <v>16571</v>
      </c>
      <c r="B6800" s="5" t="s">
        <v>16572</v>
      </c>
      <c r="C6800" s="5" t="s">
        <v>29</v>
      </c>
      <c r="D6800" s="5" t="s">
        <v>30</v>
      </c>
      <c r="E6800" s="5" t="s">
        <v>590</v>
      </c>
      <c r="F6800" s="9">
        <v>38</v>
      </c>
      <c r="G6800" s="9">
        <v>446</v>
      </c>
      <c r="H6800" s="5" t="s">
        <v>21</v>
      </c>
      <c r="I6800" s="5" t="s">
        <v>16573</v>
      </c>
      <c r="J6800" s="12" t="str">
        <f>HYPERLINK("https://www.boe.es/gazeta/dias/1802/05/11/pdfs/GMD-1802-38.pdf#page=2","Abrir facsímil")</f>
        <v>Abrir facsímil</v>
      </c>
      <c r="K6800" s="15" t="s">
        <v>23</v>
      </c>
    </row>
    <row r="6801" spans="1:11" ht="42" customHeight="1">
      <c r="A6801" s="4" t="s">
        <v>16574</v>
      </c>
      <c r="B6801" s="5" t="s">
        <v>16574</v>
      </c>
      <c r="C6801" s="5" t="s">
        <v>55</v>
      </c>
      <c r="D6801" s="5" t="s">
        <v>56</v>
      </c>
      <c r="E6801" s="5" t="s">
        <v>1289</v>
      </c>
      <c r="F6801" s="9">
        <v>72</v>
      </c>
      <c r="G6801" s="9">
        <v>892</v>
      </c>
      <c r="H6801" s="5" t="s">
        <v>21</v>
      </c>
      <c r="I6801" s="5" t="s">
        <v>16575</v>
      </c>
      <c r="J6801" s="12" t="str">
        <f>HYPERLINK("https://www.boe.es/gazeta/dias/1802/09/03/pdfs/GMD-1802-72.pdf#page=12","Abrir facsímil")</f>
        <v>Abrir facsímil</v>
      </c>
      <c r="K6801" s="15" t="s">
        <v>23</v>
      </c>
    </row>
    <row r="6802" spans="1:11" ht="42" customHeight="1">
      <c r="A6802" s="4" t="s">
        <v>16576</v>
      </c>
      <c r="B6802" s="5" t="s">
        <v>16576</v>
      </c>
      <c r="C6802" s="5" t="s">
        <v>55</v>
      </c>
      <c r="D6802" s="5" t="s">
        <v>56</v>
      </c>
      <c r="E6802" s="5" t="s">
        <v>188</v>
      </c>
      <c r="F6802" s="9">
        <v>49</v>
      </c>
      <c r="G6802" s="9">
        <v>600</v>
      </c>
      <c r="H6802" s="5" t="s">
        <v>21</v>
      </c>
      <c r="I6802" s="5" t="s">
        <v>16577</v>
      </c>
      <c r="J6802" s="12" t="str">
        <f>HYPERLINK("https://www.boe.es/gazeta/dias/1802/06/18/pdfs/GMD-1802-49.pdf#page=12","Abrir facsímil")</f>
        <v>Abrir facsímil</v>
      </c>
      <c r="K6802" s="15" t="s">
        <v>23</v>
      </c>
    </row>
    <row r="6803" spans="1:11" ht="42" customHeight="1">
      <c r="A6803" s="4" t="s">
        <v>16578</v>
      </c>
      <c r="B6803" s="5" t="s">
        <v>16578</v>
      </c>
      <c r="C6803" s="5" t="s">
        <v>18</v>
      </c>
      <c r="D6803" s="5" t="s">
        <v>19</v>
      </c>
      <c r="E6803" s="5" t="s">
        <v>206</v>
      </c>
      <c r="F6803" s="9">
        <v>22</v>
      </c>
      <c r="G6803" s="9">
        <v>239</v>
      </c>
      <c r="H6803" s="5" t="s">
        <v>21</v>
      </c>
      <c r="I6803" s="5" t="s">
        <v>16579</v>
      </c>
      <c r="J6803" s="12" t="str">
        <f>HYPERLINK("https://www.boe.es/gazeta/dias/1802/03/16/pdfs/GMD-1802-22.pdf#page=7","Abrir facsímil")</f>
        <v>Abrir facsímil</v>
      </c>
      <c r="K6803" s="15" t="s">
        <v>23</v>
      </c>
    </row>
    <row r="6804" spans="1:11" ht="42" customHeight="1">
      <c r="A6804" s="4" t="s">
        <v>16580</v>
      </c>
      <c r="B6804" s="5" t="s">
        <v>16580</v>
      </c>
      <c r="C6804" s="5" t="s">
        <v>29</v>
      </c>
      <c r="D6804" s="5" t="s">
        <v>30</v>
      </c>
      <c r="E6804" s="5" t="s">
        <v>754</v>
      </c>
      <c r="F6804" s="9">
        <v>101</v>
      </c>
      <c r="G6804" s="9">
        <v>1242</v>
      </c>
      <c r="H6804" s="5" t="s">
        <v>21</v>
      </c>
      <c r="I6804" s="5" t="s">
        <v>16581</v>
      </c>
      <c r="J6804" s="12" t="str">
        <f>HYPERLINK("https://www.boe.es/gazeta/dias/1802/12/14/pdfs/GMD-1802-101.pdf#page=6","Abrir facsímil")</f>
        <v>Abrir facsímil</v>
      </c>
      <c r="K6804" s="15" t="s">
        <v>23</v>
      </c>
    </row>
    <row r="6805" spans="1:11" ht="42" customHeight="1">
      <c r="A6805" s="4" t="s">
        <v>16582</v>
      </c>
      <c r="B6805" s="5" t="s">
        <v>16582</v>
      </c>
      <c r="C6805" s="5" t="s">
        <v>42</v>
      </c>
      <c r="D6805" s="5" t="s">
        <v>43</v>
      </c>
      <c r="E6805" s="5" t="s">
        <v>44</v>
      </c>
      <c r="F6805" s="9">
        <v>99</v>
      </c>
      <c r="G6805" s="9" t="s">
        <v>550</v>
      </c>
      <c r="H6805" s="5" t="s">
        <v>21</v>
      </c>
      <c r="I6805" s="5" t="s">
        <v>16583</v>
      </c>
      <c r="J6805" s="12" t="str">
        <f>HYPERLINK("https://www.boe.es/gazeta/dias/1802/12/07/pdfs/GMD-D-1802-99.pdf#page=16","Abrir facsímil")</f>
        <v>Abrir facsímil</v>
      </c>
      <c r="K6805" s="15" t="s">
        <v>23</v>
      </c>
    </row>
    <row r="6806" spans="1:11" ht="42" customHeight="1">
      <c r="A6806" s="4" t="s">
        <v>16584</v>
      </c>
      <c r="B6806" s="5" t="s">
        <v>16584</v>
      </c>
      <c r="C6806" s="5" t="s">
        <v>29</v>
      </c>
      <c r="D6806" s="5" t="s">
        <v>30</v>
      </c>
      <c r="E6806" s="5" t="s">
        <v>196</v>
      </c>
      <c r="F6806" s="9">
        <v>2</v>
      </c>
      <c r="G6806" s="9">
        <v>17</v>
      </c>
      <c r="H6806" s="5" t="s">
        <v>21</v>
      </c>
      <c r="I6806" s="5" t="s">
        <v>16585</v>
      </c>
      <c r="J6806" s="12" t="str">
        <f>HYPERLINK("https://www.boe.es/gazeta/dias/1802/01/05/pdfs/GMD-1802-2.pdf#page=9","Abrir facsímil")</f>
        <v>Abrir facsímil</v>
      </c>
      <c r="K6806" s="15" t="s">
        <v>23</v>
      </c>
    </row>
    <row r="6807" spans="1:11" ht="42" customHeight="1">
      <c r="A6807" s="4" t="s">
        <v>16584</v>
      </c>
      <c r="B6807" s="5" t="s">
        <v>16584</v>
      </c>
      <c r="C6807" s="5" t="s">
        <v>160</v>
      </c>
      <c r="D6807" s="5" t="s">
        <v>91</v>
      </c>
      <c r="E6807" s="5" t="s">
        <v>670</v>
      </c>
      <c r="F6807" s="9">
        <v>40</v>
      </c>
      <c r="G6807" s="9">
        <v>484</v>
      </c>
      <c r="H6807" s="5" t="s">
        <v>21</v>
      </c>
      <c r="I6807" s="5" t="s">
        <v>16586</v>
      </c>
      <c r="J6807" s="12" t="str">
        <f>HYPERLINK("https://www.boe.es/gazeta/dias/1802/05/18/pdfs/GMD-1802-40.pdf#page=12","Abrir facsímil")</f>
        <v>Abrir facsímil</v>
      </c>
      <c r="K6807" s="15" t="s">
        <v>23</v>
      </c>
    </row>
    <row r="6808" spans="1:11" ht="42" customHeight="1">
      <c r="A6808" s="4" t="s">
        <v>16584</v>
      </c>
      <c r="B6808" s="5" t="s">
        <v>16584</v>
      </c>
      <c r="C6808" s="5" t="s">
        <v>18</v>
      </c>
      <c r="D6808" s="5" t="s">
        <v>19</v>
      </c>
      <c r="E6808" s="5" t="s">
        <v>146</v>
      </c>
      <c r="F6808" s="9">
        <v>42</v>
      </c>
      <c r="G6808" s="9">
        <v>508</v>
      </c>
      <c r="H6808" s="5" t="s">
        <v>21</v>
      </c>
      <c r="I6808" s="5" t="s">
        <v>16587</v>
      </c>
      <c r="J6808" s="12" t="str">
        <f>HYPERLINK("https://www.boe.es/gazeta/dias/1802/05/25/pdfs/GMD-1802-42.pdf#page=12","Abrir facsímil")</f>
        <v>Abrir facsímil</v>
      </c>
      <c r="K6808" s="15" t="s">
        <v>23</v>
      </c>
    </row>
    <row r="6809" spans="1:11" ht="42" customHeight="1">
      <c r="A6809" s="4" t="s">
        <v>16588</v>
      </c>
      <c r="B6809" s="5" t="s">
        <v>16588</v>
      </c>
      <c r="C6809" s="5" t="s">
        <v>18</v>
      </c>
      <c r="D6809" s="5" t="s">
        <v>19</v>
      </c>
      <c r="E6809" s="5" t="s">
        <v>517</v>
      </c>
      <c r="F6809" s="9">
        <v>61</v>
      </c>
      <c r="G6809" s="9">
        <v>744</v>
      </c>
      <c r="H6809" s="5" t="s">
        <v>21</v>
      </c>
      <c r="I6809" s="5" t="s">
        <v>16589</v>
      </c>
      <c r="J6809" s="12" t="str">
        <f>HYPERLINK("https://www.boe.es/gazeta/dias/1802/07/27/pdfs/GMD-1802-61.pdf#page=12","Abrir facsímil")</f>
        <v>Abrir facsímil</v>
      </c>
      <c r="K6809" s="15" t="s">
        <v>23</v>
      </c>
    </row>
    <row r="6810" spans="1:11" ht="42" customHeight="1">
      <c r="A6810" s="4" t="s">
        <v>16590</v>
      </c>
      <c r="B6810" s="5" t="s">
        <v>16591</v>
      </c>
      <c r="C6810" s="5" t="s">
        <v>18</v>
      </c>
      <c r="D6810" s="5" t="s">
        <v>19</v>
      </c>
      <c r="E6810" s="5" t="s">
        <v>20</v>
      </c>
      <c r="F6810" s="9">
        <v>84</v>
      </c>
      <c r="G6810" s="9">
        <v>1042</v>
      </c>
      <c r="H6810" s="5" t="s">
        <v>21</v>
      </c>
      <c r="I6810" s="5" t="s">
        <v>16592</v>
      </c>
      <c r="J6810" s="12" t="str">
        <f>HYPERLINK("https://www.boe.es/gazeta/dias/1802/10/15/pdfs/GMD-1802-84.pdf#page=10","Abrir facsímil")</f>
        <v>Abrir facsímil</v>
      </c>
      <c r="K6810" s="15" t="s">
        <v>23</v>
      </c>
    </row>
    <row r="6811" spans="1:11" ht="42" customHeight="1">
      <c r="A6811" s="4" t="s">
        <v>16593</v>
      </c>
      <c r="B6811" s="5" t="s">
        <v>16594</v>
      </c>
      <c r="C6811" s="5" t="s">
        <v>18</v>
      </c>
      <c r="D6811" s="5" t="s">
        <v>19</v>
      </c>
      <c r="E6811" s="5" t="s">
        <v>1381</v>
      </c>
      <c r="F6811" s="9">
        <v>17</v>
      </c>
      <c r="G6811" s="9">
        <v>186</v>
      </c>
      <c r="H6811" s="5" t="s">
        <v>21</v>
      </c>
      <c r="I6811" s="5" t="s">
        <v>16595</v>
      </c>
      <c r="J6811" s="12" t="str">
        <f>HYPERLINK("https://www.boe.es/gazeta/dias/1802/02/26/pdfs/GMD-1802-17.pdf#page=10","Abrir facsímil")</f>
        <v>Abrir facsímil</v>
      </c>
      <c r="K6811" s="15" t="s">
        <v>23</v>
      </c>
    </row>
    <row r="6812" spans="1:11" ht="42" customHeight="1">
      <c r="A6812" s="4" t="s">
        <v>16596</v>
      </c>
      <c r="B6812" s="5" t="s">
        <v>16597</v>
      </c>
      <c r="C6812" s="5" t="s">
        <v>42</v>
      </c>
      <c r="D6812" s="5" t="s">
        <v>43</v>
      </c>
      <c r="E6812" s="5" t="s">
        <v>44</v>
      </c>
      <c r="F6812" s="9">
        <v>99</v>
      </c>
      <c r="G6812" s="9" t="s">
        <v>222</v>
      </c>
      <c r="H6812" s="5" t="s">
        <v>21</v>
      </c>
      <c r="I6812" s="5" t="s">
        <v>16598</v>
      </c>
      <c r="J6812" s="12" t="str">
        <f>HYPERLINK("https://www.boe.es/gazeta/dias/1802/12/07/pdfs/GMD-D-1802-99.pdf#page=5","Abrir facsímil")</f>
        <v>Abrir facsímil</v>
      </c>
      <c r="K6812" s="15" t="s">
        <v>23</v>
      </c>
    </row>
    <row r="6813" spans="1:11" ht="42" customHeight="1">
      <c r="A6813" s="4" t="s">
        <v>16599</v>
      </c>
      <c r="B6813" s="5" t="s">
        <v>16600</v>
      </c>
      <c r="C6813" s="5" t="s">
        <v>35</v>
      </c>
      <c r="D6813" s="5" t="s">
        <v>36</v>
      </c>
      <c r="E6813" s="5" t="s">
        <v>148</v>
      </c>
      <c r="F6813" s="9">
        <v>66</v>
      </c>
      <c r="G6813" s="9">
        <v>808</v>
      </c>
      <c r="H6813" s="5" t="s">
        <v>21</v>
      </c>
      <c r="I6813" s="5" t="s">
        <v>16601</v>
      </c>
      <c r="J6813" s="12" t="str">
        <f>HYPERLINK("https://www.boe.es/gazeta/dias/1802/08/13/pdfs/GMD-1802-66.pdf#page=12","Abrir facsímil")</f>
        <v>Abrir facsímil</v>
      </c>
      <c r="K6813" s="15" t="s">
        <v>23</v>
      </c>
    </row>
    <row r="6814" spans="1:11" ht="42" customHeight="1">
      <c r="A6814" s="4" t="s">
        <v>16602</v>
      </c>
      <c r="B6814" s="5" t="s">
        <v>16603</v>
      </c>
      <c r="C6814" s="5" t="s">
        <v>42</v>
      </c>
      <c r="D6814" s="5" t="s">
        <v>43</v>
      </c>
      <c r="E6814" s="5" t="s">
        <v>44</v>
      </c>
      <c r="F6814" s="9">
        <v>99</v>
      </c>
      <c r="G6814" s="9" t="s">
        <v>554</v>
      </c>
      <c r="H6814" s="5" t="s">
        <v>21</v>
      </c>
      <c r="I6814" s="5" t="s">
        <v>16604</v>
      </c>
      <c r="J6814" s="12" t="str">
        <f>HYPERLINK("https://www.boe.es/gazeta/dias/1802/12/07/pdfs/GMD-D-1802-99.pdf#page=4","Abrir facsímil")</f>
        <v>Abrir facsímil</v>
      </c>
      <c r="K6814" s="15" t="s">
        <v>23</v>
      </c>
    </row>
    <row r="6815" spans="1:11" ht="42" customHeight="1">
      <c r="A6815" s="4" t="s">
        <v>16605</v>
      </c>
      <c r="B6815" s="5" t="s">
        <v>16606</v>
      </c>
      <c r="C6815" s="5" t="s">
        <v>160</v>
      </c>
      <c r="D6815" s="5" t="s">
        <v>91</v>
      </c>
      <c r="E6815" s="5" t="s">
        <v>109</v>
      </c>
      <c r="F6815" s="9">
        <v>10</v>
      </c>
      <c r="G6815" s="9">
        <v>99</v>
      </c>
      <c r="H6815" s="5" t="s">
        <v>21</v>
      </c>
      <c r="I6815" s="5" t="s">
        <v>16607</v>
      </c>
      <c r="J6815" s="12" t="str">
        <f>HYPERLINK("https://www.boe.es/gazeta/dias/1802/02/02/pdfs/GMD-1802-10.pdf#page=7","Abrir facsímil")</f>
        <v>Abrir facsímil</v>
      </c>
      <c r="K6815" s="15" t="s">
        <v>23</v>
      </c>
    </row>
    <row r="6816" spans="1:11" ht="42" customHeight="1">
      <c r="A6816" s="4" t="s">
        <v>16608</v>
      </c>
      <c r="B6816" s="5" t="s">
        <v>16609</v>
      </c>
      <c r="C6816" s="5" t="s">
        <v>90</v>
      </c>
      <c r="D6816" s="5" t="s">
        <v>91</v>
      </c>
      <c r="E6816" s="5" t="s">
        <v>678</v>
      </c>
      <c r="F6816" s="9">
        <v>15</v>
      </c>
      <c r="G6816" s="9">
        <v>158</v>
      </c>
      <c r="H6816" s="5" t="s">
        <v>21</v>
      </c>
      <c r="I6816" s="5" t="s">
        <v>16610</v>
      </c>
      <c r="J6816" s="12" t="str">
        <f>HYPERLINK("https://www.boe.es/gazeta/dias/1802/02/19/pdfs/GMD-1802-15.pdf#page=10","Abrir facsímil")</f>
        <v>Abrir facsímil</v>
      </c>
      <c r="K6816" s="15" t="s">
        <v>23</v>
      </c>
    </row>
    <row r="6817" spans="1:11" ht="42" customHeight="1">
      <c r="A6817" s="4" t="s">
        <v>16611</v>
      </c>
      <c r="B6817" s="5" t="s">
        <v>16611</v>
      </c>
      <c r="C6817" s="5" t="s">
        <v>160</v>
      </c>
      <c r="D6817" s="5" t="s">
        <v>91</v>
      </c>
      <c r="E6817" s="5" t="s">
        <v>31</v>
      </c>
      <c r="F6817" s="9">
        <v>27</v>
      </c>
      <c r="G6817" s="9">
        <v>319</v>
      </c>
      <c r="H6817" s="5" t="s">
        <v>21</v>
      </c>
      <c r="I6817" s="5" t="s">
        <v>16612</v>
      </c>
      <c r="J6817" s="12" t="str">
        <f>HYPERLINK("https://www.boe.es/gazeta/dias/1802/04/02/pdfs/GMD-1802-27.pdf#page=15","Abrir facsímil")</f>
        <v>Abrir facsímil</v>
      </c>
      <c r="K6817" s="15" t="s">
        <v>23</v>
      </c>
    </row>
    <row r="6818" spans="1:11" ht="42" customHeight="1">
      <c r="A6818" s="4" t="s">
        <v>16613</v>
      </c>
      <c r="B6818" s="5" t="s">
        <v>16613</v>
      </c>
      <c r="C6818" s="5" t="s">
        <v>29</v>
      </c>
      <c r="D6818" s="5" t="s">
        <v>30</v>
      </c>
      <c r="E6818" s="5" t="s">
        <v>25</v>
      </c>
      <c r="F6818" s="9">
        <v>44</v>
      </c>
      <c r="G6818" s="9">
        <v>533</v>
      </c>
      <c r="H6818" s="5" t="s">
        <v>21</v>
      </c>
      <c r="I6818" s="5" t="s">
        <v>16614</v>
      </c>
      <c r="J6818" s="12" t="str">
        <f>HYPERLINK("https://www.boe.es/gazeta/dias/1802/06/01/pdfs/GMD-1802-44.pdf#page=9","Abrir facsímil")</f>
        <v>Abrir facsímil</v>
      </c>
      <c r="K6818" s="15" t="s">
        <v>23</v>
      </c>
    </row>
    <row r="6819" spans="1:11" ht="42" customHeight="1">
      <c r="A6819" s="4" t="s">
        <v>16615</v>
      </c>
      <c r="B6819" s="5" t="s">
        <v>16616</v>
      </c>
      <c r="C6819" s="5" t="s">
        <v>29</v>
      </c>
      <c r="D6819" s="5" t="s">
        <v>30</v>
      </c>
      <c r="E6819" s="5" t="s">
        <v>163</v>
      </c>
      <c r="F6819" s="9">
        <v>1</v>
      </c>
      <c r="G6819" s="9">
        <v>3</v>
      </c>
      <c r="H6819" s="5" t="s">
        <v>21</v>
      </c>
      <c r="I6819" s="5" t="s">
        <v>16617</v>
      </c>
      <c r="J6819" s="12" t="str">
        <f>HYPERLINK("https://www.boe.es/gazeta/dias/1802/01/01/pdfs/GMD-1802-1.pdf#page=3","Abrir facsímil")</f>
        <v>Abrir facsímil</v>
      </c>
      <c r="K6819" s="15" t="s">
        <v>23</v>
      </c>
    </row>
    <row r="6820" spans="1:11" ht="42" customHeight="1">
      <c r="A6820" s="4" t="s">
        <v>16618</v>
      </c>
      <c r="B6820" s="5" t="s">
        <v>16619</v>
      </c>
      <c r="C6820" s="5" t="s">
        <v>90</v>
      </c>
      <c r="D6820" s="5" t="s">
        <v>91</v>
      </c>
      <c r="E6820" s="5" t="s">
        <v>292</v>
      </c>
      <c r="F6820" s="9">
        <v>62</v>
      </c>
      <c r="G6820" s="9">
        <v>747</v>
      </c>
      <c r="H6820" s="5" t="s">
        <v>21</v>
      </c>
      <c r="I6820" s="5" t="s">
        <v>16620</v>
      </c>
      <c r="J6820" s="12" t="str">
        <f>HYPERLINK("https://www.boe.es/gazeta/dias/1802/07/30/pdfs/GMD-1802-62.pdf#page=3","Abrir facsímil")</f>
        <v>Abrir facsímil</v>
      </c>
      <c r="K6820" s="15" t="s">
        <v>23</v>
      </c>
    </row>
    <row r="6821" spans="1:11" ht="42" customHeight="1">
      <c r="A6821" s="4" t="s">
        <v>16621</v>
      </c>
      <c r="B6821" s="5" t="s">
        <v>16621</v>
      </c>
      <c r="C6821" s="5" t="s">
        <v>35</v>
      </c>
      <c r="D6821" s="5" t="s">
        <v>36</v>
      </c>
      <c r="E6821" s="5" t="s">
        <v>172</v>
      </c>
      <c r="F6821" s="9">
        <v>35</v>
      </c>
      <c r="G6821" s="9">
        <v>412</v>
      </c>
      <c r="H6821" s="5" t="s">
        <v>21</v>
      </c>
      <c r="I6821" s="5" t="s">
        <v>16622</v>
      </c>
      <c r="J6821" s="12" t="str">
        <f>HYPERLINK("https://www.boe.es/gazeta/dias/1802/04/30/pdfs/GMD-1802-35.pdf#page=12","Abrir facsímil")</f>
        <v>Abrir facsímil</v>
      </c>
      <c r="K6821" s="15" t="s">
        <v>23</v>
      </c>
    </row>
    <row r="6822" spans="1:11" ht="42" customHeight="1">
      <c r="A6822" s="4" t="s">
        <v>16623</v>
      </c>
      <c r="B6822" s="5" t="s">
        <v>16624</v>
      </c>
      <c r="C6822" s="5" t="s">
        <v>18</v>
      </c>
      <c r="D6822" s="5" t="s">
        <v>19</v>
      </c>
      <c r="E6822" s="5" t="s">
        <v>128</v>
      </c>
      <c r="F6822" s="9">
        <v>9</v>
      </c>
      <c r="G6822" s="9">
        <v>89</v>
      </c>
      <c r="H6822" s="5" t="s">
        <v>21</v>
      </c>
      <c r="I6822" s="5" t="s">
        <v>16625</v>
      </c>
      <c r="J6822" s="12" t="str">
        <f>HYPERLINK("https://www.boe.es/gazeta/dias/1802/01/29/pdfs/GMD-1802-9.pdf#page=9","Abrir facsímil")</f>
        <v>Abrir facsímil</v>
      </c>
      <c r="K6822" s="15" t="s">
        <v>23</v>
      </c>
    </row>
    <row r="6823" spans="1:11" ht="42" customHeight="1">
      <c r="A6823" s="4" t="s">
        <v>16626</v>
      </c>
      <c r="B6823" s="5" t="s">
        <v>16627</v>
      </c>
      <c r="C6823" s="5" t="s">
        <v>35</v>
      </c>
      <c r="D6823" s="5" t="s">
        <v>36</v>
      </c>
      <c r="E6823" s="5" t="s">
        <v>31</v>
      </c>
      <c r="F6823" s="9">
        <v>27</v>
      </c>
      <c r="G6823" s="9">
        <v>316</v>
      </c>
      <c r="H6823" s="5" t="s">
        <v>21</v>
      </c>
      <c r="I6823" s="5" t="s">
        <v>16628</v>
      </c>
      <c r="J6823" s="12" t="str">
        <f>HYPERLINK("https://www.boe.es/gazeta/dias/1802/04/02/pdfs/GMD-1802-27.pdf#page=12","Abrir facsímil")</f>
        <v>Abrir facsímil</v>
      </c>
      <c r="K6823" s="15" t="s">
        <v>23</v>
      </c>
    </row>
    <row r="6824" spans="1:11" ht="42" customHeight="1">
      <c r="A6824" s="4" t="s">
        <v>16629</v>
      </c>
      <c r="B6824" s="5" t="s">
        <v>16630</v>
      </c>
      <c r="C6824" s="5" t="s">
        <v>42</v>
      </c>
      <c r="D6824" s="5" t="s">
        <v>43</v>
      </c>
      <c r="E6824" s="5" t="s">
        <v>44</v>
      </c>
      <c r="F6824" s="9">
        <v>99</v>
      </c>
      <c r="G6824" s="9" t="s">
        <v>78</v>
      </c>
      <c r="H6824" s="5" t="s">
        <v>21</v>
      </c>
      <c r="I6824" s="5" t="s">
        <v>16631</v>
      </c>
      <c r="J6824" s="12" t="str">
        <f>HYPERLINK("https://www.boe.es/gazeta/dias/1802/12/07/pdfs/GMD-D-1802-99.pdf#page=15","Abrir facsímil")</f>
        <v>Abrir facsímil</v>
      </c>
      <c r="K6824" s="15" t="s">
        <v>23</v>
      </c>
    </row>
    <row r="6825" spans="1:11" ht="42" customHeight="1">
      <c r="A6825" s="4" t="s">
        <v>16632</v>
      </c>
      <c r="B6825" s="5" t="s">
        <v>16632</v>
      </c>
      <c r="C6825" s="5" t="s">
        <v>42</v>
      </c>
      <c r="D6825" s="5" t="s">
        <v>43</v>
      </c>
      <c r="E6825" s="5" t="s">
        <v>44</v>
      </c>
      <c r="F6825" s="9">
        <v>99</v>
      </c>
      <c r="G6825" s="9" t="s">
        <v>554</v>
      </c>
      <c r="H6825" s="5" t="s">
        <v>21</v>
      </c>
      <c r="I6825" s="5" t="s">
        <v>16633</v>
      </c>
      <c r="J6825" s="12" t="str">
        <f>HYPERLINK("https://www.boe.es/gazeta/dias/1802/12/07/pdfs/GMD-D-1802-99.pdf#page=4","Abrir facsímil")</f>
        <v>Abrir facsímil</v>
      </c>
      <c r="K6825" s="15" t="s">
        <v>23</v>
      </c>
    </row>
    <row r="6826" spans="1:11" ht="42" customHeight="1">
      <c r="A6826" s="4" t="s">
        <v>16634</v>
      </c>
      <c r="B6826" s="5" t="s">
        <v>16635</v>
      </c>
      <c r="C6826" s="5" t="s">
        <v>18</v>
      </c>
      <c r="D6826" s="5" t="s">
        <v>19</v>
      </c>
      <c r="E6826" s="5" t="s">
        <v>75</v>
      </c>
      <c r="F6826" s="9">
        <v>103</v>
      </c>
      <c r="G6826" s="9">
        <v>1264</v>
      </c>
      <c r="H6826" s="5" t="s">
        <v>21</v>
      </c>
      <c r="I6826" s="5" t="s">
        <v>16636</v>
      </c>
      <c r="J6826" s="12" t="str">
        <f>HYPERLINK("https://www.boe.es/gazeta/dias/1802/12/21/pdfs/GMD-1802-103.pdf#page=8","Abrir facsímil")</f>
        <v>Abrir facsímil</v>
      </c>
      <c r="K6826" s="15" t="s">
        <v>23</v>
      </c>
    </row>
    <row r="6827" spans="1:11" ht="42" customHeight="1">
      <c r="A6827" s="4" t="s">
        <v>16637</v>
      </c>
      <c r="B6827" s="5" t="s">
        <v>16638</v>
      </c>
      <c r="C6827" s="5" t="s">
        <v>29</v>
      </c>
      <c r="D6827" s="5" t="s">
        <v>30</v>
      </c>
      <c r="E6827" s="5" t="s">
        <v>1829</v>
      </c>
      <c r="F6827" s="9">
        <v>32</v>
      </c>
      <c r="G6827" s="9">
        <v>370</v>
      </c>
      <c r="H6827" s="5" t="s">
        <v>21</v>
      </c>
      <c r="I6827" s="5" t="s">
        <v>16639</v>
      </c>
      <c r="J6827" s="12" t="str">
        <f>HYPERLINK("https://www.boe.es/gazeta/dias/1802/04/20/pdfs/GMD-1802-32.pdf#page=2","Abrir facsímil")</f>
        <v>Abrir facsímil</v>
      </c>
      <c r="K6827" s="15" t="s">
        <v>23</v>
      </c>
    </row>
    <row r="6828" spans="1:11" ht="42" customHeight="1">
      <c r="A6828" s="4" t="s">
        <v>16640</v>
      </c>
      <c r="B6828" s="5" t="s">
        <v>16641</v>
      </c>
      <c r="C6828" s="5" t="s">
        <v>35</v>
      </c>
      <c r="D6828" s="5" t="s">
        <v>36</v>
      </c>
      <c r="E6828" s="5" t="s">
        <v>764</v>
      </c>
      <c r="F6828" s="9">
        <v>69</v>
      </c>
      <c r="G6828" s="9">
        <v>848</v>
      </c>
      <c r="H6828" s="5" t="s">
        <v>21</v>
      </c>
      <c r="I6828" s="5" t="s">
        <v>16642</v>
      </c>
      <c r="J6828" s="12" t="str">
        <f>HYPERLINK("https://www.boe.es/gazeta/dias/1802/08/24/pdfs/GMD-1802-69.pdf#page=8","Abrir facsímil")</f>
        <v>Abrir facsímil</v>
      </c>
      <c r="K6828" s="15" t="s">
        <v>23</v>
      </c>
    </row>
    <row r="6829" spans="1:11" ht="42" customHeight="1">
      <c r="A6829" s="4" t="s">
        <v>16643</v>
      </c>
      <c r="B6829" s="5" t="s">
        <v>16644</v>
      </c>
      <c r="C6829" s="5" t="s">
        <v>18</v>
      </c>
      <c r="D6829" s="5" t="s">
        <v>19</v>
      </c>
      <c r="E6829" s="5" t="s">
        <v>152</v>
      </c>
      <c r="F6829" s="9">
        <v>25</v>
      </c>
      <c r="G6829" s="9">
        <v>284</v>
      </c>
      <c r="H6829" s="5" t="s">
        <v>21</v>
      </c>
      <c r="I6829" s="5" t="s">
        <v>16645</v>
      </c>
      <c r="J6829" s="12" t="str">
        <f>HYPERLINK("https://www.boe.es/gazeta/dias/1802/03/26/pdfs/GMD-1802-25.pdf#page=8","Abrir facsímil")</f>
        <v>Abrir facsímil</v>
      </c>
      <c r="K6829" s="15" t="s">
        <v>23</v>
      </c>
    </row>
    <row r="6830" spans="1:11" ht="42" customHeight="1">
      <c r="A6830" s="4" t="s">
        <v>16646</v>
      </c>
      <c r="B6830" s="5" t="s">
        <v>16647</v>
      </c>
      <c r="C6830" s="5" t="s">
        <v>18</v>
      </c>
      <c r="D6830" s="5" t="s">
        <v>19</v>
      </c>
      <c r="E6830" s="5" t="s">
        <v>49</v>
      </c>
      <c r="F6830" s="9">
        <v>83</v>
      </c>
      <c r="G6830" s="9">
        <v>1024</v>
      </c>
      <c r="H6830" s="5" t="s">
        <v>21</v>
      </c>
      <c r="I6830" s="5" t="s">
        <v>16648</v>
      </c>
      <c r="J6830" s="12" t="str">
        <f>HYPERLINK("https://www.boe.es/gazeta/dias/1802/10/12/pdfs/GMD-1802-83.pdf#page=12","Abrir facsímil")</f>
        <v>Abrir facsímil</v>
      </c>
      <c r="K6830" s="15" t="s">
        <v>23</v>
      </c>
    </row>
    <row r="6831" spans="1:11" ht="42" customHeight="1">
      <c r="A6831" s="4" t="s">
        <v>16649</v>
      </c>
      <c r="B6831" s="5" t="s">
        <v>16649</v>
      </c>
      <c r="C6831" s="5" t="s">
        <v>35</v>
      </c>
      <c r="D6831" s="5" t="s">
        <v>36</v>
      </c>
      <c r="E6831" s="5" t="s">
        <v>114</v>
      </c>
      <c r="F6831" s="9">
        <v>82</v>
      </c>
      <c r="G6831" s="9">
        <v>1008</v>
      </c>
      <c r="H6831" s="5" t="s">
        <v>21</v>
      </c>
      <c r="I6831" s="5" t="s">
        <v>16650</v>
      </c>
      <c r="J6831" s="12" t="str">
        <f>HYPERLINK("https://www.boe.es/gazeta/dias/1802/10/08/pdfs/GMD-1802-82.pdf#page=8","Abrir facsímil")</f>
        <v>Abrir facsímil</v>
      </c>
      <c r="K6831" s="15" t="s">
        <v>23</v>
      </c>
    </row>
    <row r="6832" spans="1:11" ht="42" customHeight="1">
      <c r="A6832" s="4" t="s">
        <v>16651</v>
      </c>
      <c r="B6832" s="5" t="s">
        <v>16652</v>
      </c>
      <c r="C6832" s="5" t="s">
        <v>55</v>
      </c>
      <c r="D6832" s="5" t="s">
        <v>56</v>
      </c>
      <c r="E6832" s="5" t="s">
        <v>439</v>
      </c>
      <c r="F6832" s="9">
        <v>76</v>
      </c>
      <c r="G6832" s="9">
        <v>940</v>
      </c>
      <c r="H6832" s="5" t="s">
        <v>21</v>
      </c>
      <c r="I6832" s="5" t="s">
        <v>16653</v>
      </c>
      <c r="J6832" s="12" t="str">
        <f>HYPERLINK("https://www.boe.es/gazeta/dias/1802/09/17/pdfs/GMD-1802-76.pdf#page=12","Abrir facsímil")</f>
        <v>Abrir facsímil</v>
      </c>
      <c r="K6832" s="15" t="s">
        <v>23</v>
      </c>
    </row>
    <row r="6833" spans="1:11" ht="42" customHeight="1">
      <c r="A6833" s="4" t="s">
        <v>16654</v>
      </c>
      <c r="B6833" s="5" t="s">
        <v>16655</v>
      </c>
      <c r="C6833" s="5" t="s">
        <v>55</v>
      </c>
      <c r="D6833" s="5" t="s">
        <v>56</v>
      </c>
      <c r="E6833" s="5" t="s">
        <v>749</v>
      </c>
      <c r="F6833" s="9">
        <v>97</v>
      </c>
      <c r="G6833" s="9">
        <v>1204</v>
      </c>
      <c r="H6833" s="5" t="s">
        <v>21</v>
      </c>
      <c r="I6833" s="5" t="s">
        <v>16656</v>
      </c>
      <c r="J6833" s="12" t="str">
        <f>HYPERLINK("https://www.boe.es/gazeta/dias/1802/11/30/pdfs/GMD-1802-97.pdf#page=12","Abrir facsímil")</f>
        <v>Abrir facsímil</v>
      </c>
      <c r="K6833" s="15" t="s">
        <v>23</v>
      </c>
    </row>
    <row r="6834" spans="1:11" ht="42" customHeight="1">
      <c r="A6834" s="4" t="s">
        <v>16657</v>
      </c>
      <c r="B6834" s="5" t="s">
        <v>16658</v>
      </c>
      <c r="C6834" s="5" t="s">
        <v>35</v>
      </c>
      <c r="D6834" s="5" t="s">
        <v>36</v>
      </c>
      <c r="E6834" s="5" t="s">
        <v>148</v>
      </c>
      <c r="F6834" s="9">
        <v>66</v>
      </c>
      <c r="G6834" s="9">
        <v>808</v>
      </c>
      <c r="H6834" s="5" t="s">
        <v>21</v>
      </c>
      <c r="I6834" s="5" t="s">
        <v>16659</v>
      </c>
      <c r="J6834" s="12" t="str">
        <f>HYPERLINK("https://www.boe.es/gazeta/dias/1802/08/13/pdfs/GMD-1802-66.pdf#page=12","Abrir facsímil")</f>
        <v>Abrir facsímil</v>
      </c>
      <c r="K6834" s="15" t="s">
        <v>23</v>
      </c>
    </row>
    <row r="6835" spans="1:11" ht="42" customHeight="1">
      <c r="A6835" s="4" t="s">
        <v>16660</v>
      </c>
      <c r="B6835" s="5" t="s">
        <v>16661</v>
      </c>
      <c r="C6835" s="5" t="s">
        <v>18</v>
      </c>
      <c r="D6835" s="5" t="s">
        <v>19</v>
      </c>
      <c r="E6835" s="5" t="s">
        <v>152</v>
      </c>
      <c r="F6835" s="9">
        <v>25</v>
      </c>
      <c r="G6835" s="9">
        <v>284</v>
      </c>
      <c r="H6835" s="5" t="s">
        <v>21</v>
      </c>
      <c r="I6835" s="5" t="s">
        <v>16662</v>
      </c>
      <c r="J6835" s="12" t="str">
        <f>HYPERLINK("https://www.boe.es/gazeta/dias/1802/03/26/pdfs/GMD-1802-25.pdf#page=8","Abrir facsímil")</f>
        <v>Abrir facsímil</v>
      </c>
      <c r="K6835" s="15" t="s">
        <v>23</v>
      </c>
    </row>
    <row r="6836" spans="1:11" ht="42" customHeight="1">
      <c r="A6836" s="4" t="s">
        <v>16663</v>
      </c>
      <c r="B6836" s="5" t="s">
        <v>16664</v>
      </c>
      <c r="C6836" s="5" t="s">
        <v>29</v>
      </c>
      <c r="D6836" s="5" t="s">
        <v>30</v>
      </c>
      <c r="E6836" s="5" t="s">
        <v>749</v>
      </c>
      <c r="F6836" s="9">
        <v>97</v>
      </c>
      <c r="G6836" s="9">
        <v>1203</v>
      </c>
      <c r="H6836" s="5" t="s">
        <v>21</v>
      </c>
      <c r="I6836" s="5" t="s">
        <v>16665</v>
      </c>
      <c r="J6836" s="12" t="str">
        <f>HYPERLINK("https://www.boe.es/gazeta/dias/1802/11/30/pdfs/GMD-1802-97.pdf#page=11","Abrir facsímil")</f>
        <v>Abrir facsímil</v>
      </c>
      <c r="K6836" s="15" t="s">
        <v>23</v>
      </c>
    </row>
    <row r="6837" spans="1:11" ht="42" customHeight="1">
      <c r="A6837" s="4" t="s">
        <v>16666</v>
      </c>
      <c r="B6837" s="5" t="s">
        <v>16666</v>
      </c>
      <c r="C6837" s="5" t="s">
        <v>55</v>
      </c>
      <c r="D6837" s="5" t="s">
        <v>56</v>
      </c>
      <c r="E6837" s="5" t="s">
        <v>530</v>
      </c>
      <c r="F6837" s="9">
        <v>48</v>
      </c>
      <c r="G6837" s="9">
        <v>588</v>
      </c>
      <c r="H6837" s="5" t="s">
        <v>21</v>
      </c>
      <c r="I6837" s="5" t="s">
        <v>16667</v>
      </c>
      <c r="J6837" s="12" t="str">
        <f>HYPERLINK("https://www.boe.es/gazeta/dias/1802/06/15/pdfs/GMD-1802-48.pdf#page=12","Abrir facsímil")</f>
        <v>Abrir facsímil</v>
      </c>
      <c r="K6837" s="15" t="s">
        <v>23</v>
      </c>
    </row>
    <row r="6838" spans="1:11" ht="42" customHeight="1">
      <c r="A6838" s="4" t="s">
        <v>16668</v>
      </c>
      <c r="B6838" s="5" t="s">
        <v>16669</v>
      </c>
      <c r="C6838" s="5" t="s">
        <v>29</v>
      </c>
      <c r="D6838" s="5" t="s">
        <v>30</v>
      </c>
      <c r="E6838" s="5" t="s">
        <v>1588</v>
      </c>
      <c r="F6838" s="9">
        <v>18</v>
      </c>
      <c r="G6838" s="9">
        <v>197</v>
      </c>
      <c r="H6838" s="5" t="s">
        <v>21</v>
      </c>
      <c r="I6838" s="5" t="s">
        <v>16670</v>
      </c>
      <c r="J6838" s="12" t="str">
        <f>HYPERLINK("https://www.boe.es/gazeta/dias/1802/03/02/pdfs/GMD-1802-18.pdf#page=9","Abrir facsímil")</f>
        <v>Abrir facsímil</v>
      </c>
      <c r="K6838" s="15" t="s">
        <v>23</v>
      </c>
    </row>
    <row r="6839" spans="1:11" ht="42" customHeight="1">
      <c r="A6839" s="4" t="s">
        <v>16671</v>
      </c>
      <c r="B6839" s="5" t="s">
        <v>16672</v>
      </c>
      <c r="C6839" s="5" t="s">
        <v>18</v>
      </c>
      <c r="D6839" s="5" t="s">
        <v>19</v>
      </c>
      <c r="E6839" s="5" t="s">
        <v>20</v>
      </c>
      <c r="F6839" s="9">
        <v>84</v>
      </c>
      <c r="G6839" s="9">
        <v>1042</v>
      </c>
      <c r="H6839" s="5" t="s">
        <v>21</v>
      </c>
      <c r="I6839" s="5" t="s">
        <v>16673</v>
      </c>
      <c r="J6839" s="12" t="str">
        <f>HYPERLINK("https://www.boe.es/gazeta/dias/1802/10/15/pdfs/GMD-1802-84.pdf#page=10","Abrir facsímil")</f>
        <v>Abrir facsímil</v>
      </c>
      <c r="K6839" s="15" t="s">
        <v>23</v>
      </c>
    </row>
    <row r="6840" spans="1:11" ht="42" customHeight="1">
      <c r="A6840" s="4" t="s">
        <v>16674</v>
      </c>
      <c r="B6840" s="5" t="s">
        <v>16674</v>
      </c>
      <c r="C6840" s="5" t="s">
        <v>29</v>
      </c>
      <c r="D6840" s="5" t="s">
        <v>30</v>
      </c>
      <c r="E6840" s="5" t="s">
        <v>706</v>
      </c>
      <c r="F6840" s="9">
        <v>80</v>
      </c>
      <c r="G6840" s="9">
        <v>982</v>
      </c>
      <c r="H6840" s="5" t="s">
        <v>21</v>
      </c>
      <c r="I6840" s="5" t="s">
        <v>16675</v>
      </c>
      <c r="J6840" s="12" t="str">
        <f>HYPERLINK("https://www.boe.es/gazeta/dias/1802/10/01/pdfs/GMD-1802-80.pdf#page=6","Abrir facsímil")</f>
        <v>Abrir facsímil</v>
      </c>
      <c r="K6840" s="15" t="s">
        <v>23</v>
      </c>
    </row>
    <row r="6841" spans="1:11" ht="42" customHeight="1">
      <c r="A6841" s="4" t="s">
        <v>16676</v>
      </c>
      <c r="B6841" s="5" t="s">
        <v>16676</v>
      </c>
      <c r="C6841" s="5" t="s">
        <v>29</v>
      </c>
      <c r="D6841" s="5" t="s">
        <v>30</v>
      </c>
      <c r="E6841" s="5" t="s">
        <v>491</v>
      </c>
      <c r="F6841" s="9">
        <v>57</v>
      </c>
      <c r="G6841" s="9">
        <v>690</v>
      </c>
      <c r="H6841" s="5" t="s">
        <v>21</v>
      </c>
      <c r="I6841" s="5" t="s">
        <v>16677</v>
      </c>
      <c r="J6841" s="12" t="str">
        <f>HYPERLINK("https://www.boe.es/gazeta/dias/1802/07/16/pdfs/GMD-1802-57.pdf#page=10","Abrir facsímil")</f>
        <v>Abrir facsímil</v>
      </c>
      <c r="K6841" s="15" t="s">
        <v>23</v>
      </c>
    </row>
    <row r="6842" spans="1:11" ht="42" customHeight="1">
      <c r="A6842" s="4" t="s">
        <v>16678</v>
      </c>
      <c r="B6842" s="5" t="s">
        <v>16679</v>
      </c>
      <c r="C6842" s="5" t="s">
        <v>18</v>
      </c>
      <c r="D6842" s="5" t="s">
        <v>19</v>
      </c>
      <c r="E6842" s="5" t="s">
        <v>20</v>
      </c>
      <c r="F6842" s="9">
        <v>84</v>
      </c>
      <c r="G6842" s="9">
        <v>1043</v>
      </c>
      <c r="H6842" s="5" t="s">
        <v>21</v>
      </c>
      <c r="I6842" s="5" t="s">
        <v>16680</v>
      </c>
      <c r="J6842" s="12" t="str">
        <f>HYPERLINK("https://www.boe.es/gazeta/dias/1802/10/15/pdfs/GMD-1802-84.pdf#page=11","Abrir facsímil")</f>
        <v>Abrir facsímil</v>
      </c>
      <c r="K6842" s="15" t="s">
        <v>23</v>
      </c>
    </row>
    <row r="6843" spans="1:11" ht="42" customHeight="1">
      <c r="A6843" s="4" t="s">
        <v>16681</v>
      </c>
      <c r="B6843" s="5" t="s">
        <v>16682</v>
      </c>
      <c r="C6843" s="5" t="s">
        <v>29</v>
      </c>
      <c r="D6843" s="5" t="s">
        <v>30</v>
      </c>
      <c r="E6843" s="5" t="s">
        <v>900</v>
      </c>
      <c r="F6843" s="9">
        <v>16</v>
      </c>
      <c r="G6843" s="9">
        <v>170</v>
      </c>
      <c r="H6843" s="5" t="s">
        <v>21</v>
      </c>
      <c r="I6843" s="5" t="s">
        <v>16683</v>
      </c>
      <c r="J6843" s="12" t="str">
        <f>HYPERLINK("https://www.boe.es/gazeta/dias/1802/02/23/pdfs/GMD-1802-16.pdf#page=10","Abrir facsímil")</f>
        <v>Abrir facsímil</v>
      </c>
      <c r="K6843" s="15" t="s">
        <v>23</v>
      </c>
    </row>
    <row r="6844" spans="1:11" ht="42" customHeight="1">
      <c r="A6844" s="4" t="s">
        <v>16684</v>
      </c>
      <c r="B6844" s="5" t="s">
        <v>16684</v>
      </c>
      <c r="C6844" s="5" t="s">
        <v>29</v>
      </c>
      <c r="D6844" s="5" t="s">
        <v>30</v>
      </c>
      <c r="E6844" s="5" t="s">
        <v>232</v>
      </c>
      <c r="F6844" s="9">
        <v>30</v>
      </c>
      <c r="G6844" s="9">
        <v>347</v>
      </c>
      <c r="H6844" s="5" t="s">
        <v>21</v>
      </c>
      <c r="I6844" s="5" t="s">
        <v>16685</v>
      </c>
      <c r="J6844" s="12" t="str">
        <f>HYPERLINK("https://www.boe.es/gazeta/dias/1802/04/13/pdfs/GMD-1802-30.pdf#page=3","Abrir facsímil")</f>
        <v>Abrir facsímil</v>
      </c>
      <c r="K6844" s="15" t="s">
        <v>23</v>
      </c>
    </row>
    <row r="6845" spans="1:11" ht="42" customHeight="1">
      <c r="A6845" s="4" t="s">
        <v>16686</v>
      </c>
      <c r="B6845" s="5" t="s">
        <v>16686</v>
      </c>
      <c r="C6845" s="5" t="s">
        <v>55</v>
      </c>
      <c r="D6845" s="5" t="s">
        <v>56</v>
      </c>
      <c r="E6845" s="5" t="s">
        <v>167</v>
      </c>
      <c r="F6845" s="9">
        <v>23</v>
      </c>
      <c r="G6845" s="9">
        <v>253</v>
      </c>
      <c r="H6845" s="5" t="s">
        <v>21</v>
      </c>
      <c r="I6845" s="5" t="s">
        <v>16687</v>
      </c>
      <c r="J6845" s="12" t="str">
        <f>HYPERLINK("https://www.boe.es/gazeta/dias/1802/03/19/pdfs/GMD-1802-23.pdf#page=1","Abrir facsímil")</f>
        <v>Abrir facsímil</v>
      </c>
      <c r="K6845" s="15" t="s">
        <v>23</v>
      </c>
    </row>
    <row r="6846" spans="1:11" ht="42" customHeight="1">
      <c r="A6846" s="4" t="s">
        <v>16688</v>
      </c>
      <c r="B6846" s="5" t="s">
        <v>16689</v>
      </c>
      <c r="C6846" s="5" t="s">
        <v>18</v>
      </c>
      <c r="D6846" s="5" t="s">
        <v>19</v>
      </c>
      <c r="E6846" s="5" t="s">
        <v>20</v>
      </c>
      <c r="F6846" s="9">
        <v>84</v>
      </c>
      <c r="G6846" s="9">
        <v>1044</v>
      </c>
      <c r="H6846" s="5" t="s">
        <v>21</v>
      </c>
      <c r="I6846" s="5" t="s">
        <v>16690</v>
      </c>
      <c r="J6846" s="12" t="str">
        <f>HYPERLINK("https://www.boe.es/gazeta/dias/1802/10/15/pdfs/GMD-1802-84.pdf#page=12","Abrir facsímil")</f>
        <v>Abrir facsímil</v>
      </c>
      <c r="K6846" s="15" t="s">
        <v>23</v>
      </c>
    </row>
    <row r="6847" spans="1:11" ht="42" customHeight="1">
      <c r="A6847" s="4" t="s">
        <v>16691</v>
      </c>
      <c r="B6847" s="5" t="s">
        <v>16692</v>
      </c>
      <c r="C6847" s="5" t="s">
        <v>160</v>
      </c>
      <c r="D6847" s="5" t="s">
        <v>91</v>
      </c>
      <c r="E6847" s="5" t="s">
        <v>181</v>
      </c>
      <c r="F6847" s="9">
        <v>55</v>
      </c>
      <c r="G6847" s="9">
        <v>668</v>
      </c>
      <c r="H6847" s="5" t="s">
        <v>21</v>
      </c>
      <c r="I6847" s="5" t="s">
        <v>16693</v>
      </c>
      <c r="J6847" s="12" t="str">
        <f>HYPERLINK("https://www.boe.es/gazeta/dias/1802/07/09/pdfs/GMD-1802-55.pdf#page=12","Abrir facsímil")</f>
        <v>Abrir facsímil</v>
      </c>
      <c r="K6847" s="15" t="s">
        <v>23</v>
      </c>
    </row>
    <row r="6848" spans="1:11" ht="42" customHeight="1">
      <c r="A6848" s="4" t="s">
        <v>16694</v>
      </c>
      <c r="B6848" s="5" t="s">
        <v>16695</v>
      </c>
      <c r="C6848" s="5" t="s">
        <v>29</v>
      </c>
      <c r="D6848" s="5" t="s">
        <v>30</v>
      </c>
      <c r="E6848" s="5" t="s">
        <v>37</v>
      </c>
      <c r="F6848" s="9">
        <v>106</v>
      </c>
      <c r="G6848" s="9">
        <v>1294</v>
      </c>
      <c r="H6848" s="5" t="s">
        <v>21</v>
      </c>
      <c r="I6848" s="5" t="s">
        <v>16696</v>
      </c>
      <c r="J6848" s="12" t="str">
        <f>HYPERLINK("https://www.boe.es/gazeta/dias/1802/12/31/pdfs/GMD-1802-106.pdf#page=6","Abrir facsímil")</f>
        <v>Abrir facsímil</v>
      </c>
      <c r="K6848" s="15" t="s">
        <v>23</v>
      </c>
    </row>
    <row r="6849" spans="1:11" ht="42" customHeight="1">
      <c r="A6849" s="4" t="s">
        <v>16697</v>
      </c>
      <c r="B6849" s="5" t="s">
        <v>16698</v>
      </c>
      <c r="C6849" s="5" t="s">
        <v>35</v>
      </c>
      <c r="D6849" s="5" t="s">
        <v>36</v>
      </c>
      <c r="E6849" s="5" t="s">
        <v>1289</v>
      </c>
      <c r="F6849" s="9">
        <v>72</v>
      </c>
      <c r="G6849" s="9">
        <v>886</v>
      </c>
      <c r="H6849" s="5" t="s">
        <v>21</v>
      </c>
      <c r="I6849" s="5" t="s">
        <v>16699</v>
      </c>
      <c r="J6849" s="12" t="str">
        <f>HYPERLINK("https://www.boe.es/gazeta/dias/1802/09/03/pdfs/GMD-1802-72.pdf#page=6","Abrir facsímil")</f>
        <v>Abrir facsímil</v>
      </c>
      <c r="K6849" s="15" t="s">
        <v>23</v>
      </c>
    </row>
    <row r="6850" spans="1:11" ht="42" customHeight="1">
      <c r="A6850" s="4" t="s">
        <v>16700</v>
      </c>
      <c r="B6850" s="5" t="s">
        <v>16701</v>
      </c>
      <c r="C6850" s="5" t="s">
        <v>160</v>
      </c>
      <c r="D6850" s="5" t="s">
        <v>91</v>
      </c>
      <c r="E6850" s="5" t="s">
        <v>172</v>
      </c>
      <c r="F6850" s="9">
        <v>35</v>
      </c>
      <c r="G6850" s="9">
        <v>415</v>
      </c>
      <c r="H6850" s="5" t="s">
        <v>21</v>
      </c>
      <c r="I6850" s="5" t="s">
        <v>16702</v>
      </c>
      <c r="J6850" s="12" t="str">
        <f>HYPERLINK("https://www.boe.es/gazeta/dias/1802/04/30/pdfs/GMD-1802-35.pdf#page=15","Abrir facsímil")</f>
        <v>Abrir facsímil</v>
      </c>
      <c r="K6850" s="15" t="s">
        <v>23</v>
      </c>
    </row>
    <row r="6851" spans="1:11" ht="42" customHeight="1">
      <c r="A6851" s="4" t="s">
        <v>16703</v>
      </c>
      <c r="B6851" s="5" t="s">
        <v>16704</v>
      </c>
      <c r="C6851" s="5" t="s">
        <v>90</v>
      </c>
      <c r="D6851" s="5" t="s">
        <v>91</v>
      </c>
      <c r="E6851" s="5" t="s">
        <v>1264</v>
      </c>
      <c r="F6851" s="9">
        <v>105</v>
      </c>
      <c r="G6851" s="9">
        <v>1287</v>
      </c>
      <c r="H6851" s="5" t="s">
        <v>21</v>
      </c>
      <c r="I6851" s="5" t="s">
        <v>16705</v>
      </c>
      <c r="J6851" s="12" t="str">
        <f>HYPERLINK("https://www.boe.es/gazeta/dias/1802/12/28/pdfs/GMD-1802-105.pdf#page=11","Abrir facsímil")</f>
        <v>Abrir facsímil</v>
      </c>
      <c r="K6851" s="15" t="s">
        <v>23</v>
      </c>
    </row>
    <row r="6852" spans="1:11" ht="42" customHeight="1">
      <c r="A6852" s="4" t="s">
        <v>16706</v>
      </c>
      <c r="B6852" s="5" t="s">
        <v>16706</v>
      </c>
      <c r="C6852" s="5" t="s">
        <v>18</v>
      </c>
      <c r="D6852" s="5" t="s">
        <v>19</v>
      </c>
      <c r="E6852" s="5" t="s">
        <v>20</v>
      </c>
      <c r="F6852" s="9">
        <v>84</v>
      </c>
      <c r="G6852" s="9">
        <v>1043</v>
      </c>
      <c r="H6852" s="5" t="s">
        <v>21</v>
      </c>
      <c r="I6852" s="5" t="s">
        <v>16707</v>
      </c>
      <c r="J6852" s="12" t="str">
        <f>HYPERLINK("https://www.boe.es/gazeta/dias/1802/10/15/pdfs/GMD-1802-84.pdf#page=11","Abrir facsímil")</f>
        <v>Abrir facsímil</v>
      </c>
      <c r="K6852" s="15" t="s">
        <v>23</v>
      </c>
    </row>
    <row r="6853" spans="1:11" ht="42" customHeight="1">
      <c r="A6853" s="4" t="s">
        <v>16708</v>
      </c>
      <c r="B6853" s="5" t="s">
        <v>16709</v>
      </c>
      <c r="C6853" s="5" t="s">
        <v>29</v>
      </c>
      <c r="D6853" s="5" t="s">
        <v>30</v>
      </c>
      <c r="E6853" s="5" t="s">
        <v>1051</v>
      </c>
      <c r="F6853" s="9">
        <v>43</v>
      </c>
      <c r="G6853" s="9">
        <v>518</v>
      </c>
      <c r="H6853" s="5" t="s">
        <v>21</v>
      </c>
      <c r="I6853" s="5" t="s">
        <v>16710</v>
      </c>
      <c r="J6853" s="12" t="str">
        <f>HYPERLINK("https://www.boe.es/gazeta/dias/1802/05/28/pdfs/GMD-1802-43.pdf#page=10","Abrir facsímil")</f>
        <v>Abrir facsímil</v>
      </c>
      <c r="K6853" s="15" t="s">
        <v>23</v>
      </c>
    </row>
    <row r="6854" spans="1:11" ht="42" customHeight="1">
      <c r="A6854" s="4" t="s">
        <v>16711</v>
      </c>
      <c r="B6854" s="5" t="s">
        <v>16712</v>
      </c>
      <c r="C6854" s="5" t="s">
        <v>18</v>
      </c>
      <c r="D6854" s="5" t="s">
        <v>19</v>
      </c>
      <c r="E6854" s="5" t="s">
        <v>764</v>
      </c>
      <c r="F6854" s="9">
        <v>69</v>
      </c>
      <c r="G6854" s="9">
        <v>849</v>
      </c>
      <c r="H6854" s="5" t="s">
        <v>21</v>
      </c>
      <c r="I6854" s="5" t="s">
        <v>16713</v>
      </c>
      <c r="J6854" s="12" t="str">
        <f>HYPERLINK("https://www.boe.es/gazeta/dias/1802/08/24/pdfs/GMD-1802-69.pdf#page=9","Abrir facsímil")</f>
        <v>Abrir facsímil</v>
      </c>
      <c r="K6854" s="15" t="s">
        <v>23</v>
      </c>
    </row>
    <row r="6855" spans="1:11" ht="42" customHeight="1">
      <c r="A6855" s="4" t="s">
        <v>16714</v>
      </c>
      <c r="B6855" s="5" t="s">
        <v>16715</v>
      </c>
      <c r="C6855" s="5" t="s">
        <v>35</v>
      </c>
      <c r="D6855" s="5" t="s">
        <v>36</v>
      </c>
      <c r="E6855" s="5" t="s">
        <v>823</v>
      </c>
      <c r="F6855" s="9">
        <v>94</v>
      </c>
      <c r="G6855" s="9">
        <v>1163</v>
      </c>
      <c r="H6855" s="5" t="s">
        <v>21</v>
      </c>
      <c r="I6855" s="5" t="s">
        <v>16716</v>
      </c>
      <c r="J6855" s="12" t="str">
        <f>HYPERLINK("https://www.boe.es/gazeta/dias/1802/11/19/pdfs/GMD-1802-94.pdf#page=11","Abrir facsímil")</f>
        <v>Abrir facsímil</v>
      </c>
      <c r="K6855" s="15" t="s">
        <v>23</v>
      </c>
    </row>
    <row r="6856" spans="1:11" ht="42" customHeight="1">
      <c r="A6856" s="4" t="s">
        <v>16717</v>
      </c>
      <c r="B6856" s="5" t="s">
        <v>16718</v>
      </c>
      <c r="C6856" s="5" t="s">
        <v>55</v>
      </c>
      <c r="D6856" s="5" t="s">
        <v>56</v>
      </c>
      <c r="E6856" s="5" t="s">
        <v>604</v>
      </c>
      <c r="F6856" s="9">
        <v>100</v>
      </c>
      <c r="G6856" s="9">
        <v>1236</v>
      </c>
      <c r="H6856" s="5" t="s">
        <v>21</v>
      </c>
      <c r="I6856" s="5" t="s">
        <v>16719</v>
      </c>
      <c r="J6856" s="12" t="str">
        <f>HYPERLINK("https://www.boe.es/gazeta/dias/1802/12/10/pdfs/GMD-1802-100.pdf#page=8","Abrir facsímil")</f>
        <v>Abrir facsímil</v>
      </c>
      <c r="K6856" s="15" t="s">
        <v>23</v>
      </c>
    </row>
    <row r="6857" spans="1:11" ht="42" customHeight="1">
      <c r="A6857" s="4" t="s">
        <v>16720</v>
      </c>
      <c r="B6857" s="5" t="s">
        <v>16721</v>
      </c>
      <c r="C6857" s="5" t="s">
        <v>18</v>
      </c>
      <c r="D6857" s="5" t="s">
        <v>19</v>
      </c>
      <c r="E6857" s="5" t="s">
        <v>20</v>
      </c>
      <c r="F6857" s="9">
        <v>84</v>
      </c>
      <c r="G6857" s="9">
        <v>1041</v>
      </c>
      <c r="H6857" s="5" t="s">
        <v>21</v>
      </c>
      <c r="I6857" s="5" t="s">
        <v>16722</v>
      </c>
      <c r="J6857" s="12" t="str">
        <f>HYPERLINK("https://www.boe.es/gazeta/dias/1802/10/15/pdfs/GMD-1802-84.pdf#page=9","Abrir facsímil")</f>
        <v>Abrir facsímil</v>
      </c>
      <c r="K6857" s="15" t="s">
        <v>23</v>
      </c>
    </row>
    <row r="6858" spans="1:11" ht="42" customHeight="1">
      <c r="A6858" s="4" t="s">
        <v>16723</v>
      </c>
      <c r="B6858" s="5" t="s">
        <v>16724</v>
      </c>
      <c r="C6858" s="5" t="s">
        <v>29</v>
      </c>
      <c r="D6858" s="5" t="s">
        <v>30</v>
      </c>
      <c r="E6858" s="5" t="s">
        <v>439</v>
      </c>
      <c r="F6858" s="9">
        <v>76</v>
      </c>
      <c r="G6858" s="9">
        <v>939</v>
      </c>
      <c r="H6858" s="5" t="s">
        <v>21</v>
      </c>
      <c r="I6858" s="5" t="s">
        <v>16725</v>
      </c>
      <c r="J6858" s="12" t="str">
        <f>HYPERLINK("https://www.boe.es/gazeta/dias/1802/09/17/pdfs/GMD-1802-76.pdf#page=11","Abrir facsímil")</f>
        <v>Abrir facsímil</v>
      </c>
      <c r="K6858" s="15" t="s">
        <v>23</v>
      </c>
    </row>
    <row r="6859" spans="1:11" ht="42" customHeight="1">
      <c r="A6859" s="4" t="s">
        <v>16726</v>
      </c>
      <c r="B6859" s="5" t="s">
        <v>16727</v>
      </c>
      <c r="C6859" s="5" t="s">
        <v>2417</v>
      </c>
      <c r="D6859" s="5" t="s">
        <v>2418</v>
      </c>
      <c r="E6859" s="5" t="s">
        <v>206</v>
      </c>
      <c r="F6859" s="9">
        <v>22</v>
      </c>
      <c r="G6859" s="9">
        <v>246</v>
      </c>
      <c r="H6859" s="5" t="s">
        <v>21</v>
      </c>
      <c r="I6859" s="5" t="s">
        <v>16728</v>
      </c>
      <c r="J6859" s="12" t="str">
        <f>HYPERLINK("https://www.boe.es/gazeta/dias/1802/03/16/pdfs/GMD-C-1802-22.pdf#page=2","Abrir facsímil")</f>
        <v>Abrir facsímil</v>
      </c>
      <c r="K6859" s="15" t="s">
        <v>23</v>
      </c>
    </row>
    <row r="6860" spans="1:11" ht="42" customHeight="1">
      <c r="A6860" s="4" t="s">
        <v>16726</v>
      </c>
      <c r="B6860" s="5" t="s">
        <v>16727</v>
      </c>
      <c r="C6860" s="5" t="s">
        <v>18</v>
      </c>
      <c r="D6860" s="5" t="s">
        <v>19</v>
      </c>
      <c r="E6860" s="5" t="s">
        <v>167</v>
      </c>
      <c r="F6860" s="9">
        <v>23</v>
      </c>
      <c r="G6860" s="9">
        <v>260</v>
      </c>
      <c r="H6860" s="5" t="s">
        <v>21</v>
      </c>
      <c r="I6860" s="5" t="s">
        <v>16729</v>
      </c>
      <c r="J6860" s="12" t="str">
        <f>HYPERLINK("https://www.boe.es/gazeta/dias/1802/03/19/pdfs/GMD-1802-23.pdf#page=8","Abrir facsímil")</f>
        <v>Abrir facsímil</v>
      </c>
      <c r="K6860" s="15" t="s">
        <v>23</v>
      </c>
    </row>
    <row r="6861" spans="1:11" ht="42" customHeight="1">
      <c r="A6861" s="4" t="s">
        <v>16726</v>
      </c>
      <c r="B6861" s="5" t="s">
        <v>16727</v>
      </c>
      <c r="C6861" s="5" t="s">
        <v>18</v>
      </c>
      <c r="D6861" s="5" t="s">
        <v>19</v>
      </c>
      <c r="E6861" s="5" t="s">
        <v>332</v>
      </c>
      <c r="F6861" s="9">
        <v>24</v>
      </c>
      <c r="G6861" s="9">
        <v>273</v>
      </c>
      <c r="H6861" s="5" t="s">
        <v>21</v>
      </c>
      <c r="I6861" s="5" t="s">
        <v>16730</v>
      </c>
      <c r="J6861" s="12" t="str">
        <f>HYPERLINK("https://www.boe.es/gazeta/dias/1802/03/23/pdfs/GMD-1802-24.pdf#page=9","Abrir facsímil")</f>
        <v>Abrir facsímil</v>
      </c>
      <c r="K6861" s="15" t="s">
        <v>23</v>
      </c>
    </row>
    <row r="6862" spans="1:11" ht="42" customHeight="1">
      <c r="A6862" s="4" t="s">
        <v>16726</v>
      </c>
      <c r="B6862" s="5" t="s">
        <v>16727</v>
      </c>
      <c r="C6862" s="5" t="s">
        <v>18</v>
      </c>
      <c r="D6862" s="5" t="s">
        <v>19</v>
      </c>
      <c r="E6862" s="5" t="s">
        <v>1749</v>
      </c>
      <c r="F6862" s="9">
        <v>60</v>
      </c>
      <c r="G6862" s="9">
        <v>730</v>
      </c>
      <c r="H6862" s="5" t="s">
        <v>21</v>
      </c>
      <c r="I6862" s="5" t="s">
        <v>16731</v>
      </c>
      <c r="J6862" s="12" t="str">
        <f>HYPERLINK("https://www.boe.es/gazeta/dias/1802/07/23/pdfs/GMD-1802-60.pdf#page=14","Abrir facsímil")</f>
        <v>Abrir facsímil</v>
      </c>
      <c r="K6862" s="15" t="s">
        <v>23</v>
      </c>
    </row>
    <row r="6863" spans="1:11" ht="42" customHeight="1">
      <c r="A6863" s="4" t="s">
        <v>16726</v>
      </c>
      <c r="B6863" s="5" t="s">
        <v>16727</v>
      </c>
      <c r="C6863" s="5" t="s">
        <v>18</v>
      </c>
      <c r="D6863" s="5" t="s">
        <v>19</v>
      </c>
      <c r="E6863" s="5" t="s">
        <v>517</v>
      </c>
      <c r="F6863" s="9">
        <v>61</v>
      </c>
      <c r="G6863" s="9">
        <v>742</v>
      </c>
      <c r="H6863" s="5" t="s">
        <v>21</v>
      </c>
      <c r="I6863" s="5" t="s">
        <v>16732</v>
      </c>
      <c r="J6863" s="12" t="str">
        <f>HYPERLINK("https://www.boe.es/gazeta/dias/1802/07/27/pdfs/GMD-1802-61.pdf#page=10","Abrir facsímil")</f>
        <v>Abrir facsímil</v>
      </c>
      <c r="K6863" s="15" t="s">
        <v>23</v>
      </c>
    </row>
    <row r="6864" spans="1:11" ht="42" customHeight="1">
      <c r="A6864" s="4" t="s">
        <v>16726</v>
      </c>
      <c r="B6864" s="5" t="s">
        <v>16727</v>
      </c>
      <c r="C6864" s="5" t="s">
        <v>18</v>
      </c>
      <c r="D6864" s="5" t="s">
        <v>19</v>
      </c>
      <c r="E6864" s="5" t="s">
        <v>292</v>
      </c>
      <c r="F6864" s="9">
        <v>62</v>
      </c>
      <c r="G6864" s="9">
        <v>754</v>
      </c>
      <c r="H6864" s="5" t="s">
        <v>21</v>
      </c>
      <c r="I6864" s="5" t="s">
        <v>16733</v>
      </c>
      <c r="J6864" s="12" t="str">
        <f>HYPERLINK("https://www.boe.es/gazeta/dias/1802/07/30/pdfs/GMD-1802-62.pdf#page=10","Abrir facsímil")</f>
        <v>Abrir facsímil</v>
      </c>
      <c r="K6864" s="15" t="s">
        <v>23</v>
      </c>
    </row>
    <row r="6865" spans="1:11" ht="42" customHeight="1">
      <c r="A6865" s="4" t="s">
        <v>16726</v>
      </c>
      <c r="B6865" s="5" t="s">
        <v>16727</v>
      </c>
      <c r="C6865" s="5" t="s">
        <v>18</v>
      </c>
      <c r="D6865" s="5" t="s">
        <v>19</v>
      </c>
      <c r="E6865" s="5" t="s">
        <v>1185</v>
      </c>
      <c r="F6865" s="9">
        <v>93</v>
      </c>
      <c r="G6865" s="9">
        <v>1150</v>
      </c>
      <c r="H6865" s="5" t="s">
        <v>21</v>
      </c>
      <c r="I6865" s="5" t="s">
        <v>16734</v>
      </c>
      <c r="J6865" s="12" t="str">
        <f>HYPERLINK("https://www.boe.es/gazeta/dias/1802/11/16/pdfs/GMD-1802-93.pdf#page=10","Abrir facsímil")</f>
        <v>Abrir facsímil</v>
      </c>
      <c r="K6865" s="15" t="s">
        <v>23</v>
      </c>
    </row>
    <row r="6866" spans="1:11" ht="42" customHeight="1">
      <c r="A6866" s="4" t="s">
        <v>16726</v>
      </c>
      <c r="B6866" s="5" t="s">
        <v>16727</v>
      </c>
      <c r="C6866" s="5" t="s">
        <v>35</v>
      </c>
      <c r="D6866" s="5" t="s">
        <v>36</v>
      </c>
      <c r="E6866" s="5" t="s">
        <v>185</v>
      </c>
      <c r="F6866" s="9">
        <v>95</v>
      </c>
      <c r="G6866" s="9">
        <v>1174</v>
      </c>
      <c r="H6866" s="5" t="s">
        <v>21</v>
      </c>
      <c r="I6866" s="5" t="s">
        <v>16735</v>
      </c>
      <c r="J6866" s="12" t="str">
        <f>HYPERLINK("https://www.boe.es/gazeta/dias/1802/11/23/pdfs/GMD-1802-95.pdf#page=10","Abrir facsímil")</f>
        <v>Abrir facsímil</v>
      </c>
      <c r="K6866" s="15" t="s">
        <v>23</v>
      </c>
    </row>
    <row r="6867" spans="1:11" ht="42" customHeight="1">
      <c r="A6867" s="4" t="s">
        <v>16736</v>
      </c>
      <c r="B6867" s="5" t="s">
        <v>16737</v>
      </c>
      <c r="C6867" s="5" t="s">
        <v>42</v>
      </c>
      <c r="D6867" s="5" t="s">
        <v>43</v>
      </c>
      <c r="E6867" s="5" t="s">
        <v>44</v>
      </c>
      <c r="F6867" s="9">
        <v>99</v>
      </c>
      <c r="G6867" s="9" t="s">
        <v>548</v>
      </c>
      <c r="H6867" s="5" t="s">
        <v>21</v>
      </c>
      <c r="I6867" s="5" t="s">
        <v>16738</v>
      </c>
      <c r="J6867" s="12" t="str">
        <f>HYPERLINK("https://www.boe.es/gazeta/dias/1802/12/07/pdfs/GMD-D-1802-99.pdf#page=12","Abrir facsímil")</f>
        <v>Abrir facsímil</v>
      </c>
      <c r="K6867" s="15" t="s">
        <v>23</v>
      </c>
    </row>
    <row r="6868" spans="1:11" ht="42" customHeight="1">
      <c r="A6868" s="4" t="s">
        <v>16739</v>
      </c>
      <c r="B6868" s="5" t="s">
        <v>16739</v>
      </c>
      <c r="C6868" s="5" t="s">
        <v>29</v>
      </c>
      <c r="D6868" s="5" t="s">
        <v>30</v>
      </c>
      <c r="E6868" s="5" t="s">
        <v>152</v>
      </c>
      <c r="F6868" s="9">
        <v>25</v>
      </c>
      <c r="G6868" s="9">
        <v>286</v>
      </c>
      <c r="H6868" s="5" t="s">
        <v>21</v>
      </c>
      <c r="I6868" s="5" t="s">
        <v>16740</v>
      </c>
      <c r="J6868" s="12" t="str">
        <f>HYPERLINK("https://www.boe.es/gazeta/dias/1802/03/26/pdfs/GMD-1802-25.pdf#page=10","Abrir facsímil")</f>
        <v>Abrir facsímil</v>
      </c>
      <c r="K6868" s="15" t="s">
        <v>23</v>
      </c>
    </row>
    <row r="6869" spans="1:11" ht="42" customHeight="1">
      <c r="A6869" s="4" t="s">
        <v>16741</v>
      </c>
      <c r="B6869" s="5" t="s">
        <v>16742</v>
      </c>
      <c r="C6869" s="5" t="s">
        <v>18</v>
      </c>
      <c r="D6869" s="5" t="s">
        <v>19</v>
      </c>
      <c r="E6869" s="5" t="s">
        <v>20</v>
      </c>
      <c r="F6869" s="9">
        <v>84</v>
      </c>
      <c r="G6869" s="9">
        <v>1040</v>
      </c>
      <c r="H6869" s="5" t="s">
        <v>21</v>
      </c>
      <c r="I6869" s="5" t="s">
        <v>16743</v>
      </c>
      <c r="J6869" s="12" t="str">
        <f>HYPERLINK("https://www.boe.es/gazeta/dias/1802/10/15/pdfs/GMD-1802-84.pdf#page=8","Abrir facsímil")</f>
        <v>Abrir facsímil</v>
      </c>
      <c r="K6869" s="15" t="s">
        <v>23</v>
      </c>
    </row>
    <row r="6870" spans="1:11" ht="42" customHeight="1">
      <c r="A6870" s="4" t="s">
        <v>16744</v>
      </c>
      <c r="B6870" s="5" t="s">
        <v>16745</v>
      </c>
      <c r="C6870" s="5" t="s">
        <v>18</v>
      </c>
      <c r="D6870" s="5" t="s">
        <v>19</v>
      </c>
      <c r="E6870" s="5" t="s">
        <v>20</v>
      </c>
      <c r="F6870" s="9">
        <v>84</v>
      </c>
      <c r="G6870" s="9">
        <v>1040</v>
      </c>
      <c r="H6870" s="5" t="s">
        <v>21</v>
      </c>
      <c r="I6870" s="5" t="s">
        <v>16746</v>
      </c>
      <c r="J6870" s="12" t="str">
        <f>HYPERLINK("https://www.boe.es/gazeta/dias/1802/10/15/pdfs/GMD-1802-84.pdf#page=8","Abrir facsímil")</f>
        <v>Abrir facsímil</v>
      </c>
      <c r="K6870" s="15" t="s">
        <v>23</v>
      </c>
    </row>
    <row r="6871" spans="1:11" ht="42" customHeight="1">
      <c r="A6871" s="4" t="s">
        <v>16747</v>
      </c>
      <c r="B6871" s="5" t="s">
        <v>16748</v>
      </c>
      <c r="C6871" s="5" t="s">
        <v>18</v>
      </c>
      <c r="D6871" s="5" t="s">
        <v>19</v>
      </c>
      <c r="E6871" s="5" t="s">
        <v>20</v>
      </c>
      <c r="F6871" s="9">
        <v>84</v>
      </c>
      <c r="G6871" s="9">
        <v>1041</v>
      </c>
      <c r="H6871" s="5" t="s">
        <v>21</v>
      </c>
      <c r="I6871" s="5" t="s">
        <v>16749</v>
      </c>
      <c r="J6871" s="12" t="str">
        <f>HYPERLINK("https://www.boe.es/gazeta/dias/1802/10/15/pdfs/GMD-1802-84.pdf#page=9","Abrir facsímil")</f>
        <v>Abrir facsímil</v>
      </c>
      <c r="K6871" s="15" t="s">
        <v>23</v>
      </c>
    </row>
    <row r="6872" spans="1:11" ht="42" customHeight="1">
      <c r="A6872" s="4" t="s">
        <v>16750</v>
      </c>
      <c r="B6872" s="5" t="s">
        <v>16751</v>
      </c>
      <c r="C6872" s="5" t="s">
        <v>18</v>
      </c>
      <c r="D6872" s="5" t="s">
        <v>19</v>
      </c>
      <c r="E6872" s="5" t="s">
        <v>20</v>
      </c>
      <c r="F6872" s="9">
        <v>84</v>
      </c>
      <c r="G6872" s="9">
        <v>1042</v>
      </c>
      <c r="H6872" s="5" t="s">
        <v>21</v>
      </c>
      <c r="I6872" s="5" t="s">
        <v>16752</v>
      </c>
      <c r="J6872" s="12" t="str">
        <f>HYPERLINK("https://www.boe.es/gazeta/dias/1802/10/15/pdfs/GMD-1802-84.pdf#page=10","Abrir facsímil")</f>
        <v>Abrir facsímil</v>
      </c>
      <c r="K6872" s="15" t="s">
        <v>23</v>
      </c>
    </row>
    <row r="6873" spans="1:11" ht="42" customHeight="1">
      <c r="A6873" s="4" t="s">
        <v>16753</v>
      </c>
      <c r="B6873" s="5" t="s">
        <v>16754</v>
      </c>
      <c r="C6873" s="5" t="s">
        <v>29</v>
      </c>
      <c r="D6873" s="5" t="s">
        <v>30</v>
      </c>
      <c r="E6873" s="5" t="s">
        <v>751</v>
      </c>
      <c r="F6873" s="9">
        <v>98</v>
      </c>
      <c r="G6873" s="9">
        <v>1214</v>
      </c>
      <c r="H6873" s="5" t="s">
        <v>21</v>
      </c>
      <c r="I6873" s="5" t="s">
        <v>16755</v>
      </c>
      <c r="J6873" s="12" t="str">
        <f>HYPERLINK("https://www.boe.es/gazeta/dias/1802/12/03/pdfs/GMD-1802-98.pdf#page=10","Abrir facsímil")</f>
        <v>Abrir facsímil</v>
      </c>
      <c r="K6873" s="15" t="s">
        <v>23</v>
      </c>
    </row>
    <row r="6874" spans="1:11" ht="42" customHeight="1">
      <c r="A6874" s="4" t="s">
        <v>16756</v>
      </c>
      <c r="B6874" s="5" t="s">
        <v>16756</v>
      </c>
      <c r="C6874" s="5" t="s">
        <v>35</v>
      </c>
      <c r="D6874" s="5" t="s">
        <v>36</v>
      </c>
      <c r="E6874" s="5" t="s">
        <v>311</v>
      </c>
      <c r="F6874" s="9">
        <v>88</v>
      </c>
      <c r="G6874" s="9">
        <v>1089</v>
      </c>
      <c r="H6874" s="5" t="s">
        <v>21</v>
      </c>
      <c r="I6874" s="5" t="s">
        <v>16757</v>
      </c>
      <c r="J6874" s="12" t="str">
        <f>HYPERLINK("https://www.boe.es/gazeta/dias/1802/10/29/pdfs/GMD-1802-88.pdf#page=5","Abrir facsímil")</f>
        <v>Abrir facsímil</v>
      </c>
      <c r="K6874" s="15" t="s">
        <v>23</v>
      </c>
    </row>
    <row r="6875" spans="1:11" ht="42" customHeight="1">
      <c r="A6875" s="4" t="s">
        <v>16758</v>
      </c>
      <c r="B6875" s="5" t="s">
        <v>16759</v>
      </c>
      <c r="C6875" s="5" t="s">
        <v>160</v>
      </c>
      <c r="D6875" s="5" t="s">
        <v>91</v>
      </c>
      <c r="E6875" s="5" t="s">
        <v>20</v>
      </c>
      <c r="F6875" s="9">
        <v>84</v>
      </c>
      <c r="G6875" s="9">
        <v>1044</v>
      </c>
      <c r="H6875" s="5" t="s">
        <v>21</v>
      </c>
      <c r="I6875" s="5" t="s">
        <v>16760</v>
      </c>
      <c r="J6875" s="12" t="str">
        <f>HYPERLINK("https://www.boe.es/gazeta/dias/1802/10/15/pdfs/GMD-1802-84.pdf#page=12","Abrir facsímil")</f>
        <v>Abrir facsímil</v>
      </c>
      <c r="K6875" s="15" t="s">
        <v>23</v>
      </c>
    </row>
    <row r="6876" spans="1:11" ht="42" customHeight="1">
      <c r="A6876" s="4" t="s">
        <v>16761</v>
      </c>
      <c r="B6876" s="5" t="s">
        <v>16762</v>
      </c>
      <c r="C6876" s="5" t="s">
        <v>18</v>
      </c>
      <c r="D6876" s="5" t="s">
        <v>19</v>
      </c>
      <c r="E6876" s="5" t="s">
        <v>49</v>
      </c>
      <c r="F6876" s="9">
        <v>83</v>
      </c>
      <c r="G6876" s="9">
        <v>1024</v>
      </c>
      <c r="H6876" s="5" t="s">
        <v>21</v>
      </c>
      <c r="I6876" s="5" t="s">
        <v>16763</v>
      </c>
      <c r="J6876" s="12" t="str">
        <f>HYPERLINK("https://www.boe.es/gazeta/dias/1802/10/12/pdfs/GMD-1802-83.pdf#page=12","Abrir facsímil")</f>
        <v>Abrir facsímil</v>
      </c>
      <c r="K6876" s="15" t="s">
        <v>23</v>
      </c>
    </row>
    <row r="6877" spans="1:11" ht="42" customHeight="1">
      <c r="A6877" s="4" t="s">
        <v>16764</v>
      </c>
      <c r="B6877" s="5" t="s">
        <v>16765</v>
      </c>
      <c r="C6877" s="5" t="s">
        <v>18</v>
      </c>
      <c r="D6877" s="5" t="s">
        <v>19</v>
      </c>
      <c r="E6877" s="5" t="s">
        <v>49</v>
      </c>
      <c r="F6877" s="9">
        <v>83</v>
      </c>
      <c r="G6877" s="9">
        <v>1025</v>
      </c>
      <c r="H6877" s="5" t="s">
        <v>21</v>
      </c>
      <c r="I6877" s="5" t="s">
        <v>16766</v>
      </c>
      <c r="J6877" s="12" t="str">
        <f>HYPERLINK("https://www.boe.es/gazeta/dias/1802/10/12/pdfs/GMD-1802-83.pdf#page=13","Abrir facsímil")</f>
        <v>Abrir facsímil</v>
      </c>
      <c r="K6877" s="15" t="s">
        <v>23</v>
      </c>
    </row>
    <row r="6878" spans="1:11" ht="42" customHeight="1">
      <c r="A6878" s="4" t="s">
        <v>16767</v>
      </c>
      <c r="B6878" s="5" t="s">
        <v>16768</v>
      </c>
      <c r="C6878" s="5" t="s">
        <v>42</v>
      </c>
      <c r="D6878" s="5" t="s">
        <v>43</v>
      </c>
      <c r="E6878" s="5" t="s">
        <v>44</v>
      </c>
      <c r="F6878" s="9">
        <v>99</v>
      </c>
      <c r="G6878" s="9" t="s">
        <v>78</v>
      </c>
      <c r="H6878" s="5" t="s">
        <v>21</v>
      </c>
      <c r="I6878" s="5" t="s">
        <v>16769</v>
      </c>
      <c r="J6878" s="12" t="str">
        <f>HYPERLINK("https://www.boe.es/gazeta/dias/1802/12/07/pdfs/GMD-D-1802-99.pdf#page=15","Abrir facsímil")</f>
        <v>Abrir facsímil</v>
      </c>
      <c r="K6878" s="15" t="s">
        <v>23</v>
      </c>
    </row>
    <row r="6879" spans="1:11" ht="42" customHeight="1">
      <c r="A6879" s="4" t="s">
        <v>16770</v>
      </c>
      <c r="B6879" s="5" t="s">
        <v>16771</v>
      </c>
      <c r="C6879" s="5" t="s">
        <v>18</v>
      </c>
      <c r="D6879" s="5" t="s">
        <v>19</v>
      </c>
      <c r="E6879" s="5" t="s">
        <v>20</v>
      </c>
      <c r="F6879" s="9">
        <v>84</v>
      </c>
      <c r="G6879" s="9">
        <v>1042</v>
      </c>
      <c r="H6879" s="5" t="s">
        <v>21</v>
      </c>
      <c r="I6879" s="5" t="s">
        <v>16772</v>
      </c>
      <c r="J6879" s="12" t="str">
        <f>HYPERLINK("https://www.boe.es/gazeta/dias/1802/10/15/pdfs/GMD-1802-84.pdf#page=10","Abrir facsímil")</f>
        <v>Abrir facsímil</v>
      </c>
      <c r="K6879" s="15" t="s">
        <v>23</v>
      </c>
    </row>
    <row r="6880" spans="1:11" ht="42" customHeight="1">
      <c r="A6880" s="4" t="s">
        <v>16773</v>
      </c>
      <c r="B6880" s="5" t="s">
        <v>16774</v>
      </c>
      <c r="C6880" s="5" t="s">
        <v>29</v>
      </c>
      <c r="D6880" s="5" t="s">
        <v>30</v>
      </c>
      <c r="E6880" s="5" t="s">
        <v>49</v>
      </c>
      <c r="F6880" s="9">
        <v>83</v>
      </c>
      <c r="G6880" s="9">
        <v>1026</v>
      </c>
      <c r="H6880" s="5" t="s">
        <v>21</v>
      </c>
      <c r="I6880" s="5" t="s">
        <v>16775</v>
      </c>
      <c r="J6880" s="12" t="str">
        <f>HYPERLINK("https://www.boe.es/gazeta/dias/1802/10/12/pdfs/GMD-1802-83.pdf#page=14","Abrir facsímil")</f>
        <v>Abrir facsímil</v>
      </c>
      <c r="K6880" s="15" t="s">
        <v>23</v>
      </c>
    </row>
    <row r="6881" spans="1:11" ht="42" customHeight="1">
      <c r="A6881" s="4" t="s">
        <v>16776</v>
      </c>
      <c r="B6881" s="5" t="s">
        <v>16777</v>
      </c>
      <c r="C6881" s="5" t="s">
        <v>18</v>
      </c>
      <c r="D6881" s="5" t="s">
        <v>19</v>
      </c>
      <c r="E6881" s="5" t="s">
        <v>20</v>
      </c>
      <c r="F6881" s="9">
        <v>84</v>
      </c>
      <c r="G6881" s="9">
        <v>1042</v>
      </c>
      <c r="H6881" s="5" t="s">
        <v>21</v>
      </c>
      <c r="I6881" s="5" t="s">
        <v>16778</v>
      </c>
      <c r="J6881" s="12" t="str">
        <f>HYPERLINK("https://www.boe.es/gazeta/dias/1802/10/15/pdfs/GMD-1802-84.pdf#page=10","Abrir facsímil")</f>
        <v>Abrir facsímil</v>
      </c>
      <c r="K6881" s="15" t="s">
        <v>23</v>
      </c>
    </row>
    <row r="6882" spans="1:11" ht="42" customHeight="1">
      <c r="A6882" s="4" t="s">
        <v>16779</v>
      </c>
      <c r="B6882" s="5" t="s">
        <v>16780</v>
      </c>
      <c r="C6882" s="5" t="s">
        <v>55</v>
      </c>
      <c r="D6882" s="5" t="s">
        <v>56</v>
      </c>
      <c r="E6882" s="5" t="s">
        <v>219</v>
      </c>
      <c r="F6882" s="9">
        <v>81</v>
      </c>
      <c r="G6882" s="9">
        <v>1000</v>
      </c>
      <c r="H6882" s="5" t="s">
        <v>21</v>
      </c>
      <c r="I6882" s="5" t="s">
        <v>16781</v>
      </c>
      <c r="J6882" s="12" t="str">
        <f>HYPERLINK("https://www.boe.es/gazeta/dias/1802/10/05/pdfs/GMD-1802-81.pdf#page=12","Abrir facsímil")</f>
        <v>Abrir facsímil</v>
      </c>
      <c r="K6882" s="15" t="s">
        <v>23</v>
      </c>
    </row>
    <row r="6883" spans="1:11" ht="42" customHeight="1">
      <c r="A6883" s="4" t="s">
        <v>16782</v>
      </c>
      <c r="B6883" s="5" t="s">
        <v>16783</v>
      </c>
      <c r="C6883" s="5" t="s">
        <v>160</v>
      </c>
      <c r="D6883" s="5" t="s">
        <v>91</v>
      </c>
      <c r="E6883" s="5" t="s">
        <v>611</v>
      </c>
      <c r="F6883" s="9">
        <v>68</v>
      </c>
      <c r="G6883" s="9">
        <v>835</v>
      </c>
      <c r="H6883" s="5" t="s">
        <v>21</v>
      </c>
      <c r="I6883" s="5" t="s">
        <v>16784</v>
      </c>
      <c r="J6883" s="12" t="str">
        <f>HYPERLINK("https://www.boe.es/gazeta/dias/1802/08/20/pdfs/GMD-1802-68.pdf#page=11","Abrir facsímil")</f>
        <v>Abrir facsímil</v>
      </c>
      <c r="K6883" s="15" t="s">
        <v>23</v>
      </c>
    </row>
    <row r="6884" spans="1:11" ht="42" customHeight="1">
      <c r="A6884" s="4" t="s">
        <v>16785</v>
      </c>
      <c r="B6884" s="5" t="s">
        <v>16785</v>
      </c>
      <c r="C6884" s="5" t="s">
        <v>35</v>
      </c>
      <c r="D6884" s="5" t="s">
        <v>36</v>
      </c>
      <c r="E6884" s="5" t="s">
        <v>1381</v>
      </c>
      <c r="F6884" s="9">
        <v>17</v>
      </c>
      <c r="G6884" s="9">
        <v>180</v>
      </c>
      <c r="H6884" s="5" t="s">
        <v>21</v>
      </c>
      <c r="I6884" s="5" t="s">
        <v>16786</v>
      </c>
      <c r="J6884" s="12" t="str">
        <f>HYPERLINK("https://www.boe.es/gazeta/dias/1802/02/26/pdfs/GMD-1802-17.pdf#page=4","Abrir facsímil")</f>
        <v>Abrir facsímil</v>
      </c>
      <c r="K6884" s="15" t="s">
        <v>23</v>
      </c>
    </row>
    <row r="6885" spans="1:11" ht="42" customHeight="1">
      <c r="A6885" s="4" t="s">
        <v>16787</v>
      </c>
      <c r="B6885" s="5" t="s">
        <v>16788</v>
      </c>
      <c r="C6885" s="5" t="s">
        <v>29</v>
      </c>
      <c r="D6885" s="5" t="s">
        <v>30</v>
      </c>
      <c r="E6885" s="5" t="s">
        <v>481</v>
      </c>
      <c r="F6885" s="9">
        <v>79</v>
      </c>
      <c r="G6885" s="9">
        <v>974</v>
      </c>
      <c r="H6885" s="5" t="s">
        <v>21</v>
      </c>
      <c r="I6885" s="5" t="s">
        <v>16789</v>
      </c>
      <c r="J6885" s="12" t="str">
        <f>HYPERLINK("https://www.boe.es/gazeta/dias/1802/09/28/pdfs/GMD-1802-79.pdf#page=10","Abrir facsímil")</f>
        <v>Abrir facsímil</v>
      </c>
      <c r="K6885" s="15" t="s">
        <v>23</v>
      </c>
    </row>
    <row r="6886" spans="1:11" ht="42" customHeight="1">
      <c r="A6886" s="4" t="s">
        <v>16790</v>
      </c>
      <c r="B6886" s="5" t="s">
        <v>16791</v>
      </c>
      <c r="C6886" s="5" t="s">
        <v>18</v>
      </c>
      <c r="D6886" s="5" t="s">
        <v>19</v>
      </c>
      <c r="E6886" s="5" t="s">
        <v>20</v>
      </c>
      <c r="F6886" s="9">
        <v>84</v>
      </c>
      <c r="G6886" s="9">
        <v>1044</v>
      </c>
      <c r="H6886" s="5" t="s">
        <v>21</v>
      </c>
      <c r="I6886" s="5" t="s">
        <v>16792</v>
      </c>
      <c r="J6886" s="12" t="str">
        <f>HYPERLINK("https://www.boe.es/gazeta/dias/1802/10/15/pdfs/GMD-1802-84.pdf#page=12","Abrir facsímil")</f>
        <v>Abrir facsímil</v>
      </c>
      <c r="K6886" s="15" t="s">
        <v>23</v>
      </c>
    </row>
    <row r="6887" spans="1:11" ht="42" customHeight="1">
      <c r="A6887" s="4" t="s">
        <v>16793</v>
      </c>
      <c r="B6887" s="5" t="s">
        <v>16794</v>
      </c>
      <c r="C6887" s="5" t="s">
        <v>29</v>
      </c>
      <c r="D6887" s="5" t="s">
        <v>30</v>
      </c>
      <c r="E6887" s="5" t="s">
        <v>152</v>
      </c>
      <c r="F6887" s="9">
        <v>25</v>
      </c>
      <c r="G6887" s="9">
        <v>286</v>
      </c>
      <c r="H6887" s="5" t="s">
        <v>21</v>
      </c>
      <c r="I6887" s="5" t="s">
        <v>16795</v>
      </c>
      <c r="J6887" s="12" t="str">
        <f>HYPERLINK("https://www.boe.es/gazeta/dias/1802/03/26/pdfs/GMD-1802-25.pdf#page=10","Abrir facsímil")</f>
        <v>Abrir facsímil</v>
      </c>
      <c r="K6887" s="15" t="s">
        <v>23</v>
      </c>
    </row>
    <row r="6888" spans="1:11" ht="42" customHeight="1">
      <c r="A6888" s="4" t="s">
        <v>16796</v>
      </c>
      <c r="B6888" s="5" t="s">
        <v>16797</v>
      </c>
      <c r="C6888" s="5" t="s">
        <v>18</v>
      </c>
      <c r="D6888" s="5" t="s">
        <v>19</v>
      </c>
      <c r="E6888" s="5" t="s">
        <v>20</v>
      </c>
      <c r="F6888" s="9">
        <v>84</v>
      </c>
      <c r="G6888" s="9">
        <v>1042</v>
      </c>
      <c r="H6888" s="5" t="s">
        <v>21</v>
      </c>
      <c r="I6888" s="5" t="s">
        <v>16798</v>
      </c>
      <c r="J6888" s="12" t="str">
        <f>HYPERLINK("https://www.boe.es/gazeta/dias/1802/10/15/pdfs/GMD-1802-84.pdf#page=10","Abrir facsímil")</f>
        <v>Abrir facsímil</v>
      </c>
      <c r="K6888" s="15" t="s">
        <v>23</v>
      </c>
    </row>
    <row r="6889" spans="1:11" ht="42" customHeight="1">
      <c r="A6889" s="4" t="s">
        <v>16799</v>
      </c>
      <c r="B6889" s="5" t="s">
        <v>16800</v>
      </c>
      <c r="C6889" s="5" t="s">
        <v>18</v>
      </c>
      <c r="D6889" s="5" t="s">
        <v>19</v>
      </c>
      <c r="E6889" s="5" t="s">
        <v>49</v>
      </c>
      <c r="F6889" s="9">
        <v>83</v>
      </c>
      <c r="G6889" s="9">
        <v>1025</v>
      </c>
      <c r="H6889" s="5" t="s">
        <v>21</v>
      </c>
      <c r="I6889" s="5" t="s">
        <v>16801</v>
      </c>
      <c r="J6889" s="12" t="str">
        <f>HYPERLINK("https://www.boe.es/gazeta/dias/1802/10/12/pdfs/GMD-1802-83.pdf#page=13","Abrir facsímil")</f>
        <v>Abrir facsímil</v>
      </c>
      <c r="K6889" s="15" t="s">
        <v>23</v>
      </c>
    </row>
    <row r="6890" spans="1:11" ht="42" customHeight="1">
      <c r="A6890" s="4" t="s">
        <v>16802</v>
      </c>
      <c r="B6890" s="5" t="s">
        <v>16802</v>
      </c>
      <c r="C6890" s="5" t="s">
        <v>29</v>
      </c>
      <c r="D6890" s="5" t="s">
        <v>30</v>
      </c>
      <c r="E6890" s="5" t="s">
        <v>60</v>
      </c>
      <c r="F6890" s="9">
        <v>5</v>
      </c>
      <c r="G6890" s="9">
        <v>47</v>
      </c>
      <c r="H6890" s="5" t="s">
        <v>21</v>
      </c>
      <c r="I6890" s="5" t="s">
        <v>16803</v>
      </c>
      <c r="J6890" s="12" t="str">
        <f>HYPERLINK("https://www.boe.es/gazeta/dias/1802/01/15/pdfs/GMD-1802-5.pdf#page=3","Abrir facsímil")</f>
        <v>Abrir facsímil</v>
      </c>
      <c r="K6890" s="15" t="s">
        <v>23</v>
      </c>
    </row>
    <row r="6891" spans="1:11" ht="42" customHeight="1">
      <c r="A6891" s="4" t="s">
        <v>16804</v>
      </c>
      <c r="B6891" s="5" t="s">
        <v>16805</v>
      </c>
      <c r="C6891" s="5" t="s">
        <v>18</v>
      </c>
      <c r="D6891" s="5" t="s">
        <v>19</v>
      </c>
      <c r="E6891" s="5" t="s">
        <v>20</v>
      </c>
      <c r="F6891" s="9">
        <v>84</v>
      </c>
      <c r="G6891" s="9">
        <v>1044</v>
      </c>
      <c r="H6891" s="5" t="s">
        <v>21</v>
      </c>
      <c r="I6891" s="5" t="s">
        <v>16806</v>
      </c>
      <c r="J6891" s="12" t="str">
        <f>HYPERLINK("https://www.boe.es/gazeta/dias/1802/10/15/pdfs/GMD-1802-84.pdf#page=12","Abrir facsímil")</f>
        <v>Abrir facsímil</v>
      </c>
      <c r="K6891" s="15" t="s">
        <v>23</v>
      </c>
    </row>
    <row r="6892" spans="1:11" ht="42" customHeight="1">
      <c r="A6892" s="4" t="s">
        <v>16807</v>
      </c>
      <c r="B6892" s="5" t="s">
        <v>16808</v>
      </c>
      <c r="C6892" s="5" t="s">
        <v>29</v>
      </c>
      <c r="D6892" s="5" t="s">
        <v>30</v>
      </c>
      <c r="E6892" s="5" t="s">
        <v>31</v>
      </c>
      <c r="F6892" s="9">
        <v>27</v>
      </c>
      <c r="G6892" s="9">
        <v>318</v>
      </c>
      <c r="H6892" s="5" t="s">
        <v>21</v>
      </c>
      <c r="I6892" s="5" t="s">
        <v>16809</v>
      </c>
      <c r="J6892" s="12" t="str">
        <f>HYPERLINK("https://www.boe.es/gazeta/dias/1802/04/02/pdfs/GMD-1802-27.pdf#page=14","Abrir facsímil")</f>
        <v>Abrir facsímil</v>
      </c>
      <c r="K6892" s="15" t="s">
        <v>23</v>
      </c>
    </row>
    <row r="6893" spans="1:11" ht="42" customHeight="1">
      <c r="A6893" s="4" t="s">
        <v>16810</v>
      </c>
      <c r="B6893" s="5" t="s">
        <v>16811</v>
      </c>
      <c r="C6893" s="5" t="s">
        <v>29</v>
      </c>
      <c r="D6893" s="5" t="s">
        <v>30</v>
      </c>
      <c r="E6893" s="5" t="s">
        <v>31</v>
      </c>
      <c r="F6893" s="9">
        <v>27</v>
      </c>
      <c r="G6893" s="9">
        <v>318</v>
      </c>
      <c r="H6893" s="5" t="s">
        <v>21</v>
      </c>
      <c r="I6893" s="5" t="s">
        <v>16812</v>
      </c>
      <c r="J6893" s="12" t="str">
        <f>HYPERLINK("https://www.boe.es/gazeta/dias/1802/04/02/pdfs/GMD-1802-27.pdf#page=14","Abrir facsímil")</f>
        <v>Abrir facsímil</v>
      </c>
      <c r="K6893" s="15" t="s">
        <v>23</v>
      </c>
    </row>
    <row r="6894" spans="1:11" ht="42" customHeight="1">
      <c r="A6894" s="4" t="s">
        <v>16813</v>
      </c>
      <c r="B6894" s="5" t="s">
        <v>16814</v>
      </c>
      <c r="C6894" s="5" t="s">
        <v>35</v>
      </c>
      <c r="D6894" s="5" t="s">
        <v>36</v>
      </c>
      <c r="E6894" s="5" t="s">
        <v>31</v>
      </c>
      <c r="F6894" s="9">
        <v>27</v>
      </c>
      <c r="G6894" s="9">
        <v>315</v>
      </c>
      <c r="H6894" s="5" t="s">
        <v>21</v>
      </c>
      <c r="I6894" s="5" t="s">
        <v>16815</v>
      </c>
      <c r="J6894" s="12" t="str">
        <f>HYPERLINK("https://www.boe.es/gazeta/dias/1802/04/02/pdfs/GMD-1802-27.pdf#page=11","Abrir facsímil")</f>
        <v>Abrir facsímil</v>
      </c>
      <c r="K6894" s="15" t="s">
        <v>23</v>
      </c>
    </row>
    <row r="6895" spans="1:11" ht="42" customHeight="1">
      <c r="A6895" s="4" t="s">
        <v>16813</v>
      </c>
      <c r="B6895" s="5" t="s">
        <v>16814</v>
      </c>
      <c r="C6895" s="5" t="s">
        <v>18</v>
      </c>
      <c r="D6895" s="5" t="s">
        <v>19</v>
      </c>
      <c r="E6895" s="5" t="s">
        <v>20</v>
      </c>
      <c r="F6895" s="9">
        <v>84</v>
      </c>
      <c r="G6895" s="9">
        <v>1040</v>
      </c>
      <c r="H6895" s="5" t="s">
        <v>21</v>
      </c>
      <c r="I6895" s="5" t="s">
        <v>16816</v>
      </c>
      <c r="J6895" s="12" t="str">
        <f>HYPERLINK("https://www.boe.es/gazeta/dias/1802/10/15/pdfs/GMD-1802-84.pdf#page=8","Abrir facsímil")</f>
        <v>Abrir facsímil</v>
      </c>
      <c r="K6895" s="15" t="s">
        <v>23</v>
      </c>
    </row>
    <row r="6896" spans="1:11" ht="42" customHeight="1">
      <c r="A6896" s="4" t="s">
        <v>16817</v>
      </c>
      <c r="B6896" s="5" t="s">
        <v>16818</v>
      </c>
      <c r="C6896" s="5" t="s">
        <v>90</v>
      </c>
      <c r="D6896" s="5" t="s">
        <v>91</v>
      </c>
      <c r="E6896" s="5" t="s">
        <v>764</v>
      </c>
      <c r="F6896" s="9">
        <v>69</v>
      </c>
      <c r="G6896" s="9">
        <v>850</v>
      </c>
      <c r="H6896" s="5" t="s">
        <v>21</v>
      </c>
      <c r="I6896" s="5" t="s">
        <v>16819</v>
      </c>
      <c r="J6896" s="12" t="str">
        <f>HYPERLINK("https://www.boe.es/gazeta/dias/1802/08/24/pdfs/GMD-1802-69.pdf#page=10","Abrir facsímil")</f>
        <v>Abrir facsímil</v>
      </c>
      <c r="K6896" s="15" t="s">
        <v>23</v>
      </c>
    </row>
    <row r="6897" spans="1:11" ht="42" customHeight="1">
      <c r="A6897" s="4" t="s">
        <v>16820</v>
      </c>
      <c r="B6897" s="5" t="s">
        <v>16821</v>
      </c>
      <c r="C6897" s="5" t="s">
        <v>29</v>
      </c>
      <c r="D6897" s="5" t="s">
        <v>30</v>
      </c>
      <c r="E6897" s="5" t="s">
        <v>71</v>
      </c>
      <c r="F6897" s="9">
        <v>21</v>
      </c>
      <c r="G6897" s="9">
        <v>233</v>
      </c>
      <c r="H6897" s="5" t="s">
        <v>21</v>
      </c>
      <c r="I6897" s="5" t="s">
        <v>16822</v>
      </c>
      <c r="J6897" s="12" t="str">
        <f>HYPERLINK("https://www.boe.es/gazeta/dias/1802/03/12/pdfs/GMD-1802-21.pdf#page=9","Abrir facsímil")</f>
        <v>Abrir facsímil</v>
      </c>
      <c r="K6897" s="15" t="s">
        <v>23</v>
      </c>
    </row>
    <row r="6898" spans="1:11" ht="42" customHeight="1">
      <c r="A6898" s="4" t="s">
        <v>16823</v>
      </c>
      <c r="B6898" s="5" t="s">
        <v>16824</v>
      </c>
      <c r="C6898" s="5" t="s">
        <v>29</v>
      </c>
      <c r="D6898" s="5" t="s">
        <v>30</v>
      </c>
      <c r="E6898" s="5" t="s">
        <v>328</v>
      </c>
      <c r="F6898" s="9">
        <v>45</v>
      </c>
      <c r="G6898" s="9">
        <v>545</v>
      </c>
      <c r="H6898" s="5" t="s">
        <v>21</v>
      </c>
      <c r="I6898" s="5" t="s">
        <v>16825</v>
      </c>
      <c r="J6898" s="12" t="str">
        <f>HYPERLINK("https://www.boe.es/gazeta/dias/1802/06/04/pdfs/GMD-1802-45.pdf#page=9","Abrir facsímil")</f>
        <v>Abrir facsímil</v>
      </c>
      <c r="K6898" s="15" t="s">
        <v>23</v>
      </c>
    </row>
    <row r="6899" spans="1:11" ht="42" customHeight="1">
      <c r="A6899" s="4" t="s">
        <v>16826</v>
      </c>
      <c r="B6899" s="5" t="s">
        <v>16827</v>
      </c>
      <c r="C6899" s="5" t="s">
        <v>90</v>
      </c>
      <c r="D6899" s="5" t="s">
        <v>91</v>
      </c>
      <c r="E6899" s="5" t="s">
        <v>1381</v>
      </c>
      <c r="F6899" s="9">
        <v>17</v>
      </c>
      <c r="G6899" s="9">
        <v>185</v>
      </c>
      <c r="H6899" s="5" t="s">
        <v>21</v>
      </c>
      <c r="I6899" s="5" t="s">
        <v>16828</v>
      </c>
      <c r="J6899" s="12" t="str">
        <f>HYPERLINK("https://www.boe.es/gazeta/dias/1802/02/26/pdfs/GMD-1802-17.pdf#page=9","Abrir facsímil")</f>
        <v>Abrir facsímil</v>
      </c>
      <c r="K6899" s="15" t="s">
        <v>23</v>
      </c>
    </row>
    <row r="6900" spans="1:11" ht="42" customHeight="1">
      <c r="A6900" s="4" t="s">
        <v>16829</v>
      </c>
      <c r="B6900" s="5" t="s">
        <v>16830</v>
      </c>
      <c r="C6900" s="5" t="s">
        <v>90</v>
      </c>
      <c r="D6900" s="5" t="s">
        <v>91</v>
      </c>
      <c r="E6900" s="5" t="s">
        <v>1618</v>
      </c>
      <c r="F6900" s="9">
        <v>31</v>
      </c>
      <c r="G6900" s="9">
        <v>366</v>
      </c>
      <c r="H6900" s="5" t="s">
        <v>21</v>
      </c>
      <c r="I6900" s="5" t="s">
        <v>16831</v>
      </c>
      <c r="J6900" s="12" t="str">
        <f>HYPERLINK("https://www.boe.es/gazeta/dias/1802/04/16/pdfs/GMD-1802-31.pdf#page=10","Abrir facsímil")</f>
        <v>Abrir facsímil</v>
      </c>
      <c r="K6900" s="15" t="s">
        <v>23</v>
      </c>
    </row>
    <row r="6901" spans="1:11" ht="42" customHeight="1">
      <c r="A6901" s="4" t="s">
        <v>16829</v>
      </c>
      <c r="B6901" s="5" t="s">
        <v>16830</v>
      </c>
      <c r="C6901" s="5" t="s">
        <v>29</v>
      </c>
      <c r="D6901" s="5" t="s">
        <v>30</v>
      </c>
      <c r="E6901" s="5" t="s">
        <v>1749</v>
      </c>
      <c r="F6901" s="9">
        <v>60</v>
      </c>
      <c r="G6901" s="9">
        <v>728</v>
      </c>
      <c r="H6901" s="5" t="s">
        <v>21</v>
      </c>
      <c r="I6901" s="5" t="s">
        <v>16832</v>
      </c>
      <c r="J6901" s="12" t="str">
        <f>HYPERLINK("https://www.boe.es/gazeta/dias/1802/07/23/pdfs/GMD-1802-60.pdf#page=12","Abrir facsímil")</f>
        <v>Abrir facsímil</v>
      </c>
      <c r="K6901" s="15" t="s">
        <v>23</v>
      </c>
    </row>
    <row r="6902" spans="1:11" ht="42" customHeight="1">
      <c r="A6902" s="4" t="s">
        <v>16833</v>
      </c>
      <c r="B6902" s="5" t="s">
        <v>16834</v>
      </c>
      <c r="C6902" s="5" t="s">
        <v>160</v>
      </c>
      <c r="D6902" s="5" t="s">
        <v>91</v>
      </c>
      <c r="E6902" s="5" t="s">
        <v>25</v>
      </c>
      <c r="F6902" s="9">
        <v>44</v>
      </c>
      <c r="G6902" s="9">
        <v>526</v>
      </c>
      <c r="H6902" s="5" t="s">
        <v>21</v>
      </c>
      <c r="I6902" s="5" t="s">
        <v>16835</v>
      </c>
      <c r="J6902" s="12" t="str">
        <f>HYPERLINK("https://www.boe.es/gazeta/dias/1802/06/01/pdfs/GMD-1802-44.pdf#page=2","Abrir facsímil")</f>
        <v>Abrir facsímil</v>
      </c>
      <c r="K6902" s="15" t="s">
        <v>23</v>
      </c>
    </row>
    <row r="6903" spans="1:11" ht="42" customHeight="1">
      <c r="A6903" s="4" t="s">
        <v>16833</v>
      </c>
      <c r="B6903" s="5" t="s">
        <v>16834</v>
      </c>
      <c r="C6903" s="5" t="s">
        <v>160</v>
      </c>
      <c r="D6903" s="5" t="s">
        <v>91</v>
      </c>
      <c r="E6903" s="5" t="s">
        <v>20</v>
      </c>
      <c r="F6903" s="9">
        <v>84</v>
      </c>
      <c r="G6903" s="9">
        <v>1040</v>
      </c>
      <c r="H6903" s="5" t="s">
        <v>21</v>
      </c>
      <c r="I6903" s="5" t="s">
        <v>16836</v>
      </c>
      <c r="J6903" s="12" t="str">
        <f>HYPERLINK("https://www.boe.es/gazeta/dias/1802/10/15/pdfs/GMD-1802-84.pdf#page=8","Abrir facsímil")</f>
        <v>Abrir facsímil</v>
      </c>
      <c r="K6903" s="15" t="s">
        <v>23</v>
      </c>
    </row>
    <row r="6904" spans="1:11" ht="42" customHeight="1">
      <c r="A6904" s="4" t="s">
        <v>16837</v>
      </c>
      <c r="B6904" s="5" t="s">
        <v>16837</v>
      </c>
      <c r="C6904" s="5" t="s">
        <v>160</v>
      </c>
      <c r="D6904" s="5" t="s">
        <v>91</v>
      </c>
      <c r="E6904" s="5" t="s">
        <v>530</v>
      </c>
      <c r="F6904" s="9">
        <v>48</v>
      </c>
      <c r="G6904" s="9">
        <v>588</v>
      </c>
      <c r="H6904" s="5" t="s">
        <v>21</v>
      </c>
      <c r="I6904" s="5" t="s">
        <v>16838</v>
      </c>
      <c r="J6904" s="12" t="str">
        <f>HYPERLINK("https://www.boe.es/gazeta/dias/1802/06/15/pdfs/GMD-1802-48.pdf#page=12","Abrir facsímil")</f>
        <v>Abrir facsímil</v>
      </c>
      <c r="K6904" s="15" t="s">
        <v>23</v>
      </c>
    </row>
    <row r="6905" spans="1:11" ht="42" customHeight="1">
      <c r="A6905" s="4" t="s">
        <v>16837</v>
      </c>
      <c r="B6905" s="5" t="s">
        <v>16837</v>
      </c>
      <c r="C6905" s="5" t="s">
        <v>160</v>
      </c>
      <c r="D6905" s="5" t="s">
        <v>91</v>
      </c>
      <c r="E6905" s="5" t="s">
        <v>604</v>
      </c>
      <c r="F6905" s="9">
        <v>100</v>
      </c>
      <c r="G6905" s="9">
        <v>1235</v>
      </c>
      <c r="H6905" s="5" t="s">
        <v>21</v>
      </c>
      <c r="I6905" s="5" t="s">
        <v>16839</v>
      </c>
      <c r="J6905" s="12" t="str">
        <f>HYPERLINK("https://www.boe.es/gazeta/dias/1802/12/10/pdfs/GMD-1802-100.pdf#page=7","Abrir facsímil")</f>
        <v>Abrir facsímil</v>
      </c>
      <c r="K6905" s="15" t="s">
        <v>23</v>
      </c>
    </row>
    <row r="6906" spans="1:11" ht="42" customHeight="1">
      <c r="A6906" s="4" t="s">
        <v>16837</v>
      </c>
      <c r="B6906" s="5" t="s">
        <v>16837</v>
      </c>
      <c r="C6906" s="5" t="s">
        <v>55</v>
      </c>
      <c r="D6906" s="5" t="s">
        <v>56</v>
      </c>
      <c r="E6906" s="5" t="s">
        <v>1264</v>
      </c>
      <c r="F6906" s="9">
        <v>105</v>
      </c>
      <c r="G6906" s="9">
        <v>1288</v>
      </c>
      <c r="H6906" s="5" t="s">
        <v>21</v>
      </c>
      <c r="I6906" s="5" t="s">
        <v>16840</v>
      </c>
      <c r="J6906" s="12" t="str">
        <f>HYPERLINK("https://www.boe.es/gazeta/dias/1802/12/28/pdfs/GMD-1802-105.pdf#page=12","Abrir facsímil")</f>
        <v>Abrir facsímil</v>
      </c>
      <c r="K6906" s="15" t="s">
        <v>23</v>
      </c>
    </row>
    <row r="6907" spans="1:11" ht="42" customHeight="1">
      <c r="A6907" s="4" t="s">
        <v>16841</v>
      </c>
      <c r="B6907" s="5" t="s">
        <v>16841</v>
      </c>
      <c r="C6907" s="5" t="s">
        <v>90</v>
      </c>
      <c r="D6907" s="5" t="s">
        <v>91</v>
      </c>
      <c r="E6907" s="5" t="s">
        <v>172</v>
      </c>
      <c r="F6907" s="9">
        <v>35</v>
      </c>
      <c r="G6907" s="9">
        <v>413</v>
      </c>
      <c r="H6907" s="5" t="s">
        <v>21</v>
      </c>
      <c r="I6907" s="5" t="s">
        <v>16842</v>
      </c>
      <c r="J6907" s="12" t="str">
        <f>HYPERLINK("https://www.boe.es/gazeta/dias/1802/04/30/pdfs/GMD-1802-35.pdf#page=13","Abrir facsímil")</f>
        <v>Abrir facsímil</v>
      </c>
      <c r="K6907" s="15" t="s">
        <v>23</v>
      </c>
    </row>
    <row r="6908" spans="1:11" ht="42" customHeight="1">
      <c r="A6908" s="4" t="s">
        <v>16843</v>
      </c>
      <c r="B6908" s="5" t="s">
        <v>16843</v>
      </c>
      <c r="C6908" s="5" t="s">
        <v>160</v>
      </c>
      <c r="D6908" s="5" t="s">
        <v>91</v>
      </c>
      <c r="E6908" s="5" t="s">
        <v>60</v>
      </c>
      <c r="F6908" s="9">
        <v>5</v>
      </c>
      <c r="G6908" s="9">
        <v>51</v>
      </c>
      <c r="H6908" s="5" t="s">
        <v>21</v>
      </c>
      <c r="I6908" s="5" t="s">
        <v>16844</v>
      </c>
      <c r="J6908" s="12" t="str">
        <f>HYPERLINK("https://www.boe.es/gazeta/dias/1802/01/15/pdfs/GMD-1802-5.pdf#page=7","Abrir facsímil")</f>
        <v>Abrir facsímil</v>
      </c>
      <c r="K6908" s="15" t="s">
        <v>23</v>
      </c>
    </row>
    <row r="6909" spans="1:11" ht="42" customHeight="1">
      <c r="A6909" s="4" t="s">
        <v>16845</v>
      </c>
      <c r="B6909" s="5" t="s">
        <v>16845</v>
      </c>
      <c r="C6909" s="5" t="s">
        <v>29</v>
      </c>
      <c r="D6909" s="5" t="s">
        <v>30</v>
      </c>
      <c r="E6909" s="5" t="s">
        <v>148</v>
      </c>
      <c r="F6909" s="9">
        <v>66</v>
      </c>
      <c r="G6909" s="9">
        <v>808</v>
      </c>
      <c r="H6909" s="5" t="s">
        <v>21</v>
      </c>
      <c r="I6909" s="5" t="s">
        <v>16846</v>
      </c>
      <c r="J6909" s="12" t="str">
        <f>HYPERLINK("https://www.boe.es/gazeta/dias/1802/08/13/pdfs/GMD-1802-66.pdf#page=12","Abrir facsímil")</f>
        <v>Abrir facsímil</v>
      </c>
      <c r="K6909" s="15" t="s">
        <v>23</v>
      </c>
    </row>
    <row r="6910" spans="1:11" ht="42" customHeight="1">
      <c r="A6910" s="4" t="s">
        <v>16847</v>
      </c>
      <c r="B6910" s="5" t="s">
        <v>16847</v>
      </c>
      <c r="C6910" s="5" t="s">
        <v>160</v>
      </c>
      <c r="D6910" s="5" t="s">
        <v>91</v>
      </c>
      <c r="E6910" s="5" t="s">
        <v>219</v>
      </c>
      <c r="F6910" s="9">
        <v>81</v>
      </c>
      <c r="G6910" s="9">
        <v>998</v>
      </c>
      <c r="H6910" s="5" t="s">
        <v>21</v>
      </c>
      <c r="I6910" s="5" t="s">
        <v>16848</v>
      </c>
      <c r="J6910" s="12" t="str">
        <f>HYPERLINK("https://www.boe.es/gazeta/dias/1802/10/05/pdfs/GMD-1802-81.pdf#page=10","Abrir facsímil")</f>
        <v>Abrir facsímil</v>
      </c>
      <c r="K6910" s="15" t="s">
        <v>23</v>
      </c>
    </row>
    <row r="6911" spans="1:11" ht="42" customHeight="1">
      <c r="A6911" s="4" t="s">
        <v>16849</v>
      </c>
      <c r="B6911" s="5" t="s">
        <v>16849</v>
      </c>
      <c r="C6911" s="5" t="s">
        <v>160</v>
      </c>
      <c r="D6911" s="5" t="s">
        <v>91</v>
      </c>
      <c r="E6911" s="5" t="s">
        <v>219</v>
      </c>
      <c r="F6911" s="9">
        <v>81</v>
      </c>
      <c r="G6911" s="9">
        <v>997</v>
      </c>
      <c r="H6911" s="5" t="s">
        <v>21</v>
      </c>
      <c r="I6911" s="5" t="s">
        <v>16850</v>
      </c>
      <c r="J6911" s="12" t="str">
        <f>HYPERLINK("https://www.boe.es/gazeta/dias/1802/10/05/pdfs/GMD-1802-81.pdf#page=9","Abrir facsímil")</f>
        <v>Abrir facsímil</v>
      </c>
      <c r="K6911" s="15" t="s">
        <v>23</v>
      </c>
    </row>
    <row r="6912" spans="1:11" ht="42" customHeight="1">
      <c r="A6912" s="4" t="s">
        <v>16851</v>
      </c>
      <c r="B6912" s="5" t="s">
        <v>16851</v>
      </c>
      <c r="C6912" s="5" t="s">
        <v>55</v>
      </c>
      <c r="D6912" s="5" t="s">
        <v>56</v>
      </c>
      <c r="E6912" s="5" t="s">
        <v>385</v>
      </c>
      <c r="F6912" s="9">
        <v>70</v>
      </c>
      <c r="G6912" s="9">
        <v>863</v>
      </c>
      <c r="H6912" s="5" t="s">
        <v>21</v>
      </c>
      <c r="I6912" s="5" t="s">
        <v>16852</v>
      </c>
      <c r="J6912" s="12" t="str">
        <f>HYPERLINK("https://www.boe.es/gazeta/dias/1802/08/27/pdfs/GMD-1802-70.pdf#page=11","Abrir facsímil")</f>
        <v>Abrir facsímil</v>
      </c>
      <c r="K6912" s="15" t="s">
        <v>23</v>
      </c>
    </row>
    <row r="6913" spans="1:11" ht="42" customHeight="1">
      <c r="A6913" s="4" t="s">
        <v>16851</v>
      </c>
      <c r="B6913" s="5" t="s">
        <v>16851</v>
      </c>
      <c r="C6913" s="5" t="s">
        <v>29</v>
      </c>
      <c r="D6913" s="5" t="s">
        <v>30</v>
      </c>
      <c r="E6913" s="5" t="s">
        <v>73</v>
      </c>
      <c r="F6913" s="9">
        <v>102</v>
      </c>
      <c r="G6913" s="9">
        <v>1255</v>
      </c>
      <c r="H6913" s="5" t="s">
        <v>21</v>
      </c>
      <c r="I6913" s="5" t="s">
        <v>16853</v>
      </c>
      <c r="J6913" s="12" t="str">
        <f>HYPERLINK("https://www.boe.es/gazeta/dias/1802/12/17/pdfs/GMD-1802-102.pdf#page=11","Abrir facsímil")</f>
        <v>Abrir facsímil</v>
      </c>
      <c r="K6913" s="15" t="s">
        <v>23</v>
      </c>
    </row>
    <row r="6914" spans="1:11" ht="42" customHeight="1">
      <c r="A6914" s="4" t="s">
        <v>16854</v>
      </c>
      <c r="B6914" s="5" t="s">
        <v>16854</v>
      </c>
      <c r="C6914" s="5" t="s">
        <v>160</v>
      </c>
      <c r="D6914" s="5" t="s">
        <v>91</v>
      </c>
      <c r="E6914" s="5" t="s">
        <v>258</v>
      </c>
      <c r="F6914" s="9">
        <v>63</v>
      </c>
      <c r="G6914" s="9">
        <v>769</v>
      </c>
      <c r="H6914" s="5" t="s">
        <v>21</v>
      </c>
      <c r="I6914" s="5" t="s">
        <v>16855</v>
      </c>
      <c r="J6914" s="12" t="str">
        <f>HYPERLINK("https://www.boe.es/gazeta/dias/1802/08/03/pdfs/GMD-1802-63.pdf#page=9","Abrir facsímil")</f>
        <v>Abrir facsímil</v>
      </c>
      <c r="K6914" s="15" t="s">
        <v>23</v>
      </c>
    </row>
    <row r="6915" spans="1:11" ht="42" customHeight="1">
      <c r="A6915" s="4" t="s">
        <v>16856</v>
      </c>
      <c r="B6915" s="5" t="s">
        <v>16856</v>
      </c>
      <c r="C6915" s="5" t="s">
        <v>55</v>
      </c>
      <c r="D6915" s="5" t="s">
        <v>56</v>
      </c>
      <c r="E6915" s="5" t="s">
        <v>631</v>
      </c>
      <c r="F6915" s="9">
        <v>36</v>
      </c>
      <c r="G6915" s="9">
        <v>432</v>
      </c>
      <c r="H6915" s="5" t="s">
        <v>21</v>
      </c>
      <c r="I6915" s="5" t="s">
        <v>16857</v>
      </c>
      <c r="J6915" s="12" t="str">
        <f>HYPERLINK("https://www.boe.es/gazeta/dias/1802/05/04/pdfs/GMD-1802-36.pdf#page=12","Abrir facsímil")</f>
        <v>Abrir facsímil</v>
      </c>
      <c r="K6915" s="15" t="s">
        <v>23</v>
      </c>
    </row>
    <row r="6916" spans="1:11" ht="42" customHeight="1">
      <c r="A6916" s="4" t="s">
        <v>16858</v>
      </c>
      <c r="B6916" s="5" t="s">
        <v>16859</v>
      </c>
      <c r="C6916" s="5" t="s">
        <v>160</v>
      </c>
      <c r="D6916" s="5" t="s">
        <v>91</v>
      </c>
      <c r="E6916" s="5" t="s">
        <v>71</v>
      </c>
      <c r="F6916" s="9">
        <v>21</v>
      </c>
      <c r="G6916" s="9">
        <v>234</v>
      </c>
      <c r="H6916" s="5" t="s">
        <v>21</v>
      </c>
      <c r="I6916" s="5" t="s">
        <v>16860</v>
      </c>
      <c r="J6916" s="12" t="str">
        <f>HYPERLINK("https://www.boe.es/gazeta/dias/1802/03/12/pdfs/GMD-1802-21.pdf#page=10","Abrir facsímil")</f>
        <v>Abrir facsímil</v>
      </c>
      <c r="K6916" s="15" t="s">
        <v>23</v>
      </c>
    </row>
    <row r="6917" spans="1:11" ht="42" customHeight="1">
      <c r="A6917" s="4" t="s">
        <v>16861</v>
      </c>
      <c r="B6917" s="5" t="s">
        <v>16862</v>
      </c>
      <c r="C6917" s="5" t="s">
        <v>42</v>
      </c>
      <c r="D6917" s="5" t="s">
        <v>43</v>
      </c>
      <c r="E6917" s="5" t="s">
        <v>44</v>
      </c>
      <c r="F6917" s="9">
        <v>99</v>
      </c>
      <c r="G6917" s="9" t="s">
        <v>322</v>
      </c>
      <c r="H6917" s="5" t="s">
        <v>21</v>
      </c>
      <c r="I6917" s="5" t="s">
        <v>16863</v>
      </c>
      <c r="J6917" s="12" t="str">
        <f>HYPERLINK("https://www.boe.es/gazeta/dias/1802/12/07/pdfs/GMD-D-1802-99.pdf#page=10","Abrir facsímil")</f>
        <v>Abrir facsímil</v>
      </c>
      <c r="K6917" s="15" t="s">
        <v>23</v>
      </c>
    </row>
    <row r="6918" spans="1:11" ht="42" customHeight="1">
      <c r="A6918" s="4" t="s">
        <v>16864</v>
      </c>
      <c r="B6918" s="5" t="s">
        <v>16865</v>
      </c>
      <c r="C6918" s="5" t="s">
        <v>18</v>
      </c>
      <c r="D6918" s="5" t="s">
        <v>19</v>
      </c>
      <c r="E6918" s="5" t="s">
        <v>49</v>
      </c>
      <c r="F6918" s="9">
        <v>83</v>
      </c>
      <c r="G6918" s="9">
        <v>1024</v>
      </c>
      <c r="H6918" s="5" t="s">
        <v>21</v>
      </c>
      <c r="I6918" s="5" t="s">
        <v>16866</v>
      </c>
      <c r="J6918" s="12" t="str">
        <f>HYPERLINK("https://www.boe.es/gazeta/dias/1802/10/12/pdfs/GMD-1802-83.pdf#page=12","Abrir facsímil")</f>
        <v>Abrir facsímil</v>
      </c>
      <c r="K6918" s="15" t="s">
        <v>23</v>
      </c>
    </row>
    <row r="6919" spans="1:11" ht="42" customHeight="1">
      <c r="A6919" s="4" t="s">
        <v>16867</v>
      </c>
      <c r="B6919" s="5" t="s">
        <v>16868</v>
      </c>
      <c r="C6919" s="5" t="s">
        <v>29</v>
      </c>
      <c r="D6919" s="5" t="s">
        <v>30</v>
      </c>
      <c r="E6919" s="5" t="s">
        <v>31</v>
      </c>
      <c r="F6919" s="9">
        <v>27</v>
      </c>
      <c r="G6919" s="9">
        <v>318</v>
      </c>
      <c r="H6919" s="5" t="s">
        <v>21</v>
      </c>
      <c r="I6919" s="5" t="s">
        <v>16869</v>
      </c>
      <c r="J6919" s="12" t="str">
        <f>HYPERLINK("https://www.boe.es/gazeta/dias/1802/04/02/pdfs/GMD-1802-27.pdf#page=14","Abrir facsímil")</f>
        <v>Abrir facsímil</v>
      </c>
      <c r="K6919" s="15" t="s">
        <v>23</v>
      </c>
    </row>
    <row r="6920" spans="1:11" ht="42" customHeight="1">
      <c r="A6920" s="4" t="s">
        <v>16870</v>
      </c>
      <c r="B6920" s="5" t="s">
        <v>16871</v>
      </c>
      <c r="C6920" s="5" t="s">
        <v>29</v>
      </c>
      <c r="D6920" s="5" t="s">
        <v>30</v>
      </c>
      <c r="E6920" s="5" t="s">
        <v>131</v>
      </c>
      <c r="F6920" s="9">
        <v>11</v>
      </c>
      <c r="G6920" s="9">
        <v>114</v>
      </c>
      <c r="H6920" s="5" t="s">
        <v>21</v>
      </c>
      <c r="I6920" s="5" t="s">
        <v>16872</v>
      </c>
      <c r="J6920" s="12" t="str">
        <f>HYPERLINK("https://www.boe.es/gazeta/dias/1802/02/05/pdfs/GMD-1802-11.pdf#page=10","Abrir facsímil")</f>
        <v>Abrir facsímil</v>
      </c>
      <c r="K6920" s="15" t="s">
        <v>23</v>
      </c>
    </row>
    <row r="6921" spans="1:11" ht="42" customHeight="1">
      <c r="A6921" s="4" t="s">
        <v>16873</v>
      </c>
      <c r="B6921" s="5" t="s">
        <v>16874</v>
      </c>
      <c r="C6921" s="5" t="s">
        <v>90</v>
      </c>
      <c r="D6921" s="5" t="s">
        <v>91</v>
      </c>
      <c r="E6921" s="5" t="s">
        <v>109</v>
      </c>
      <c r="F6921" s="9">
        <v>10</v>
      </c>
      <c r="G6921" s="9">
        <v>98</v>
      </c>
      <c r="H6921" s="5" t="s">
        <v>21</v>
      </c>
      <c r="I6921" s="5" t="s">
        <v>16875</v>
      </c>
      <c r="J6921" s="12" t="str">
        <f>HYPERLINK("https://www.boe.es/gazeta/dias/1802/02/02/pdfs/GMD-1802-10.pdf#page=6","Abrir facsímil")</f>
        <v>Abrir facsímil</v>
      </c>
      <c r="K6921" s="15" t="s">
        <v>23</v>
      </c>
    </row>
    <row r="6922" spans="1:11" ht="42" customHeight="1">
      <c r="A6922" s="4" t="s">
        <v>16876</v>
      </c>
      <c r="B6922" s="5" t="s">
        <v>16877</v>
      </c>
      <c r="C6922" s="5" t="s">
        <v>18</v>
      </c>
      <c r="D6922" s="5" t="s">
        <v>19</v>
      </c>
      <c r="E6922" s="5" t="s">
        <v>49</v>
      </c>
      <c r="F6922" s="9">
        <v>83</v>
      </c>
      <c r="G6922" s="9">
        <v>1021</v>
      </c>
      <c r="H6922" s="5" t="s">
        <v>21</v>
      </c>
      <c r="I6922" s="5" t="s">
        <v>16878</v>
      </c>
      <c r="J6922" s="12" t="str">
        <f>HYPERLINK("https://www.boe.es/gazeta/dias/1802/10/12/pdfs/GMD-1802-83.pdf#page=9","Abrir facsímil")</f>
        <v>Abrir facsímil</v>
      </c>
      <c r="K6922" s="15" t="s">
        <v>23</v>
      </c>
    </row>
    <row r="6923" spans="1:11" ht="42" customHeight="1">
      <c r="A6923" s="4" t="s">
        <v>16879</v>
      </c>
      <c r="B6923" s="5" t="s">
        <v>16880</v>
      </c>
      <c r="C6923" s="5" t="s">
        <v>42</v>
      </c>
      <c r="D6923" s="5" t="s">
        <v>43</v>
      </c>
      <c r="E6923" s="5" t="s">
        <v>44</v>
      </c>
      <c r="F6923" s="9">
        <v>99</v>
      </c>
      <c r="G6923" s="9" t="s">
        <v>322</v>
      </c>
      <c r="H6923" s="5" t="s">
        <v>21</v>
      </c>
      <c r="I6923" s="5" t="s">
        <v>16881</v>
      </c>
      <c r="J6923" s="12" t="str">
        <f>HYPERLINK("https://www.boe.es/gazeta/dias/1802/12/07/pdfs/GMD-D-1802-99.pdf#page=10","Abrir facsímil")</f>
        <v>Abrir facsímil</v>
      </c>
      <c r="K6923" s="15" t="s">
        <v>23</v>
      </c>
    </row>
    <row r="6924" spans="1:11" ht="42" customHeight="1">
      <c r="A6924" s="4" t="s">
        <v>16882</v>
      </c>
      <c r="B6924" s="5" t="s">
        <v>16883</v>
      </c>
      <c r="C6924" s="5" t="s">
        <v>42</v>
      </c>
      <c r="D6924" s="5" t="s">
        <v>43</v>
      </c>
      <c r="E6924" s="5" t="s">
        <v>44</v>
      </c>
      <c r="F6924" s="9">
        <v>99</v>
      </c>
      <c r="G6924" s="9" t="s">
        <v>779</v>
      </c>
      <c r="H6924" s="5" t="s">
        <v>21</v>
      </c>
      <c r="I6924" s="5" t="s">
        <v>16884</v>
      </c>
      <c r="J6924" s="12" t="str">
        <f>HYPERLINK("https://www.boe.es/gazeta/dias/1802/12/07/pdfs/GMD-D-1802-99.pdf#page=13","Abrir facsímil")</f>
        <v>Abrir facsímil</v>
      </c>
      <c r="K6924" s="15" t="s">
        <v>23</v>
      </c>
    </row>
    <row r="6925" spans="1:11" ht="42" customHeight="1">
      <c r="A6925" s="4" t="s">
        <v>16885</v>
      </c>
      <c r="B6925" s="5" t="s">
        <v>16886</v>
      </c>
      <c r="C6925" s="5" t="s">
        <v>42</v>
      </c>
      <c r="D6925" s="5" t="s">
        <v>43</v>
      </c>
      <c r="E6925" s="5" t="s">
        <v>44</v>
      </c>
      <c r="F6925" s="9">
        <v>99</v>
      </c>
      <c r="G6925" s="9" t="s">
        <v>779</v>
      </c>
      <c r="H6925" s="5" t="s">
        <v>21</v>
      </c>
      <c r="I6925" s="5" t="s">
        <v>16887</v>
      </c>
      <c r="J6925" s="12" t="str">
        <f>HYPERLINK("https://www.boe.es/gazeta/dias/1802/12/07/pdfs/GMD-D-1802-99.pdf#page=13","Abrir facsímil")</f>
        <v>Abrir facsímil</v>
      </c>
      <c r="K6925" s="15" t="s">
        <v>23</v>
      </c>
    </row>
    <row r="6926" spans="1:11" ht="42" customHeight="1">
      <c r="A6926" s="4" t="s">
        <v>16888</v>
      </c>
      <c r="B6926" s="5" t="s">
        <v>16889</v>
      </c>
      <c r="C6926" s="5" t="s">
        <v>18</v>
      </c>
      <c r="D6926" s="5" t="s">
        <v>19</v>
      </c>
      <c r="E6926" s="5" t="s">
        <v>49</v>
      </c>
      <c r="F6926" s="9">
        <v>83</v>
      </c>
      <c r="G6926" s="9">
        <v>1023</v>
      </c>
      <c r="H6926" s="5" t="s">
        <v>21</v>
      </c>
      <c r="I6926" s="5" t="s">
        <v>16890</v>
      </c>
      <c r="J6926" s="12" t="str">
        <f>HYPERLINK("https://www.boe.es/gazeta/dias/1802/10/12/pdfs/GMD-1802-83.pdf#page=11","Abrir facsímil")</f>
        <v>Abrir facsímil</v>
      </c>
      <c r="K6926" s="15" t="s">
        <v>23</v>
      </c>
    </row>
    <row r="6927" spans="1:11" ht="42" customHeight="1">
      <c r="A6927" s="4" t="s">
        <v>16891</v>
      </c>
      <c r="B6927" s="5" t="s">
        <v>16892</v>
      </c>
      <c r="C6927" s="5" t="s">
        <v>55</v>
      </c>
      <c r="D6927" s="5" t="s">
        <v>56</v>
      </c>
      <c r="E6927" s="5" t="s">
        <v>152</v>
      </c>
      <c r="F6927" s="9">
        <v>25</v>
      </c>
      <c r="G6927" s="9">
        <v>287</v>
      </c>
      <c r="H6927" s="5" t="s">
        <v>21</v>
      </c>
      <c r="I6927" s="5" t="s">
        <v>16893</v>
      </c>
      <c r="J6927" s="12" t="str">
        <f>HYPERLINK("https://www.boe.es/gazeta/dias/1802/03/26/pdfs/GMD-1802-25.pdf#page=11","Abrir facsímil")</f>
        <v>Abrir facsímil</v>
      </c>
      <c r="K6927" s="15" t="s">
        <v>23</v>
      </c>
    </row>
    <row r="6928" spans="1:11" ht="42" customHeight="1">
      <c r="A6928" s="4" t="s">
        <v>16894</v>
      </c>
      <c r="B6928" s="5" t="s">
        <v>16894</v>
      </c>
      <c r="C6928" s="5" t="s">
        <v>29</v>
      </c>
      <c r="D6928" s="5" t="s">
        <v>30</v>
      </c>
      <c r="E6928" s="5" t="s">
        <v>865</v>
      </c>
      <c r="F6928" s="9">
        <v>12</v>
      </c>
      <c r="G6928" s="9">
        <v>118</v>
      </c>
      <c r="H6928" s="5" t="s">
        <v>21</v>
      </c>
      <c r="I6928" s="5" t="s">
        <v>16895</v>
      </c>
      <c r="J6928" s="12" t="str">
        <f>HYPERLINK("https://www.boe.es/gazeta/dias/1802/02/09/pdfs/GMD-1802-12.pdf#page=2","Abrir facsímil")</f>
        <v>Abrir facsímil</v>
      </c>
      <c r="K6928" s="15" t="s">
        <v>23</v>
      </c>
    </row>
    <row r="6929" spans="1:11" ht="42" customHeight="1">
      <c r="A6929" s="4" t="s">
        <v>16896</v>
      </c>
      <c r="B6929" s="5" t="s">
        <v>16896</v>
      </c>
      <c r="C6929" s="5" t="s">
        <v>35</v>
      </c>
      <c r="D6929" s="5" t="s">
        <v>36</v>
      </c>
      <c r="E6929" s="5" t="s">
        <v>1829</v>
      </c>
      <c r="F6929" s="9">
        <v>32</v>
      </c>
      <c r="G6929" s="9">
        <v>369</v>
      </c>
      <c r="H6929" s="5" t="s">
        <v>21</v>
      </c>
      <c r="I6929" s="5" t="s">
        <v>16897</v>
      </c>
      <c r="J6929" s="12" t="str">
        <f>HYPERLINK("https://www.boe.es/gazeta/dias/1802/04/20/pdfs/GMD-1802-32.pdf#page=1","Abrir facsímil")</f>
        <v>Abrir facsímil</v>
      </c>
      <c r="K6929" s="15" t="s">
        <v>23</v>
      </c>
    </row>
    <row r="6930" spans="1:11" ht="42" customHeight="1">
      <c r="A6930" s="4" t="s">
        <v>16898</v>
      </c>
      <c r="B6930" s="5" t="s">
        <v>16898</v>
      </c>
      <c r="C6930" s="5" t="s">
        <v>160</v>
      </c>
      <c r="D6930" s="5" t="s">
        <v>91</v>
      </c>
      <c r="E6930" s="5" t="s">
        <v>389</v>
      </c>
      <c r="F6930" s="9">
        <v>96</v>
      </c>
      <c r="G6930" s="9">
        <v>1181</v>
      </c>
      <c r="H6930" s="5" t="s">
        <v>21</v>
      </c>
      <c r="I6930" s="5" t="s">
        <v>16899</v>
      </c>
      <c r="J6930" s="12" t="str">
        <f>HYPERLINK("https://www.boe.es/gazeta/dias/1802/11/26/pdfs/GMD-1802-96.pdf#page=1","Abrir facsímil")</f>
        <v>Abrir facsímil</v>
      </c>
      <c r="K6930" s="15" t="s">
        <v>23</v>
      </c>
    </row>
    <row r="6931" spans="1:11" ht="42" customHeight="1">
      <c r="A6931" s="4" t="s">
        <v>16900</v>
      </c>
      <c r="B6931" s="5" t="s">
        <v>16900</v>
      </c>
      <c r="C6931" s="5" t="s">
        <v>18</v>
      </c>
      <c r="D6931" s="5" t="s">
        <v>19</v>
      </c>
      <c r="E6931" s="5" t="s">
        <v>604</v>
      </c>
      <c r="F6931" s="9">
        <v>100</v>
      </c>
      <c r="G6931" s="9">
        <v>1234</v>
      </c>
      <c r="H6931" s="5" t="s">
        <v>21</v>
      </c>
      <c r="I6931" s="5" t="s">
        <v>16901</v>
      </c>
      <c r="J6931" s="12" t="str">
        <f>HYPERLINK("https://www.boe.es/gazeta/dias/1802/12/10/pdfs/GMD-1802-100.pdf#page=6","Abrir facsímil")</f>
        <v>Abrir facsímil</v>
      </c>
      <c r="K6931" s="15" t="s">
        <v>23</v>
      </c>
    </row>
    <row r="6932" spans="1:11" ht="42" customHeight="1">
      <c r="A6932" s="4" t="s">
        <v>16902</v>
      </c>
      <c r="B6932" s="5" t="s">
        <v>16903</v>
      </c>
      <c r="C6932" s="5" t="s">
        <v>35</v>
      </c>
      <c r="D6932" s="5" t="s">
        <v>36</v>
      </c>
      <c r="E6932" s="5" t="s">
        <v>219</v>
      </c>
      <c r="F6932" s="9">
        <v>81</v>
      </c>
      <c r="G6932" s="9">
        <v>994</v>
      </c>
      <c r="H6932" s="5" t="s">
        <v>21</v>
      </c>
      <c r="I6932" s="5" t="s">
        <v>16904</v>
      </c>
      <c r="J6932" s="12" t="str">
        <f>HYPERLINK("https://www.boe.es/gazeta/dias/1802/10/05/pdfs/GMD-1802-81.pdf#page=6","Abrir facsímil")</f>
        <v>Abrir facsímil</v>
      </c>
      <c r="K6932" s="15" t="s">
        <v>23</v>
      </c>
    </row>
    <row r="6933" spans="1:11" ht="42" customHeight="1">
      <c r="A6933" s="4" t="s">
        <v>16905</v>
      </c>
      <c r="B6933" s="5" t="s">
        <v>16905</v>
      </c>
      <c r="C6933" s="5" t="s">
        <v>29</v>
      </c>
      <c r="D6933" s="5" t="s">
        <v>30</v>
      </c>
      <c r="E6933" s="5" t="s">
        <v>1332</v>
      </c>
      <c r="F6933" s="9">
        <v>4</v>
      </c>
      <c r="G6933" s="9">
        <v>29</v>
      </c>
      <c r="H6933" s="5" t="s">
        <v>21</v>
      </c>
      <c r="I6933" s="5" t="s">
        <v>16906</v>
      </c>
      <c r="J6933" s="12" t="str">
        <f>HYPERLINK("https://www.boe.es/gazeta/dias/1802/01/12/pdfs/GMD-1802-4.pdf#page=1","Abrir facsímil")</f>
        <v>Abrir facsímil</v>
      </c>
      <c r="K6933" s="15" t="s">
        <v>23</v>
      </c>
    </row>
    <row r="6934" spans="1:11" ht="42" customHeight="1">
      <c r="A6934" s="4" t="s">
        <v>16905</v>
      </c>
      <c r="B6934" s="5" t="s">
        <v>16905</v>
      </c>
      <c r="C6934" s="5" t="s">
        <v>29</v>
      </c>
      <c r="D6934" s="5" t="s">
        <v>30</v>
      </c>
      <c r="E6934" s="5" t="s">
        <v>814</v>
      </c>
      <c r="F6934" s="9">
        <v>41</v>
      </c>
      <c r="G6934" s="9">
        <v>487</v>
      </c>
      <c r="H6934" s="5" t="s">
        <v>21</v>
      </c>
      <c r="I6934" s="5" t="s">
        <v>16907</v>
      </c>
      <c r="J6934" s="12" t="str">
        <f>HYPERLINK("https://www.boe.es/gazeta/dias/1802/05/21/pdfs/GMD-1802-41.pdf#page=3","Abrir facsímil")</f>
        <v>Abrir facsímil</v>
      </c>
      <c r="K6934" s="15" t="s">
        <v>23</v>
      </c>
    </row>
    <row r="6935" spans="1:11" ht="42" customHeight="1">
      <c r="A6935" s="4" t="s">
        <v>16908</v>
      </c>
      <c r="B6935" s="5" t="s">
        <v>16908</v>
      </c>
      <c r="C6935" s="5" t="s">
        <v>35</v>
      </c>
      <c r="D6935" s="5" t="s">
        <v>36</v>
      </c>
      <c r="E6935" s="5" t="s">
        <v>481</v>
      </c>
      <c r="F6935" s="9">
        <v>79</v>
      </c>
      <c r="G6935" s="9">
        <v>971</v>
      </c>
      <c r="H6935" s="5" t="s">
        <v>21</v>
      </c>
      <c r="I6935" s="5" t="s">
        <v>16909</v>
      </c>
      <c r="J6935" s="12" t="str">
        <f>HYPERLINK("https://www.boe.es/gazeta/dias/1802/09/28/pdfs/GMD-1802-79.pdf#page=7","Abrir facsímil")</f>
        <v>Abrir facsímil</v>
      </c>
      <c r="K6935" s="15" t="s">
        <v>23</v>
      </c>
    </row>
    <row r="6936" spans="1:11" ht="42" customHeight="1">
      <c r="A6936" s="4" t="s">
        <v>16910</v>
      </c>
      <c r="B6936" s="5" t="s">
        <v>16911</v>
      </c>
      <c r="C6936" s="5" t="s">
        <v>42</v>
      </c>
      <c r="D6936" s="5" t="s">
        <v>43</v>
      </c>
      <c r="E6936" s="5" t="s">
        <v>44</v>
      </c>
      <c r="F6936" s="9">
        <v>99</v>
      </c>
      <c r="G6936" s="9" t="s">
        <v>314</v>
      </c>
      <c r="H6936" s="5" t="s">
        <v>21</v>
      </c>
      <c r="I6936" s="5" t="s">
        <v>16912</v>
      </c>
      <c r="J6936" s="12" t="str">
        <f>HYPERLINK("https://www.boe.es/gazeta/dias/1802/12/07/pdfs/GMD-D-1802-99.pdf#page=2","Abrir facsímil")</f>
        <v>Abrir facsímil</v>
      </c>
      <c r="K6936" s="15" t="s">
        <v>23</v>
      </c>
    </row>
    <row r="6937" spans="1:11" ht="42" customHeight="1">
      <c r="A6937" s="4" t="s">
        <v>16913</v>
      </c>
      <c r="B6937" s="5" t="s">
        <v>16914</v>
      </c>
      <c r="C6937" s="5" t="s">
        <v>55</v>
      </c>
      <c r="D6937" s="5" t="s">
        <v>56</v>
      </c>
      <c r="E6937" s="5" t="s">
        <v>655</v>
      </c>
      <c r="F6937" s="9">
        <v>46</v>
      </c>
      <c r="G6937" s="9">
        <v>564</v>
      </c>
      <c r="H6937" s="5" t="s">
        <v>21</v>
      </c>
      <c r="I6937" s="5" t="s">
        <v>16915</v>
      </c>
      <c r="J6937" s="12" t="str">
        <f>HYPERLINK("https://www.boe.es/gazeta/dias/1802/06/08/pdfs/GMD-1802-46.pdf#page=16","Abrir facsímil")</f>
        <v>Abrir facsímil</v>
      </c>
      <c r="K6937" s="15" t="s">
        <v>23</v>
      </c>
    </row>
    <row r="6938" spans="1:11" ht="42" customHeight="1">
      <c r="A6938" s="4" t="s">
        <v>16913</v>
      </c>
      <c r="B6938" s="5" t="s">
        <v>16914</v>
      </c>
      <c r="C6938" s="5" t="s">
        <v>18</v>
      </c>
      <c r="D6938" s="5" t="s">
        <v>19</v>
      </c>
      <c r="E6938" s="5" t="s">
        <v>49</v>
      </c>
      <c r="F6938" s="9">
        <v>83</v>
      </c>
      <c r="G6938" s="9">
        <v>1025</v>
      </c>
      <c r="H6938" s="5" t="s">
        <v>21</v>
      </c>
      <c r="I6938" s="5" t="s">
        <v>16916</v>
      </c>
      <c r="J6938" s="12" t="str">
        <f>HYPERLINK("https://www.boe.es/gazeta/dias/1802/10/12/pdfs/GMD-1802-83.pdf#page=13","Abrir facsímil")</f>
        <v>Abrir facsímil</v>
      </c>
      <c r="K6938" s="15" t="s">
        <v>23</v>
      </c>
    </row>
    <row r="6939" spans="1:11" ht="42" customHeight="1">
      <c r="A6939" s="4" t="s">
        <v>16917</v>
      </c>
      <c r="B6939" s="5" t="s">
        <v>16918</v>
      </c>
      <c r="C6939" s="5" t="s">
        <v>18</v>
      </c>
      <c r="D6939" s="5" t="s">
        <v>19</v>
      </c>
      <c r="E6939" s="5" t="s">
        <v>148</v>
      </c>
      <c r="F6939" s="9">
        <v>66</v>
      </c>
      <c r="G6939" s="9">
        <v>811</v>
      </c>
      <c r="H6939" s="5" t="s">
        <v>21</v>
      </c>
      <c r="I6939" s="5" t="s">
        <v>16919</v>
      </c>
      <c r="J6939" s="12" t="str">
        <f>HYPERLINK("https://www.boe.es/gazeta/dias/1802/08/13/pdfs/GMD-1802-66.pdf#page=15","Abrir facsímil")</f>
        <v>Abrir facsímil</v>
      </c>
      <c r="K6939" s="15" t="s">
        <v>23</v>
      </c>
    </row>
    <row r="6940" spans="1:11" ht="42" customHeight="1">
      <c r="A6940" s="4" t="s">
        <v>16920</v>
      </c>
      <c r="B6940" s="5" t="s">
        <v>16920</v>
      </c>
      <c r="C6940" s="5" t="s">
        <v>35</v>
      </c>
      <c r="D6940" s="5" t="s">
        <v>36</v>
      </c>
      <c r="E6940" s="5" t="s">
        <v>102</v>
      </c>
      <c r="F6940" s="9">
        <v>73</v>
      </c>
      <c r="G6940" s="9">
        <v>893</v>
      </c>
      <c r="H6940" s="5" t="s">
        <v>21</v>
      </c>
      <c r="I6940" s="5" t="s">
        <v>16921</v>
      </c>
      <c r="J6940" s="12" t="str">
        <f>HYPERLINK("https://www.boe.es/gazeta/dias/1802/09/07/pdfs/GMD-1802-73.pdf#page=1","Abrir facsímil")</f>
        <v>Abrir facsímil</v>
      </c>
      <c r="K6940" s="15" t="s">
        <v>23</v>
      </c>
    </row>
    <row r="6941" spans="1:11" ht="42" customHeight="1">
      <c r="A6941" s="4" t="s">
        <v>16922</v>
      </c>
      <c r="B6941" s="5" t="s">
        <v>16922</v>
      </c>
      <c r="C6941" s="5" t="s">
        <v>29</v>
      </c>
      <c r="D6941" s="5" t="s">
        <v>30</v>
      </c>
      <c r="E6941" s="5" t="s">
        <v>99</v>
      </c>
      <c r="F6941" s="9">
        <v>86</v>
      </c>
      <c r="G6941" s="9">
        <v>1065</v>
      </c>
      <c r="H6941" s="5" t="s">
        <v>21</v>
      </c>
      <c r="I6941" s="5" t="s">
        <v>16923</v>
      </c>
      <c r="J6941" s="12" t="str">
        <f>HYPERLINK("https://www.boe.es/gazeta/dias/1802/10/22/pdfs/GMD-1802-86.pdf#page=5","Abrir facsímil")</f>
        <v>Abrir facsímil</v>
      </c>
      <c r="K6941" s="15" t="s">
        <v>23</v>
      </c>
    </row>
    <row r="6942" spans="1:11" ht="42" customHeight="1">
      <c r="A6942" s="4" t="s">
        <v>16924</v>
      </c>
      <c r="B6942" s="5" t="s">
        <v>16925</v>
      </c>
      <c r="C6942" s="5" t="s">
        <v>18</v>
      </c>
      <c r="D6942" s="5" t="s">
        <v>19</v>
      </c>
      <c r="E6942" s="5" t="s">
        <v>49</v>
      </c>
      <c r="F6942" s="9">
        <v>83</v>
      </c>
      <c r="G6942" s="9">
        <v>1022</v>
      </c>
      <c r="H6942" s="5" t="s">
        <v>21</v>
      </c>
      <c r="I6942" s="5" t="s">
        <v>16926</v>
      </c>
      <c r="J6942" s="12" t="str">
        <f>HYPERLINK("https://www.boe.es/gazeta/dias/1802/10/12/pdfs/GMD-1802-83.pdf#page=10","Abrir facsímil")</f>
        <v>Abrir facsímil</v>
      </c>
      <c r="K6942" s="15" t="s">
        <v>23</v>
      </c>
    </row>
    <row r="6943" spans="1:11" ht="42" customHeight="1">
      <c r="A6943" s="4" t="s">
        <v>16927</v>
      </c>
      <c r="B6943" s="5" t="s">
        <v>16928</v>
      </c>
      <c r="C6943" s="5" t="s">
        <v>18</v>
      </c>
      <c r="D6943" s="5" t="s">
        <v>19</v>
      </c>
      <c r="E6943" s="5" t="s">
        <v>49</v>
      </c>
      <c r="F6943" s="9">
        <v>83</v>
      </c>
      <c r="G6943" s="9">
        <v>1024</v>
      </c>
      <c r="H6943" s="5" t="s">
        <v>21</v>
      </c>
      <c r="I6943" s="5" t="s">
        <v>16929</v>
      </c>
      <c r="J6943" s="12" t="str">
        <f>HYPERLINK("https://www.boe.es/gazeta/dias/1802/10/12/pdfs/GMD-1802-83.pdf#page=12","Abrir facsímil")</f>
        <v>Abrir facsímil</v>
      </c>
      <c r="K6943" s="15" t="s">
        <v>23</v>
      </c>
    </row>
    <row r="6944" spans="1:11" ht="42" customHeight="1">
      <c r="A6944" s="4" t="s">
        <v>16930</v>
      </c>
      <c r="B6944" s="5" t="s">
        <v>16931</v>
      </c>
      <c r="C6944" s="5" t="s">
        <v>18</v>
      </c>
      <c r="D6944" s="5" t="s">
        <v>19</v>
      </c>
      <c r="E6944" s="5" t="s">
        <v>49</v>
      </c>
      <c r="F6944" s="9">
        <v>83</v>
      </c>
      <c r="G6944" s="9">
        <v>1025</v>
      </c>
      <c r="H6944" s="5" t="s">
        <v>21</v>
      </c>
      <c r="I6944" s="5" t="s">
        <v>16932</v>
      </c>
      <c r="J6944" s="12" t="str">
        <f>HYPERLINK("https://www.boe.es/gazeta/dias/1802/10/12/pdfs/GMD-1802-83.pdf#page=13","Abrir facsímil")</f>
        <v>Abrir facsímil</v>
      </c>
      <c r="K6944" s="15" t="s">
        <v>23</v>
      </c>
    </row>
    <row r="6945" spans="1:11" ht="42" customHeight="1">
      <c r="A6945" s="4" t="s">
        <v>16933</v>
      </c>
      <c r="B6945" s="5" t="s">
        <v>16934</v>
      </c>
      <c r="C6945" s="5" t="s">
        <v>55</v>
      </c>
      <c r="D6945" s="5" t="s">
        <v>56</v>
      </c>
      <c r="E6945" s="5" t="s">
        <v>1381</v>
      </c>
      <c r="F6945" s="9">
        <v>17</v>
      </c>
      <c r="G6945" s="9">
        <v>186</v>
      </c>
      <c r="H6945" s="5" t="s">
        <v>21</v>
      </c>
      <c r="I6945" s="5" t="s">
        <v>16935</v>
      </c>
      <c r="J6945" s="12" t="str">
        <f>HYPERLINK("https://www.boe.es/gazeta/dias/1802/02/26/pdfs/GMD-1802-17.pdf#page=10","Abrir facsímil")</f>
        <v>Abrir facsímil</v>
      </c>
      <c r="K6945" s="15" t="s">
        <v>23</v>
      </c>
    </row>
    <row r="6946" spans="1:11" ht="42" customHeight="1">
      <c r="A6946" s="4" t="s">
        <v>16936</v>
      </c>
      <c r="B6946" s="5" t="s">
        <v>16937</v>
      </c>
      <c r="C6946" s="5" t="s">
        <v>29</v>
      </c>
      <c r="D6946" s="5" t="s">
        <v>30</v>
      </c>
      <c r="E6946" s="5" t="s">
        <v>86</v>
      </c>
      <c r="F6946" s="9">
        <v>26</v>
      </c>
      <c r="G6946" s="9">
        <v>298</v>
      </c>
      <c r="H6946" s="5" t="s">
        <v>21</v>
      </c>
      <c r="I6946" s="5" t="s">
        <v>16938</v>
      </c>
      <c r="J6946" s="12" t="str">
        <f>HYPERLINK("https://www.boe.es/gazeta/dias/1802/03/30/pdfs/GMD-1802-26.pdf#page=10","Abrir facsímil")</f>
        <v>Abrir facsímil</v>
      </c>
      <c r="K6946" s="15" t="s">
        <v>23</v>
      </c>
    </row>
    <row r="6947" spans="1:11" ht="42" customHeight="1">
      <c r="A6947" s="4" t="s">
        <v>16939</v>
      </c>
      <c r="B6947" s="5" t="s">
        <v>16940</v>
      </c>
      <c r="C6947" s="5" t="s">
        <v>18</v>
      </c>
      <c r="D6947" s="5" t="s">
        <v>19</v>
      </c>
      <c r="E6947" s="5" t="s">
        <v>49</v>
      </c>
      <c r="F6947" s="9">
        <v>83</v>
      </c>
      <c r="G6947" s="9">
        <v>1025</v>
      </c>
      <c r="H6947" s="5" t="s">
        <v>21</v>
      </c>
      <c r="I6947" s="5" t="s">
        <v>16941</v>
      </c>
      <c r="J6947" s="12" t="str">
        <f>HYPERLINK("https://www.boe.es/gazeta/dias/1802/10/12/pdfs/GMD-1802-83.pdf#page=13","Abrir facsímil")</f>
        <v>Abrir facsímil</v>
      </c>
      <c r="K6947" s="15" t="s">
        <v>23</v>
      </c>
    </row>
    <row r="6948" spans="1:11" ht="42" customHeight="1">
      <c r="A6948" s="4" t="s">
        <v>16942</v>
      </c>
      <c r="B6948" s="5" t="s">
        <v>16943</v>
      </c>
      <c r="C6948" s="5" t="s">
        <v>18</v>
      </c>
      <c r="D6948" s="5" t="s">
        <v>19</v>
      </c>
      <c r="E6948" s="5" t="s">
        <v>20</v>
      </c>
      <c r="F6948" s="9">
        <v>84</v>
      </c>
      <c r="G6948" s="9">
        <v>1043</v>
      </c>
      <c r="H6948" s="5" t="s">
        <v>21</v>
      </c>
      <c r="I6948" s="5" t="s">
        <v>16944</v>
      </c>
      <c r="J6948" s="12" t="str">
        <f>HYPERLINK("https://www.boe.es/gazeta/dias/1802/10/15/pdfs/GMD-1802-84.pdf#page=11","Abrir facsímil")</f>
        <v>Abrir facsímil</v>
      </c>
      <c r="K6948" s="15" t="s">
        <v>23</v>
      </c>
    </row>
    <row r="6949" spans="1:11" ht="42" customHeight="1">
      <c r="A6949" s="4" t="s">
        <v>16945</v>
      </c>
      <c r="B6949" s="5" t="s">
        <v>16946</v>
      </c>
      <c r="C6949" s="5" t="s">
        <v>18</v>
      </c>
      <c r="D6949" s="5" t="s">
        <v>19</v>
      </c>
      <c r="E6949" s="5" t="s">
        <v>49</v>
      </c>
      <c r="F6949" s="9">
        <v>83</v>
      </c>
      <c r="G6949" s="9">
        <v>1025</v>
      </c>
      <c r="H6949" s="5" t="s">
        <v>21</v>
      </c>
      <c r="I6949" s="5" t="s">
        <v>16947</v>
      </c>
      <c r="J6949" s="12" t="str">
        <f>HYPERLINK("https://www.boe.es/gazeta/dias/1802/10/12/pdfs/GMD-1802-83.pdf#page=13","Abrir facsímil")</f>
        <v>Abrir facsímil</v>
      </c>
      <c r="K6949" s="15" t="s">
        <v>23</v>
      </c>
    </row>
    <row r="6950" spans="1:11" ht="42" customHeight="1">
      <c r="A6950" s="4" t="s">
        <v>16948</v>
      </c>
      <c r="B6950" s="5" t="s">
        <v>16949</v>
      </c>
      <c r="C6950" s="5" t="s">
        <v>42</v>
      </c>
      <c r="D6950" s="5" t="s">
        <v>43</v>
      </c>
      <c r="E6950" s="5" t="s">
        <v>44</v>
      </c>
      <c r="F6950" s="9">
        <v>99</v>
      </c>
      <c r="G6950" s="9" t="s">
        <v>322</v>
      </c>
      <c r="H6950" s="5" t="s">
        <v>21</v>
      </c>
      <c r="I6950" s="5" t="s">
        <v>16950</v>
      </c>
      <c r="J6950" s="12" t="str">
        <f>HYPERLINK("https://www.boe.es/gazeta/dias/1802/12/07/pdfs/GMD-D-1802-99.pdf#page=10","Abrir facsímil")</f>
        <v>Abrir facsímil</v>
      </c>
      <c r="K6950" s="15" t="s">
        <v>23</v>
      </c>
    </row>
    <row r="6951" spans="1:11" ht="42" customHeight="1">
      <c r="A6951" s="4" t="s">
        <v>16951</v>
      </c>
      <c r="B6951" s="5" t="s">
        <v>16952</v>
      </c>
      <c r="C6951" s="5" t="s">
        <v>29</v>
      </c>
      <c r="D6951" s="5" t="s">
        <v>30</v>
      </c>
      <c r="E6951" s="5" t="s">
        <v>152</v>
      </c>
      <c r="F6951" s="9">
        <v>25</v>
      </c>
      <c r="G6951" s="9">
        <v>286</v>
      </c>
      <c r="H6951" s="5" t="s">
        <v>21</v>
      </c>
      <c r="I6951" s="5" t="s">
        <v>16953</v>
      </c>
      <c r="J6951" s="12" t="str">
        <f>HYPERLINK("https://www.boe.es/gazeta/dias/1802/03/26/pdfs/GMD-1802-25.pdf#page=10","Abrir facsímil")</f>
        <v>Abrir facsímil</v>
      </c>
      <c r="K6951" s="15" t="s">
        <v>23</v>
      </c>
    </row>
    <row r="6952" spans="1:11" ht="42" customHeight="1">
      <c r="A6952" s="4" t="s">
        <v>16954</v>
      </c>
      <c r="B6952" s="5" t="s">
        <v>16955</v>
      </c>
      <c r="C6952" s="5" t="s">
        <v>42</v>
      </c>
      <c r="D6952" s="5" t="s">
        <v>43</v>
      </c>
      <c r="E6952" s="5" t="s">
        <v>44</v>
      </c>
      <c r="F6952" s="9">
        <v>99</v>
      </c>
      <c r="G6952" s="9" t="s">
        <v>251</v>
      </c>
      <c r="H6952" s="5" t="s">
        <v>21</v>
      </c>
      <c r="I6952" s="5" t="s">
        <v>16956</v>
      </c>
      <c r="J6952" s="12" t="str">
        <f>HYPERLINK("https://www.boe.es/gazeta/dias/1802/12/07/pdfs/GMD-D-1802-99.pdf#page=6","Abrir facsímil")</f>
        <v>Abrir facsímil</v>
      </c>
      <c r="K6952" s="15" t="s">
        <v>23</v>
      </c>
    </row>
    <row r="6953" spans="1:11" ht="42" customHeight="1">
      <c r="A6953" s="4" t="s">
        <v>16957</v>
      </c>
      <c r="B6953" s="5" t="s">
        <v>16958</v>
      </c>
      <c r="C6953" s="5" t="s">
        <v>18</v>
      </c>
      <c r="D6953" s="5" t="s">
        <v>19</v>
      </c>
      <c r="E6953" s="5" t="s">
        <v>20</v>
      </c>
      <c r="F6953" s="9">
        <v>84</v>
      </c>
      <c r="G6953" s="9">
        <v>1044</v>
      </c>
      <c r="H6953" s="5" t="s">
        <v>21</v>
      </c>
      <c r="I6953" s="5" t="s">
        <v>16959</v>
      </c>
      <c r="J6953" s="12" t="str">
        <f>HYPERLINK("https://www.boe.es/gazeta/dias/1802/10/15/pdfs/GMD-1802-84.pdf#page=12","Abrir facsímil")</f>
        <v>Abrir facsímil</v>
      </c>
      <c r="K6953" s="15" t="s">
        <v>23</v>
      </c>
    </row>
    <row r="6954" spans="1:11" ht="42" customHeight="1">
      <c r="A6954" s="4" t="s">
        <v>16960</v>
      </c>
      <c r="B6954" s="5" t="s">
        <v>16961</v>
      </c>
      <c r="C6954" s="5" t="s">
        <v>42</v>
      </c>
      <c r="D6954" s="5" t="s">
        <v>43</v>
      </c>
      <c r="E6954" s="5" t="s">
        <v>44</v>
      </c>
      <c r="F6954" s="9">
        <v>99</v>
      </c>
      <c r="G6954" s="9" t="s">
        <v>550</v>
      </c>
      <c r="H6954" s="5" t="s">
        <v>21</v>
      </c>
      <c r="I6954" s="5" t="s">
        <v>16962</v>
      </c>
      <c r="J6954" s="12" t="str">
        <f>HYPERLINK("https://www.boe.es/gazeta/dias/1802/12/07/pdfs/GMD-D-1802-99.pdf#page=16","Abrir facsímil")</f>
        <v>Abrir facsímil</v>
      </c>
      <c r="K6954" s="15" t="s">
        <v>23</v>
      </c>
    </row>
    <row r="6955" spans="1:11" ht="42" customHeight="1">
      <c r="A6955" s="4" t="s">
        <v>16963</v>
      </c>
      <c r="B6955" s="5" t="s">
        <v>16963</v>
      </c>
      <c r="C6955" s="5" t="s">
        <v>29</v>
      </c>
      <c r="D6955" s="5" t="s">
        <v>30</v>
      </c>
      <c r="E6955" s="5" t="s">
        <v>258</v>
      </c>
      <c r="F6955" s="9">
        <v>63</v>
      </c>
      <c r="G6955" s="9">
        <v>771</v>
      </c>
      <c r="H6955" s="5" t="s">
        <v>21</v>
      </c>
      <c r="I6955" s="5" t="s">
        <v>16964</v>
      </c>
      <c r="J6955" s="12" t="str">
        <f>HYPERLINK("https://www.boe.es/gazeta/dias/1802/08/03/pdfs/GMD-1802-63.pdf#page=11","Abrir facsímil")</f>
        <v>Abrir facsímil</v>
      </c>
      <c r="K6955" s="15" t="s">
        <v>23</v>
      </c>
    </row>
    <row r="6956" spans="1:11" ht="42" customHeight="1">
      <c r="A6956" s="4" t="s">
        <v>16965</v>
      </c>
      <c r="B6956" s="5" t="s">
        <v>16966</v>
      </c>
      <c r="C6956" s="5" t="s">
        <v>29</v>
      </c>
      <c r="D6956" s="5" t="s">
        <v>30</v>
      </c>
      <c r="E6956" s="5" t="s">
        <v>82</v>
      </c>
      <c r="F6956" s="9">
        <v>74</v>
      </c>
      <c r="G6956" s="9">
        <v>915</v>
      </c>
      <c r="H6956" s="5" t="s">
        <v>21</v>
      </c>
      <c r="I6956" s="5" t="s">
        <v>16967</v>
      </c>
      <c r="J6956" s="12" t="str">
        <f>HYPERLINK("https://www.boe.es/gazeta/dias/1802/09/10/pdfs/GMD-1802-74.pdf#page=11","Abrir facsímil")</f>
        <v>Abrir facsímil</v>
      </c>
      <c r="K6956" s="15" t="s">
        <v>23</v>
      </c>
    </row>
    <row r="6957" spans="1:11" ht="42" customHeight="1">
      <c r="A6957" s="4" t="s">
        <v>16968</v>
      </c>
      <c r="B6957" s="5" t="s">
        <v>16969</v>
      </c>
      <c r="C6957" s="5" t="s">
        <v>29</v>
      </c>
      <c r="D6957" s="5" t="s">
        <v>30</v>
      </c>
      <c r="E6957" s="5" t="s">
        <v>1618</v>
      </c>
      <c r="F6957" s="9">
        <v>31</v>
      </c>
      <c r="G6957" s="9">
        <v>360</v>
      </c>
      <c r="H6957" s="5" t="s">
        <v>21</v>
      </c>
      <c r="I6957" s="5" t="s">
        <v>16970</v>
      </c>
      <c r="J6957" s="12" t="str">
        <f>HYPERLINK("https://www.boe.es/gazeta/dias/1802/04/16/pdfs/GMD-1802-31.pdf#page=4","Abrir facsímil")</f>
        <v>Abrir facsímil</v>
      </c>
      <c r="K6957" s="15" t="s">
        <v>23</v>
      </c>
    </row>
    <row r="6958" spans="1:11" ht="42" customHeight="1">
      <c r="A6958" s="4" t="s">
        <v>16971</v>
      </c>
      <c r="B6958" s="5" t="s">
        <v>16972</v>
      </c>
      <c r="C6958" s="5" t="s">
        <v>29</v>
      </c>
      <c r="D6958" s="5" t="s">
        <v>30</v>
      </c>
      <c r="E6958" s="5" t="s">
        <v>192</v>
      </c>
      <c r="F6958" s="9">
        <v>53</v>
      </c>
      <c r="G6958" s="9">
        <v>643</v>
      </c>
      <c r="H6958" s="5" t="s">
        <v>21</v>
      </c>
      <c r="I6958" s="5" t="s">
        <v>16973</v>
      </c>
      <c r="J6958" s="12" t="str">
        <f>HYPERLINK("https://www.boe.es/gazeta/dias/1802/07/02/pdfs/GMD-1802-53.pdf#page=11","Abrir facsímil")</f>
        <v>Abrir facsímil</v>
      </c>
      <c r="K6958" s="15" t="s">
        <v>23</v>
      </c>
    </row>
    <row r="6959" spans="1:11" ht="42" customHeight="1">
      <c r="A6959" s="4" t="s">
        <v>16974</v>
      </c>
      <c r="B6959" s="5" t="s">
        <v>16975</v>
      </c>
      <c r="C6959" s="5" t="s">
        <v>18</v>
      </c>
      <c r="D6959" s="5" t="s">
        <v>19</v>
      </c>
      <c r="E6959" s="5" t="s">
        <v>1097</v>
      </c>
      <c r="F6959" s="9">
        <v>20</v>
      </c>
      <c r="G6959" s="9">
        <v>223</v>
      </c>
      <c r="H6959" s="5" t="s">
        <v>21</v>
      </c>
      <c r="I6959" s="5" t="s">
        <v>16976</v>
      </c>
      <c r="J6959" s="12" t="str">
        <f>HYPERLINK("https://www.boe.es/gazeta/dias/1802/03/09/pdfs/GMD-1802-20.pdf#page=11","Abrir facsímil")</f>
        <v>Abrir facsímil</v>
      </c>
      <c r="K6959" s="15" t="s">
        <v>23</v>
      </c>
    </row>
    <row r="6960" spans="1:11" ht="42" customHeight="1">
      <c r="A6960" s="4" t="s">
        <v>16974</v>
      </c>
      <c r="B6960" s="5" t="s">
        <v>16975</v>
      </c>
      <c r="C6960" s="5" t="s">
        <v>18</v>
      </c>
      <c r="D6960" s="5" t="s">
        <v>19</v>
      </c>
      <c r="E6960" s="5" t="s">
        <v>75</v>
      </c>
      <c r="F6960" s="9">
        <v>103</v>
      </c>
      <c r="G6960" s="9">
        <v>1264</v>
      </c>
      <c r="H6960" s="5" t="s">
        <v>21</v>
      </c>
      <c r="I6960" s="5" t="s">
        <v>16977</v>
      </c>
      <c r="J6960" s="12" t="str">
        <f>HYPERLINK("https://www.boe.es/gazeta/dias/1802/12/21/pdfs/GMD-1802-103.pdf#page=8","Abrir facsímil")</f>
        <v>Abrir facsímil</v>
      </c>
      <c r="K6960" s="15" t="s">
        <v>23</v>
      </c>
    </row>
    <row r="6961" spans="1:11" ht="42" customHeight="1">
      <c r="A6961" s="4" t="s">
        <v>16978</v>
      </c>
      <c r="B6961" s="5" t="s">
        <v>16979</v>
      </c>
      <c r="C6961" s="5" t="s">
        <v>29</v>
      </c>
      <c r="D6961" s="5" t="s">
        <v>30</v>
      </c>
      <c r="E6961" s="5" t="s">
        <v>71</v>
      </c>
      <c r="F6961" s="9">
        <v>21</v>
      </c>
      <c r="G6961" s="9">
        <v>234</v>
      </c>
      <c r="H6961" s="5" t="s">
        <v>21</v>
      </c>
      <c r="I6961" s="5" t="s">
        <v>16980</v>
      </c>
      <c r="J6961" s="12" t="str">
        <f>HYPERLINK("https://www.boe.es/gazeta/dias/1802/03/12/pdfs/GMD-1802-21.pdf#page=10","Abrir facsímil")</f>
        <v>Abrir facsímil</v>
      </c>
      <c r="K6961" s="15" t="s">
        <v>23</v>
      </c>
    </row>
    <row r="6962" spans="1:11" ht="42" customHeight="1">
      <c r="A6962" s="4" t="s">
        <v>16981</v>
      </c>
      <c r="B6962" s="5" t="s">
        <v>16982</v>
      </c>
      <c r="C6962" s="5" t="s">
        <v>18</v>
      </c>
      <c r="D6962" s="5" t="s">
        <v>19</v>
      </c>
      <c r="E6962" s="5" t="s">
        <v>49</v>
      </c>
      <c r="F6962" s="9">
        <v>83</v>
      </c>
      <c r="G6962" s="9">
        <v>1025</v>
      </c>
      <c r="H6962" s="5" t="s">
        <v>21</v>
      </c>
      <c r="I6962" s="5" t="s">
        <v>16983</v>
      </c>
      <c r="J6962" s="12" t="str">
        <f>HYPERLINK("https://www.boe.es/gazeta/dias/1802/10/12/pdfs/GMD-1802-83.pdf#page=13","Abrir facsímil")</f>
        <v>Abrir facsímil</v>
      </c>
      <c r="K6962" s="15" t="s">
        <v>23</v>
      </c>
    </row>
    <row r="6963" spans="1:11" ht="42" customHeight="1">
      <c r="A6963" s="4" t="s">
        <v>16984</v>
      </c>
      <c r="B6963" s="5" t="s">
        <v>16985</v>
      </c>
      <c r="C6963" s="5" t="s">
        <v>55</v>
      </c>
      <c r="D6963" s="5" t="s">
        <v>56</v>
      </c>
      <c r="E6963" s="5" t="s">
        <v>25</v>
      </c>
      <c r="F6963" s="9">
        <v>44</v>
      </c>
      <c r="G6963" s="9">
        <v>536</v>
      </c>
      <c r="H6963" s="5" t="s">
        <v>21</v>
      </c>
      <c r="I6963" s="5" t="s">
        <v>16986</v>
      </c>
      <c r="J6963" s="12" t="str">
        <f>HYPERLINK("https://www.boe.es/gazeta/dias/1802/06/01/pdfs/GMD-1802-44.pdf#page=12","Abrir facsímil")</f>
        <v>Abrir facsímil</v>
      </c>
      <c r="K6963" s="15" t="s">
        <v>23</v>
      </c>
    </row>
    <row r="6964" spans="1:11" ht="42" customHeight="1">
      <c r="A6964" s="4" t="s">
        <v>16987</v>
      </c>
      <c r="B6964" s="5" t="s">
        <v>16988</v>
      </c>
      <c r="C6964" s="5" t="s">
        <v>29</v>
      </c>
      <c r="D6964" s="5" t="s">
        <v>30</v>
      </c>
      <c r="E6964" s="5" t="s">
        <v>299</v>
      </c>
      <c r="F6964" s="9">
        <v>19</v>
      </c>
      <c r="G6964" s="9">
        <v>211</v>
      </c>
      <c r="H6964" s="5" t="s">
        <v>21</v>
      </c>
      <c r="I6964" s="5" t="s">
        <v>16989</v>
      </c>
      <c r="J6964" s="12" t="str">
        <f>HYPERLINK("https://www.boe.es/gazeta/dias/1802/03/05/pdfs/GMD-1802-19.pdf#page=11","Abrir facsímil")</f>
        <v>Abrir facsímil</v>
      </c>
      <c r="K6964" s="15" t="s">
        <v>23</v>
      </c>
    </row>
    <row r="6965" spans="1:11" ht="42" customHeight="1">
      <c r="A6965" s="4" t="s">
        <v>16990</v>
      </c>
      <c r="B6965" s="5" t="s">
        <v>16990</v>
      </c>
      <c r="C6965" s="5" t="s">
        <v>18</v>
      </c>
      <c r="D6965" s="5" t="s">
        <v>19</v>
      </c>
      <c r="E6965" s="5" t="s">
        <v>128</v>
      </c>
      <c r="F6965" s="9">
        <v>9</v>
      </c>
      <c r="G6965" s="9">
        <v>85</v>
      </c>
      <c r="H6965" s="5" t="s">
        <v>21</v>
      </c>
      <c r="I6965" s="5" t="s">
        <v>16991</v>
      </c>
      <c r="J6965" s="12" t="str">
        <f>HYPERLINK("https://www.boe.es/gazeta/dias/1802/01/29/pdfs/GMD-1802-9.pdf#page=5","Abrir facsímil")</f>
        <v>Abrir facsímil</v>
      </c>
      <c r="K6965" s="15" t="s">
        <v>23</v>
      </c>
    </row>
    <row r="6966" spans="1:11" ht="42" customHeight="1">
      <c r="A6966" s="4" t="s">
        <v>16992</v>
      </c>
      <c r="B6966" s="5" t="s">
        <v>16993</v>
      </c>
      <c r="C6966" s="5" t="s">
        <v>572</v>
      </c>
      <c r="D6966" s="5" t="s">
        <v>573</v>
      </c>
      <c r="E6966" s="5" t="s">
        <v>574</v>
      </c>
      <c r="F6966" s="9" t="s">
        <v>575</v>
      </c>
      <c r="G6966" s="9">
        <v>711</v>
      </c>
      <c r="H6966" s="5" t="s">
        <v>21</v>
      </c>
      <c r="I6966" s="5" t="s">
        <v>16994</v>
      </c>
      <c r="J6966" s="12" t="str">
        <f>HYPERLINK("https://www.boe.es/gazeta/dias/1802/07/21/pdfs/GMD-1802-59E.pdf#page=7","Abrir facsímil")</f>
        <v>Abrir facsímil</v>
      </c>
      <c r="K6966" s="15" t="s">
        <v>23</v>
      </c>
    </row>
    <row r="6967" spans="1:11" ht="42" customHeight="1">
      <c r="A6967" s="4" t="s">
        <v>16995</v>
      </c>
      <c r="B6967" s="5" t="s">
        <v>16995</v>
      </c>
      <c r="C6967" s="5" t="s">
        <v>29</v>
      </c>
      <c r="D6967" s="5" t="s">
        <v>30</v>
      </c>
      <c r="E6967" s="5" t="s">
        <v>881</v>
      </c>
      <c r="F6967" s="9">
        <v>65</v>
      </c>
      <c r="G6967" s="9">
        <v>794</v>
      </c>
      <c r="H6967" s="5" t="s">
        <v>21</v>
      </c>
      <c r="I6967" s="5" t="s">
        <v>16996</v>
      </c>
      <c r="J6967" s="12" t="str">
        <f>HYPERLINK("https://www.boe.es/gazeta/dias/1802/08/10/pdfs/GMD-1802-65.pdf#page=10","Abrir facsímil")</f>
        <v>Abrir facsímil</v>
      </c>
      <c r="K6967" s="15" t="s">
        <v>23</v>
      </c>
    </row>
    <row r="6968" spans="1:11" ht="42" customHeight="1">
      <c r="A6968" s="4" t="s">
        <v>16997</v>
      </c>
      <c r="B6968" s="5" t="s">
        <v>16998</v>
      </c>
      <c r="C6968" s="5" t="s">
        <v>29</v>
      </c>
      <c r="D6968" s="5" t="s">
        <v>30</v>
      </c>
      <c r="E6968" s="5" t="s">
        <v>631</v>
      </c>
      <c r="F6968" s="9">
        <v>36</v>
      </c>
      <c r="G6968" s="9">
        <v>423</v>
      </c>
      <c r="H6968" s="5" t="s">
        <v>21</v>
      </c>
      <c r="I6968" s="5" t="s">
        <v>16999</v>
      </c>
      <c r="J6968" s="12" t="str">
        <f>HYPERLINK("https://www.boe.es/gazeta/dias/1802/05/04/pdfs/GMD-1802-36.pdf#page=3","Abrir facsímil")</f>
        <v>Abrir facsímil</v>
      </c>
      <c r="K6968" s="15" t="s">
        <v>23</v>
      </c>
    </row>
    <row r="6969" spans="1:11" ht="42" customHeight="1">
      <c r="A6969" s="4" t="s">
        <v>17000</v>
      </c>
      <c r="B6969" s="5" t="s">
        <v>17000</v>
      </c>
      <c r="C6969" s="5" t="s">
        <v>29</v>
      </c>
      <c r="D6969" s="5" t="s">
        <v>30</v>
      </c>
      <c r="E6969" s="5" t="s">
        <v>491</v>
      </c>
      <c r="F6969" s="9">
        <v>57</v>
      </c>
      <c r="G6969" s="9">
        <v>689</v>
      </c>
      <c r="H6969" s="5" t="s">
        <v>21</v>
      </c>
      <c r="I6969" s="5" t="s">
        <v>17001</v>
      </c>
      <c r="J6969" s="12" t="str">
        <f>HYPERLINK("https://www.boe.es/gazeta/dias/1802/07/16/pdfs/GMD-1802-57.pdf#page=9","Abrir facsímil")</f>
        <v>Abrir facsímil</v>
      </c>
      <c r="K6969" s="15" t="s">
        <v>23</v>
      </c>
    </row>
    <row r="6970" spans="1:11" ht="42" customHeight="1">
      <c r="A6970" s="4" t="s">
        <v>17002</v>
      </c>
      <c r="B6970" s="5" t="s">
        <v>17003</v>
      </c>
      <c r="C6970" s="5" t="s">
        <v>18</v>
      </c>
      <c r="D6970" s="5" t="s">
        <v>19</v>
      </c>
      <c r="E6970" s="5" t="s">
        <v>20</v>
      </c>
      <c r="F6970" s="9">
        <v>84</v>
      </c>
      <c r="G6970" s="9">
        <v>1044</v>
      </c>
      <c r="H6970" s="5" t="s">
        <v>21</v>
      </c>
      <c r="I6970" s="5" t="s">
        <v>17004</v>
      </c>
      <c r="J6970" s="12" t="str">
        <f>HYPERLINK("https://www.boe.es/gazeta/dias/1802/10/15/pdfs/GMD-1802-84.pdf#page=12","Abrir facsímil")</f>
        <v>Abrir facsímil</v>
      </c>
      <c r="K6970" s="15" t="s">
        <v>23</v>
      </c>
    </row>
    <row r="6971" spans="1:11" ht="42" customHeight="1">
      <c r="A6971" s="4" t="s">
        <v>17005</v>
      </c>
      <c r="B6971" s="5" t="s">
        <v>17006</v>
      </c>
      <c r="C6971" s="5" t="s">
        <v>18</v>
      </c>
      <c r="D6971" s="5" t="s">
        <v>19</v>
      </c>
      <c r="E6971" s="5" t="s">
        <v>20</v>
      </c>
      <c r="F6971" s="9">
        <v>84</v>
      </c>
      <c r="G6971" s="9">
        <v>1041</v>
      </c>
      <c r="H6971" s="5" t="s">
        <v>21</v>
      </c>
      <c r="I6971" s="5" t="s">
        <v>17007</v>
      </c>
      <c r="J6971" s="12" t="str">
        <f>HYPERLINK("https://www.boe.es/gazeta/dias/1802/10/15/pdfs/GMD-1802-84.pdf#page=9","Abrir facsímil")</f>
        <v>Abrir facsímil</v>
      </c>
      <c r="K6971" s="15" t="s">
        <v>23</v>
      </c>
    </row>
    <row r="6972" spans="1:11" ht="42" customHeight="1">
      <c r="A6972" s="4" t="s">
        <v>17008</v>
      </c>
      <c r="B6972" s="5" t="s">
        <v>17009</v>
      </c>
      <c r="C6972" s="5" t="s">
        <v>29</v>
      </c>
      <c r="D6972" s="5" t="s">
        <v>30</v>
      </c>
      <c r="E6972" s="5" t="s">
        <v>1113</v>
      </c>
      <c r="F6972" s="9">
        <v>6</v>
      </c>
      <c r="G6972" s="9">
        <v>59</v>
      </c>
      <c r="H6972" s="5" t="s">
        <v>21</v>
      </c>
      <c r="I6972" s="5" t="s">
        <v>17010</v>
      </c>
      <c r="J6972" s="12" t="str">
        <f>HYPERLINK("https://www.boe.es/gazeta/dias/1802/01/19/pdfs/GMD-1802-6.pdf#page=7","Abrir facsímil")</f>
        <v>Abrir facsímil</v>
      </c>
      <c r="K6972" s="15" t="s">
        <v>23</v>
      </c>
    </row>
    <row r="6973" spans="1:11" ht="42" customHeight="1">
      <c r="A6973" s="4" t="s">
        <v>17011</v>
      </c>
      <c r="B6973" s="5" t="s">
        <v>17011</v>
      </c>
      <c r="C6973" s="5" t="s">
        <v>18</v>
      </c>
      <c r="D6973" s="5" t="s">
        <v>19</v>
      </c>
      <c r="E6973" s="5" t="s">
        <v>20</v>
      </c>
      <c r="F6973" s="9">
        <v>84</v>
      </c>
      <c r="G6973" s="9">
        <v>1045</v>
      </c>
      <c r="H6973" s="5" t="s">
        <v>21</v>
      </c>
      <c r="I6973" s="5" t="s">
        <v>17012</v>
      </c>
      <c r="J6973" s="12" t="str">
        <f>HYPERLINK("https://www.boe.es/gazeta/dias/1802/10/15/pdfs/GMD-1802-84.pdf#page=13","Abrir facsímil")</f>
        <v>Abrir facsímil</v>
      </c>
      <c r="K6973" s="15" t="s">
        <v>23</v>
      </c>
    </row>
    <row r="6974" spans="1:11" ht="42" customHeight="1">
      <c r="A6974" s="4" t="s">
        <v>17013</v>
      </c>
      <c r="B6974" s="5" t="s">
        <v>17014</v>
      </c>
      <c r="C6974" s="5" t="s">
        <v>18</v>
      </c>
      <c r="D6974" s="5" t="s">
        <v>19</v>
      </c>
      <c r="E6974" s="5" t="s">
        <v>49</v>
      </c>
      <c r="F6974" s="9">
        <v>83</v>
      </c>
      <c r="G6974" s="9">
        <v>1022</v>
      </c>
      <c r="H6974" s="5" t="s">
        <v>21</v>
      </c>
      <c r="I6974" s="5" t="s">
        <v>17015</v>
      </c>
      <c r="J6974" s="12" t="str">
        <f>HYPERLINK("https://www.boe.es/gazeta/dias/1802/10/12/pdfs/GMD-1802-83.pdf#page=10","Abrir facsímil")</f>
        <v>Abrir facsímil</v>
      </c>
      <c r="K6974" s="15" t="s">
        <v>23</v>
      </c>
    </row>
    <row r="6975" spans="1:11" ht="42" customHeight="1">
      <c r="A6975" s="4" t="s">
        <v>17016</v>
      </c>
      <c r="B6975" s="5" t="s">
        <v>17017</v>
      </c>
      <c r="C6975" s="5" t="s">
        <v>29</v>
      </c>
      <c r="D6975" s="5" t="s">
        <v>30</v>
      </c>
      <c r="E6975" s="5" t="s">
        <v>31</v>
      </c>
      <c r="F6975" s="9">
        <v>27</v>
      </c>
      <c r="G6975" s="9">
        <v>311</v>
      </c>
      <c r="H6975" s="5" t="s">
        <v>21</v>
      </c>
      <c r="I6975" s="5" t="s">
        <v>17018</v>
      </c>
      <c r="J6975" s="12" t="str">
        <f>HYPERLINK("https://www.boe.es/gazeta/dias/1802/04/02/pdfs/GMD-1802-27.pdf#page=7","Abrir facsímil")</f>
        <v>Abrir facsímil</v>
      </c>
      <c r="K6975" s="15" t="s">
        <v>23</v>
      </c>
    </row>
    <row r="6976" spans="1:11" ht="42" customHeight="1">
      <c r="A6976" s="4" t="s">
        <v>17019</v>
      </c>
      <c r="B6976" s="5" t="s">
        <v>17020</v>
      </c>
      <c r="C6976" s="5" t="s">
        <v>90</v>
      </c>
      <c r="D6976" s="5" t="s">
        <v>91</v>
      </c>
      <c r="E6976" s="5" t="s">
        <v>921</v>
      </c>
      <c r="F6976" s="9">
        <v>50</v>
      </c>
      <c r="G6976" s="9">
        <v>610</v>
      </c>
      <c r="H6976" s="5" t="s">
        <v>21</v>
      </c>
      <c r="I6976" s="5" t="s">
        <v>17021</v>
      </c>
      <c r="J6976" s="12" t="str">
        <f>HYPERLINK("https://www.boe.es/gazeta/dias/1802/06/22/pdfs/GMD-1802-50.pdf#page=10","Abrir facsímil")</f>
        <v>Abrir facsímil</v>
      </c>
      <c r="K6976" s="15" t="s">
        <v>23</v>
      </c>
    </row>
    <row r="6977" spans="1:11" ht="42" customHeight="1">
      <c r="A6977" s="4" t="s">
        <v>17022</v>
      </c>
      <c r="B6977" s="5" t="s">
        <v>17023</v>
      </c>
      <c r="C6977" s="5" t="s">
        <v>18</v>
      </c>
      <c r="D6977" s="5" t="s">
        <v>19</v>
      </c>
      <c r="E6977" s="5" t="s">
        <v>152</v>
      </c>
      <c r="F6977" s="9">
        <v>25</v>
      </c>
      <c r="G6977" s="9">
        <v>284</v>
      </c>
      <c r="H6977" s="5" t="s">
        <v>21</v>
      </c>
      <c r="I6977" s="5" t="s">
        <v>17024</v>
      </c>
      <c r="J6977" s="12" t="str">
        <f>HYPERLINK("https://www.boe.es/gazeta/dias/1802/03/26/pdfs/GMD-1802-25.pdf#page=8","Abrir facsímil")</f>
        <v>Abrir facsímil</v>
      </c>
      <c r="K6977" s="15" t="s">
        <v>23</v>
      </c>
    </row>
    <row r="6978" spans="1:11" ht="42" customHeight="1">
      <c r="A6978" s="4" t="s">
        <v>17022</v>
      </c>
      <c r="B6978" s="5" t="s">
        <v>17023</v>
      </c>
      <c r="C6978" s="5" t="s">
        <v>18</v>
      </c>
      <c r="D6978" s="5" t="s">
        <v>19</v>
      </c>
      <c r="E6978" s="5" t="s">
        <v>152</v>
      </c>
      <c r="F6978" s="9">
        <v>25</v>
      </c>
      <c r="G6978" s="9">
        <v>285</v>
      </c>
      <c r="H6978" s="5" t="s">
        <v>21</v>
      </c>
      <c r="I6978" s="5" t="s">
        <v>17025</v>
      </c>
      <c r="J6978" s="12" t="str">
        <f>HYPERLINK("https://www.boe.es/gazeta/dias/1802/03/26/pdfs/GMD-1802-25.pdf#page=9","Abrir facsímil")</f>
        <v>Abrir facsímil</v>
      </c>
      <c r="K6978" s="15" t="s">
        <v>23</v>
      </c>
    </row>
    <row r="6979" spans="1:11" ht="42" customHeight="1">
      <c r="A6979" s="4" t="s">
        <v>17026</v>
      </c>
      <c r="B6979" s="5" t="s">
        <v>17027</v>
      </c>
      <c r="C6979" s="5" t="s">
        <v>90</v>
      </c>
      <c r="D6979" s="5" t="s">
        <v>91</v>
      </c>
      <c r="E6979" s="5" t="s">
        <v>86</v>
      </c>
      <c r="F6979" s="9">
        <v>26</v>
      </c>
      <c r="G6979" s="9">
        <v>297</v>
      </c>
      <c r="H6979" s="5" t="s">
        <v>21</v>
      </c>
      <c r="I6979" s="5" t="s">
        <v>17028</v>
      </c>
      <c r="J6979" s="12" t="str">
        <f>HYPERLINK("https://www.boe.es/gazeta/dias/1802/03/30/pdfs/GMD-1802-26.pdf#page=9","Abrir facsímil")</f>
        <v>Abrir facsímil</v>
      </c>
      <c r="K6979" s="15" t="s">
        <v>23</v>
      </c>
    </row>
    <row r="6980" spans="1:11" ht="42" customHeight="1">
      <c r="A6980" s="4" t="s">
        <v>17029</v>
      </c>
      <c r="B6980" s="5" t="s">
        <v>17030</v>
      </c>
      <c r="C6980" s="5" t="s">
        <v>35</v>
      </c>
      <c r="D6980" s="5" t="s">
        <v>36</v>
      </c>
      <c r="E6980" s="5" t="s">
        <v>247</v>
      </c>
      <c r="F6980" s="9">
        <v>14</v>
      </c>
      <c r="G6980" s="9">
        <v>144</v>
      </c>
      <c r="H6980" s="5" t="s">
        <v>21</v>
      </c>
      <c r="I6980" s="5" t="s">
        <v>17031</v>
      </c>
      <c r="J6980" s="12" t="str">
        <f>HYPERLINK("https://www.boe.es/gazeta/dias/1802/02/16/pdfs/GMD-1802-14.pdf#page=8","Abrir facsímil")</f>
        <v>Abrir facsímil</v>
      </c>
      <c r="K6980" s="15" t="s">
        <v>23</v>
      </c>
    </row>
    <row r="6981" spans="1:11" ht="42" customHeight="1">
      <c r="A6981" s="4" t="s">
        <v>17032</v>
      </c>
      <c r="B6981" s="5" t="s">
        <v>17033</v>
      </c>
      <c r="C6981" s="5" t="s">
        <v>29</v>
      </c>
      <c r="D6981" s="5" t="s">
        <v>30</v>
      </c>
      <c r="E6981" s="5" t="s">
        <v>1097</v>
      </c>
      <c r="F6981" s="9">
        <v>20</v>
      </c>
      <c r="G6981" s="9">
        <v>221</v>
      </c>
      <c r="H6981" s="5" t="s">
        <v>21</v>
      </c>
      <c r="I6981" s="5" t="s">
        <v>17034</v>
      </c>
      <c r="J6981" s="12" t="str">
        <f>HYPERLINK("https://www.boe.es/gazeta/dias/1802/03/09/pdfs/GMD-1802-20.pdf#page=9","Abrir facsímil")</f>
        <v>Abrir facsímil</v>
      </c>
      <c r="K6981" s="15" t="s">
        <v>23</v>
      </c>
    </row>
    <row r="6982" spans="1:11" ht="42" customHeight="1">
      <c r="A6982" s="4" t="s">
        <v>17035</v>
      </c>
      <c r="B6982" s="5" t="s">
        <v>17035</v>
      </c>
      <c r="C6982" s="5" t="s">
        <v>35</v>
      </c>
      <c r="D6982" s="5" t="s">
        <v>36</v>
      </c>
      <c r="E6982" s="5" t="s">
        <v>751</v>
      </c>
      <c r="F6982" s="9">
        <v>98</v>
      </c>
      <c r="G6982" s="9">
        <v>1212</v>
      </c>
      <c r="H6982" s="5" t="s">
        <v>21</v>
      </c>
      <c r="I6982" s="5" t="s">
        <v>17036</v>
      </c>
      <c r="J6982" s="12" t="str">
        <f>HYPERLINK("https://www.boe.es/gazeta/dias/1802/12/03/pdfs/GMD-1802-98.pdf#page=8","Abrir facsímil")</f>
        <v>Abrir facsímil</v>
      </c>
      <c r="K6982" s="15" t="s">
        <v>23</v>
      </c>
    </row>
    <row r="6983" spans="1:11" ht="42" customHeight="1">
      <c r="A6983" s="4" t="s">
        <v>17037</v>
      </c>
      <c r="B6983" s="5" t="s">
        <v>17037</v>
      </c>
      <c r="C6983" s="5" t="s">
        <v>18</v>
      </c>
      <c r="D6983" s="5" t="s">
        <v>19</v>
      </c>
      <c r="E6983" s="5" t="s">
        <v>167</v>
      </c>
      <c r="F6983" s="9">
        <v>23</v>
      </c>
      <c r="G6983" s="9">
        <v>256</v>
      </c>
      <c r="H6983" s="5" t="s">
        <v>21</v>
      </c>
      <c r="I6983" s="5" t="s">
        <v>17038</v>
      </c>
      <c r="J6983" s="12" t="str">
        <f>HYPERLINK("https://www.boe.es/gazeta/dias/1802/03/19/pdfs/GMD-1802-23.pdf#page=4","Abrir facsímil")</f>
        <v>Abrir facsímil</v>
      </c>
      <c r="K6983" s="15" t="s">
        <v>23</v>
      </c>
    </row>
    <row r="6984" spans="1:11" ht="42" customHeight="1">
      <c r="A6984" s="4" t="s">
        <v>17037</v>
      </c>
      <c r="B6984" s="5" t="s">
        <v>17037</v>
      </c>
      <c r="C6984" s="5" t="s">
        <v>35</v>
      </c>
      <c r="D6984" s="5" t="s">
        <v>36</v>
      </c>
      <c r="E6984" s="5" t="s">
        <v>611</v>
      </c>
      <c r="F6984" s="9">
        <v>68</v>
      </c>
      <c r="G6984" s="9">
        <v>830</v>
      </c>
      <c r="H6984" s="5" t="s">
        <v>21</v>
      </c>
      <c r="I6984" s="5" t="s">
        <v>17039</v>
      </c>
      <c r="J6984" s="12" t="str">
        <f>HYPERLINK("https://www.boe.es/gazeta/dias/1802/08/20/pdfs/GMD-1802-68.pdf#page=6","Abrir facsímil")</f>
        <v>Abrir facsímil</v>
      </c>
      <c r="K6984" s="15" t="s">
        <v>23</v>
      </c>
    </row>
    <row r="6985" spans="1:11" ht="42" customHeight="1">
      <c r="A6985" s="4" t="s">
        <v>17037</v>
      </c>
      <c r="B6985" s="5" t="s">
        <v>17037</v>
      </c>
      <c r="C6985" s="5" t="s">
        <v>35</v>
      </c>
      <c r="D6985" s="5" t="s">
        <v>36</v>
      </c>
      <c r="E6985" s="5" t="s">
        <v>714</v>
      </c>
      <c r="F6985" s="9">
        <v>89</v>
      </c>
      <c r="G6985" s="9">
        <v>1101</v>
      </c>
      <c r="H6985" s="5" t="s">
        <v>21</v>
      </c>
      <c r="I6985" s="5" t="s">
        <v>17040</v>
      </c>
      <c r="J6985" s="12" t="str">
        <f>HYPERLINK("https://www.boe.es/gazeta/dias/1802/11/02/pdfs/GMD-1802-89.pdf#page=5","Abrir facsímil")</f>
        <v>Abrir facsímil</v>
      </c>
      <c r="K6985" s="15" t="s">
        <v>23</v>
      </c>
    </row>
    <row r="6986" spans="1:11" ht="42" customHeight="1">
      <c r="A6986" s="4" t="s">
        <v>17041</v>
      </c>
      <c r="B6986" s="5" t="s">
        <v>17041</v>
      </c>
      <c r="C6986" s="5" t="s">
        <v>29</v>
      </c>
      <c r="D6986" s="5" t="s">
        <v>30</v>
      </c>
      <c r="E6986" s="5" t="s">
        <v>232</v>
      </c>
      <c r="F6986" s="9">
        <v>30</v>
      </c>
      <c r="G6986" s="9">
        <v>348</v>
      </c>
      <c r="H6986" s="5" t="s">
        <v>21</v>
      </c>
      <c r="I6986" s="5" t="s">
        <v>17042</v>
      </c>
      <c r="J6986" s="12" t="str">
        <f>HYPERLINK("https://www.boe.es/gazeta/dias/1802/04/13/pdfs/GMD-1802-30.pdf#page=4","Abrir facsímil")</f>
        <v>Abrir facsímil</v>
      </c>
      <c r="K6986" s="15" t="s">
        <v>23</v>
      </c>
    </row>
    <row r="6987" spans="1:11" ht="42" customHeight="1">
      <c r="A6987" s="4" t="s">
        <v>17043</v>
      </c>
      <c r="B6987" s="5" t="s">
        <v>17044</v>
      </c>
      <c r="C6987" s="5" t="s">
        <v>18</v>
      </c>
      <c r="D6987" s="5" t="s">
        <v>19</v>
      </c>
      <c r="E6987" s="5" t="s">
        <v>20</v>
      </c>
      <c r="F6987" s="9">
        <v>84</v>
      </c>
      <c r="G6987" s="9">
        <v>1041</v>
      </c>
      <c r="H6987" s="5" t="s">
        <v>21</v>
      </c>
      <c r="I6987" s="5" t="s">
        <v>17045</v>
      </c>
      <c r="J6987" s="12" t="str">
        <f>HYPERLINK("https://www.boe.es/gazeta/dias/1802/10/15/pdfs/GMD-1802-84.pdf#page=9","Abrir facsímil")</f>
        <v>Abrir facsímil</v>
      </c>
      <c r="K6987" s="15" t="s">
        <v>23</v>
      </c>
    </row>
    <row r="6988" spans="1:11" ht="42" customHeight="1">
      <c r="A6988" s="4" t="s">
        <v>17046</v>
      </c>
      <c r="B6988" s="5" t="s">
        <v>17046</v>
      </c>
      <c r="C6988" s="5" t="s">
        <v>18</v>
      </c>
      <c r="D6988" s="5" t="s">
        <v>19</v>
      </c>
      <c r="E6988" s="5" t="s">
        <v>670</v>
      </c>
      <c r="F6988" s="9">
        <v>40</v>
      </c>
      <c r="G6988" s="9">
        <v>475</v>
      </c>
      <c r="H6988" s="5" t="s">
        <v>21</v>
      </c>
      <c r="I6988" s="5" t="s">
        <v>17047</v>
      </c>
      <c r="J6988" s="12" t="str">
        <f>HYPERLINK("https://www.boe.es/gazeta/dias/1802/05/18/pdfs/GMD-1802-40.pdf#page=3","Abrir facsímil")</f>
        <v>Abrir facsímil</v>
      </c>
      <c r="K6988" s="15" t="s">
        <v>23</v>
      </c>
    </row>
    <row r="6989" spans="1:11" ht="42" customHeight="1">
      <c r="A6989" s="4" t="s">
        <v>17048</v>
      </c>
      <c r="B6989" s="5" t="s">
        <v>17049</v>
      </c>
      <c r="C6989" s="5" t="s">
        <v>90</v>
      </c>
      <c r="D6989" s="5" t="s">
        <v>91</v>
      </c>
      <c r="E6989" s="5" t="s">
        <v>152</v>
      </c>
      <c r="F6989" s="9">
        <v>25</v>
      </c>
      <c r="G6989" s="9">
        <v>286</v>
      </c>
      <c r="H6989" s="5" t="s">
        <v>21</v>
      </c>
      <c r="I6989" s="5" t="s">
        <v>17050</v>
      </c>
      <c r="J6989" s="12" t="str">
        <f>HYPERLINK("https://www.boe.es/gazeta/dias/1802/03/26/pdfs/GMD-1802-25.pdf#page=10","Abrir facsímil")</f>
        <v>Abrir facsímil</v>
      </c>
      <c r="K6989" s="15" t="s">
        <v>23</v>
      </c>
    </row>
    <row r="6990" spans="1:11" ht="42" customHeight="1">
      <c r="A6990" s="4" t="s">
        <v>17051</v>
      </c>
      <c r="B6990" s="5" t="s">
        <v>17051</v>
      </c>
      <c r="C6990" s="5" t="s">
        <v>18</v>
      </c>
      <c r="D6990" s="5" t="s">
        <v>19</v>
      </c>
      <c r="E6990" s="5" t="s">
        <v>611</v>
      </c>
      <c r="F6990" s="9">
        <v>68</v>
      </c>
      <c r="G6990" s="9">
        <v>834</v>
      </c>
      <c r="H6990" s="5" t="s">
        <v>21</v>
      </c>
      <c r="I6990" s="5" t="s">
        <v>17052</v>
      </c>
      <c r="J6990" s="12" t="str">
        <f>HYPERLINK("https://www.boe.es/gazeta/dias/1802/08/20/pdfs/GMD-1802-68.pdf#page=10","Abrir facsímil")</f>
        <v>Abrir facsímil</v>
      </c>
      <c r="K6990" s="15" t="s">
        <v>23</v>
      </c>
    </row>
    <row r="6991" spans="1:11" ht="42" customHeight="1">
      <c r="A6991" s="4" t="s">
        <v>17053</v>
      </c>
      <c r="B6991" s="5" t="s">
        <v>17053</v>
      </c>
      <c r="C6991" s="5" t="s">
        <v>18</v>
      </c>
      <c r="D6991" s="5" t="s">
        <v>19</v>
      </c>
      <c r="E6991" s="5" t="s">
        <v>1264</v>
      </c>
      <c r="F6991" s="9">
        <v>105</v>
      </c>
      <c r="G6991" s="9">
        <v>1288</v>
      </c>
      <c r="H6991" s="5" t="s">
        <v>21</v>
      </c>
      <c r="I6991" s="5" t="s">
        <v>17054</v>
      </c>
      <c r="J6991" s="12" t="str">
        <f>HYPERLINK("https://www.boe.es/gazeta/dias/1802/12/28/pdfs/GMD-1802-105.pdf#page=12","Abrir facsímil")</f>
        <v>Abrir facsímil</v>
      </c>
      <c r="K6991" s="15" t="s">
        <v>23</v>
      </c>
    </row>
    <row r="6992" spans="1:11" ht="42" customHeight="1">
      <c r="A6992" s="4" t="s">
        <v>17055</v>
      </c>
      <c r="B6992" s="5" t="s">
        <v>17056</v>
      </c>
      <c r="C6992" s="5" t="s">
        <v>29</v>
      </c>
      <c r="D6992" s="5" t="s">
        <v>30</v>
      </c>
      <c r="E6992" s="5" t="s">
        <v>299</v>
      </c>
      <c r="F6992" s="9">
        <v>19</v>
      </c>
      <c r="G6992" s="9">
        <v>210</v>
      </c>
      <c r="H6992" s="5" t="s">
        <v>21</v>
      </c>
      <c r="I6992" s="5" t="s">
        <v>17057</v>
      </c>
      <c r="J6992" s="12" t="str">
        <f>HYPERLINK("https://www.boe.es/gazeta/dias/1802/03/05/pdfs/GMD-1802-19.pdf#page=10","Abrir facsímil")</f>
        <v>Abrir facsímil</v>
      </c>
      <c r="K6992" s="15" t="s">
        <v>23</v>
      </c>
    </row>
    <row r="6993" spans="1:11" ht="42" customHeight="1">
      <c r="A6993" s="4" t="s">
        <v>17058</v>
      </c>
      <c r="B6993" s="5" t="s">
        <v>17058</v>
      </c>
      <c r="C6993" s="5" t="s">
        <v>55</v>
      </c>
      <c r="D6993" s="5" t="s">
        <v>56</v>
      </c>
      <c r="E6993" s="5" t="s">
        <v>328</v>
      </c>
      <c r="F6993" s="9">
        <v>45</v>
      </c>
      <c r="G6993" s="9">
        <v>547</v>
      </c>
      <c r="H6993" s="5" t="s">
        <v>21</v>
      </c>
      <c r="I6993" s="5" t="s">
        <v>17059</v>
      </c>
      <c r="J6993" s="12" t="str">
        <f>HYPERLINK("https://www.boe.es/gazeta/dias/1802/06/04/pdfs/GMD-1802-45.pdf#page=11","Abrir facsímil")</f>
        <v>Abrir facsímil</v>
      </c>
      <c r="K6993" s="15" t="s">
        <v>23</v>
      </c>
    </row>
    <row r="6994" spans="1:11" ht="42" customHeight="1">
      <c r="A6994" s="4" t="s">
        <v>17060</v>
      </c>
      <c r="B6994" s="5" t="s">
        <v>17061</v>
      </c>
      <c r="C6994" s="5" t="s">
        <v>29</v>
      </c>
      <c r="D6994" s="5" t="s">
        <v>30</v>
      </c>
      <c r="E6994" s="5" t="s">
        <v>163</v>
      </c>
      <c r="F6994" s="9">
        <v>1</v>
      </c>
      <c r="G6994" s="9">
        <v>7</v>
      </c>
      <c r="H6994" s="5" t="s">
        <v>21</v>
      </c>
      <c r="I6994" s="5" t="s">
        <v>17062</v>
      </c>
      <c r="J6994" s="12" t="str">
        <f>HYPERLINK("https://www.boe.es/gazeta/dias/1802/01/01/pdfs/GMD-1802-1.pdf#page=7","Abrir facsímil")</f>
        <v>Abrir facsímil</v>
      </c>
      <c r="K6994" s="15" t="s">
        <v>23</v>
      </c>
    </row>
    <row r="6995" spans="1:11" ht="42" customHeight="1">
      <c r="A6995" s="4" t="s">
        <v>17063</v>
      </c>
      <c r="B6995" s="5" t="s">
        <v>17064</v>
      </c>
      <c r="C6995" s="5" t="s">
        <v>35</v>
      </c>
      <c r="D6995" s="5" t="s">
        <v>36</v>
      </c>
      <c r="E6995" s="5" t="s">
        <v>57</v>
      </c>
      <c r="F6995" s="9">
        <v>54</v>
      </c>
      <c r="G6995" s="9">
        <v>650</v>
      </c>
      <c r="H6995" s="5" t="s">
        <v>21</v>
      </c>
      <c r="I6995" s="5" t="s">
        <v>17065</v>
      </c>
      <c r="J6995" s="12" t="str">
        <f>HYPERLINK("https://www.boe.es/gazeta/dias/1802/07/06/pdfs/GMD-1802-54.pdf#page=6","Abrir facsímil")</f>
        <v>Abrir facsímil</v>
      </c>
      <c r="K6995" s="15" t="s">
        <v>23</v>
      </c>
    </row>
    <row r="6996" spans="1:11" ht="42" customHeight="1">
      <c r="A6996" s="4" t="s">
        <v>17066</v>
      </c>
      <c r="B6996" s="5" t="s">
        <v>17066</v>
      </c>
      <c r="C6996" s="5" t="s">
        <v>18</v>
      </c>
      <c r="D6996" s="5" t="s">
        <v>19</v>
      </c>
      <c r="E6996" s="5" t="s">
        <v>49</v>
      </c>
      <c r="F6996" s="9">
        <v>83</v>
      </c>
      <c r="G6996" s="9">
        <v>1025</v>
      </c>
      <c r="H6996" s="5" t="s">
        <v>21</v>
      </c>
      <c r="I6996" s="5" t="s">
        <v>17067</v>
      </c>
      <c r="J6996" s="12" t="str">
        <f>HYPERLINK("https://www.boe.es/gazeta/dias/1802/10/12/pdfs/GMD-1802-83.pdf#page=13","Abrir facsímil")</f>
        <v>Abrir facsímil</v>
      </c>
      <c r="K6996" s="15" t="s">
        <v>23</v>
      </c>
    </row>
    <row r="6997" spans="1:11" ht="42" customHeight="1">
      <c r="A6997" s="4" t="s">
        <v>17068</v>
      </c>
      <c r="B6997" s="5" t="s">
        <v>17068</v>
      </c>
      <c r="C6997" s="5" t="s">
        <v>29</v>
      </c>
      <c r="D6997" s="5" t="s">
        <v>30</v>
      </c>
      <c r="E6997" s="5" t="s">
        <v>196</v>
      </c>
      <c r="F6997" s="9">
        <v>2</v>
      </c>
      <c r="G6997" s="9">
        <v>17</v>
      </c>
      <c r="H6997" s="5" t="s">
        <v>21</v>
      </c>
      <c r="I6997" s="5" t="s">
        <v>17069</v>
      </c>
      <c r="J6997" s="12" t="str">
        <f>HYPERLINK("https://www.boe.es/gazeta/dias/1802/01/05/pdfs/GMD-1802-2.pdf#page=9","Abrir facsímil")</f>
        <v>Abrir facsímil</v>
      </c>
      <c r="K6997" s="15" t="s">
        <v>23</v>
      </c>
    </row>
    <row r="6998" spans="1:11" ht="42" customHeight="1">
      <c r="A6998" s="4" t="s">
        <v>17070</v>
      </c>
      <c r="B6998" s="5" t="s">
        <v>17070</v>
      </c>
      <c r="C6998" s="5" t="s">
        <v>42</v>
      </c>
      <c r="D6998" s="5" t="s">
        <v>43</v>
      </c>
      <c r="E6998" s="5" t="s">
        <v>44</v>
      </c>
      <c r="F6998" s="9">
        <v>99</v>
      </c>
      <c r="G6998" s="9" t="s">
        <v>78</v>
      </c>
      <c r="H6998" s="5" t="s">
        <v>21</v>
      </c>
      <c r="I6998" s="5" t="s">
        <v>17071</v>
      </c>
      <c r="J6998" s="12" t="str">
        <f>HYPERLINK("https://www.boe.es/gazeta/dias/1802/12/07/pdfs/GMD-D-1802-99.pdf#page=15","Abrir facsímil")</f>
        <v>Abrir facsímil</v>
      </c>
      <c r="K6998" s="15" t="s">
        <v>23</v>
      </c>
    </row>
    <row r="6999" spans="1:11" ht="42" customHeight="1">
      <c r="A6999" s="4" t="s">
        <v>17072</v>
      </c>
      <c r="B6999" s="5" t="s">
        <v>17073</v>
      </c>
      <c r="C6999" s="5" t="s">
        <v>90</v>
      </c>
      <c r="D6999" s="5" t="s">
        <v>91</v>
      </c>
      <c r="E6999" s="5" t="s">
        <v>921</v>
      </c>
      <c r="F6999" s="9">
        <v>50</v>
      </c>
      <c r="G6999" s="9">
        <v>610</v>
      </c>
      <c r="H6999" s="5" t="s">
        <v>21</v>
      </c>
      <c r="I6999" s="5" t="s">
        <v>17074</v>
      </c>
      <c r="J6999" s="12" t="str">
        <f>HYPERLINK("https://www.boe.es/gazeta/dias/1802/06/22/pdfs/GMD-1802-50.pdf#page=10","Abrir facsímil")</f>
        <v>Abrir facsímil</v>
      </c>
      <c r="K6999" s="15" t="s">
        <v>23</v>
      </c>
    </row>
    <row r="7000" spans="1:11" ht="42" customHeight="1">
      <c r="A7000" s="4" t="s">
        <v>17075</v>
      </c>
      <c r="B7000" s="5" t="s">
        <v>17075</v>
      </c>
      <c r="C7000" s="5" t="s">
        <v>55</v>
      </c>
      <c r="D7000" s="5" t="s">
        <v>56</v>
      </c>
      <c r="E7000" s="5" t="s">
        <v>1618</v>
      </c>
      <c r="F7000" s="9">
        <v>31</v>
      </c>
      <c r="G7000" s="9">
        <v>368</v>
      </c>
      <c r="H7000" s="5" t="s">
        <v>21</v>
      </c>
      <c r="I7000" s="5" t="s">
        <v>17076</v>
      </c>
      <c r="J7000" s="12" t="str">
        <f>HYPERLINK("https://www.boe.es/gazeta/dias/1802/04/16/pdfs/GMD-1802-31.pdf#page=12","Abrir facsímil")</f>
        <v>Abrir facsímil</v>
      </c>
      <c r="K7000" s="15" t="s">
        <v>23</v>
      </c>
    </row>
    <row r="7001" spans="1:11" ht="42" customHeight="1">
      <c r="A7001" s="4" t="s">
        <v>17077</v>
      </c>
      <c r="B7001" s="5" t="s">
        <v>17078</v>
      </c>
      <c r="C7001" s="5" t="s">
        <v>35</v>
      </c>
      <c r="D7001" s="5" t="s">
        <v>36</v>
      </c>
      <c r="E7001" s="5" t="s">
        <v>31</v>
      </c>
      <c r="F7001" s="9">
        <v>27</v>
      </c>
      <c r="G7001" s="9">
        <v>308</v>
      </c>
      <c r="H7001" s="5" t="s">
        <v>21</v>
      </c>
      <c r="I7001" s="5" t="s">
        <v>17079</v>
      </c>
      <c r="J7001" s="12" t="str">
        <f>HYPERLINK("https://www.boe.es/gazeta/dias/1802/04/02/pdfs/GMD-1802-27.pdf#page=4","Abrir facsímil")</f>
        <v>Abrir facsímil</v>
      </c>
      <c r="K7001" s="15" t="s">
        <v>23</v>
      </c>
    </row>
    <row r="7002" spans="1:11" ht="42" customHeight="1">
      <c r="A7002" s="4" t="s">
        <v>17080</v>
      </c>
      <c r="B7002" s="5" t="s">
        <v>17080</v>
      </c>
      <c r="C7002" s="5" t="s">
        <v>42</v>
      </c>
      <c r="D7002" s="5" t="s">
        <v>43</v>
      </c>
      <c r="E7002" s="5" t="s">
        <v>44</v>
      </c>
      <c r="F7002" s="9">
        <v>99</v>
      </c>
      <c r="G7002" s="9" t="s">
        <v>544</v>
      </c>
      <c r="H7002" s="5" t="s">
        <v>21</v>
      </c>
      <c r="I7002" s="5" t="s">
        <v>17081</v>
      </c>
      <c r="J7002" s="12" t="str">
        <f>HYPERLINK("https://www.boe.es/gazeta/dias/1802/12/07/pdfs/GMD-D-1802-99.pdf#page=11","Abrir facsímil")</f>
        <v>Abrir facsímil</v>
      </c>
      <c r="K7002" s="15" t="s">
        <v>23</v>
      </c>
    </row>
    <row r="7003" spans="1:11" ht="42" customHeight="1">
      <c r="A7003" s="4" t="s">
        <v>17082</v>
      </c>
      <c r="B7003" s="5" t="s">
        <v>17082</v>
      </c>
      <c r="C7003" s="5" t="s">
        <v>18</v>
      </c>
      <c r="D7003" s="5" t="s">
        <v>19</v>
      </c>
      <c r="E7003" s="5" t="s">
        <v>20</v>
      </c>
      <c r="F7003" s="9">
        <v>84</v>
      </c>
      <c r="G7003" s="9">
        <v>1044</v>
      </c>
      <c r="H7003" s="5" t="s">
        <v>21</v>
      </c>
      <c r="I7003" s="5" t="s">
        <v>17083</v>
      </c>
      <c r="J7003" s="12" t="str">
        <f>HYPERLINK("https://www.boe.es/gazeta/dias/1802/10/15/pdfs/GMD-1802-84.pdf#page=12","Abrir facsímil")</f>
        <v>Abrir facsímil</v>
      </c>
      <c r="K7003" s="15" t="s">
        <v>23</v>
      </c>
    </row>
    <row r="7004" spans="1:11" ht="42" customHeight="1">
      <c r="A7004" s="4" t="s">
        <v>17084</v>
      </c>
      <c r="B7004" s="5" t="s">
        <v>17084</v>
      </c>
      <c r="C7004" s="5" t="s">
        <v>18</v>
      </c>
      <c r="D7004" s="5" t="s">
        <v>19</v>
      </c>
      <c r="E7004" s="5" t="s">
        <v>49</v>
      </c>
      <c r="F7004" s="9">
        <v>83</v>
      </c>
      <c r="G7004" s="9">
        <v>1024</v>
      </c>
      <c r="H7004" s="5" t="s">
        <v>21</v>
      </c>
      <c r="I7004" s="5" t="s">
        <v>17085</v>
      </c>
      <c r="J7004" s="12" t="str">
        <f>HYPERLINK("https://www.boe.es/gazeta/dias/1802/10/12/pdfs/GMD-1802-83.pdf#page=12","Abrir facsímil")</f>
        <v>Abrir facsímil</v>
      </c>
      <c r="K7004" s="15" t="s">
        <v>23</v>
      </c>
    </row>
    <row r="7005" spans="1:11" ht="42" customHeight="1">
      <c r="A7005" s="4" t="s">
        <v>17086</v>
      </c>
      <c r="B7005" s="5" t="s">
        <v>17087</v>
      </c>
      <c r="C7005" s="5" t="s">
        <v>18</v>
      </c>
      <c r="D7005" s="5" t="s">
        <v>19</v>
      </c>
      <c r="E7005" s="5" t="s">
        <v>1381</v>
      </c>
      <c r="F7005" s="9">
        <v>17</v>
      </c>
      <c r="G7005" s="9">
        <v>186</v>
      </c>
      <c r="H7005" s="5" t="s">
        <v>21</v>
      </c>
      <c r="I7005" s="5" t="s">
        <v>17088</v>
      </c>
      <c r="J7005" s="12" t="str">
        <f>HYPERLINK("https://www.boe.es/gazeta/dias/1802/02/26/pdfs/GMD-1802-17.pdf#page=10","Abrir facsímil")</f>
        <v>Abrir facsímil</v>
      </c>
      <c r="K7005" s="15" t="s">
        <v>23</v>
      </c>
    </row>
    <row r="7006" spans="1:11" ht="42" customHeight="1">
      <c r="A7006" s="4" t="s">
        <v>17089</v>
      </c>
      <c r="B7006" s="5" t="s">
        <v>17090</v>
      </c>
      <c r="C7006" s="5" t="s">
        <v>29</v>
      </c>
      <c r="D7006" s="5" t="s">
        <v>30</v>
      </c>
      <c r="E7006" s="5" t="s">
        <v>530</v>
      </c>
      <c r="F7006" s="9">
        <v>48</v>
      </c>
      <c r="G7006" s="9">
        <v>579</v>
      </c>
      <c r="H7006" s="5" t="s">
        <v>21</v>
      </c>
      <c r="I7006" s="5" t="s">
        <v>17091</v>
      </c>
      <c r="J7006" s="12" t="str">
        <f>HYPERLINK("https://www.boe.es/gazeta/dias/1802/06/15/pdfs/GMD-1802-48.pdf#page=3","Abrir facsímil")</f>
        <v>Abrir facsímil</v>
      </c>
      <c r="K7006" s="15" t="s">
        <v>23</v>
      </c>
    </row>
    <row r="7007" spans="1:11" ht="42" customHeight="1">
      <c r="A7007" s="4" t="s">
        <v>17092</v>
      </c>
      <c r="B7007" s="5" t="s">
        <v>17093</v>
      </c>
      <c r="C7007" s="5" t="s">
        <v>35</v>
      </c>
      <c r="D7007" s="5" t="s">
        <v>36</v>
      </c>
      <c r="E7007" s="5" t="s">
        <v>491</v>
      </c>
      <c r="F7007" s="9">
        <v>57</v>
      </c>
      <c r="G7007" s="9">
        <v>688</v>
      </c>
      <c r="H7007" s="5" t="s">
        <v>21</v>
      </c>
      <c r="I7007" s="5" t="s">
        <v>17094</v>
      </c>
      <c r="J7007" s="12" t="str">
        <f>HYPERLINK("https://www.boe.es/gazeta/dias/1802/07/16/pdfs/GMD-1802-57.pdf#page=8","Abrir facsímil")</f>
        <v>Abrir facsímil</v>
      </c>
      <c r="K7007" s="15" t="s">
        <v>23</v>
      </c>
    </row>
    <row r="7008" spans="1:11" ht="42" customHeight="1">
      <c r="A7008" s="4" t="s">
        <v>17095</v>
      </c>
      <c r="B7008" s="5" t="s">
        <v>17096</v>
      </c>
      <c r="C7008" s="5" t="s">
        <v>18</v>
      </c>
      <c r="D7008" s="5" t="s">
        <v>19</v>
      </c>
      <c r="E7008" s="5" t="s">
        <v>175</v>
      </c>
      <c r="F7008" s="9">
        <v>37</v>
      </c>
      <c r="G7008" s="9">
        <v>442</v>
      </c>
      <c r="H7008" s="5" t="s">
        <v>21</v>
      </c>
      <c r="I7008" s="5" t="s">
        <v>17097</v>
      </c>
      <c r="J7008" s="12" t="str">
        <f>HYPERLINK("https://www.boe.es/gazeta/dias/1802/05/07/pdfs/GMD-1802-37.pdf#page=10","Abrir facsímil")</f>
        <v>Abrir facsímil</v>
      </c>
      <c r="K7008" s="15" t="s">
        <v>23</v>
      </c>
    </row>
    <row r="7009" spans="1:11" ht="42" customHeight="1">
      <c r="A7009" s="4" t="s">
        <v>17098</v>
      </c>
      <c r="B7009" s="5" t="s">
        <v>17099</v>
      </c>
      <c r="C7009" s="5" t="s">
        <v>42</v>
      </c>
      <c r="D7009" s="5" t="s">
        <v>43</v>
      </c>
      <c r="E7009" s="5" t="s">
        <v>44</v>
      </c>
      <c r="F7009" s="9">
        <v>99</v>
      </c>
      <c r="G7009" s="9" t="s">
        <v>272</v>
      </c>
      <c r="H7009" s="5" t="s">
        <v>21</v>
      </c>
      <c r="I7009" s="5" t="s">
        <v>17100</v>
      </c>
      <c r="J7009" s="12" t="str">
        <f>HYPERLINK("https://www.boe.es/gazeta/dias/1802/12/07/pdfs/GMD-D-1802-99.pdf#page=3","Abrir facsímil")</f>
        <v>Abrir facsímil</v>
      </c>
      <c r="K7009" s="15" t="s">
        <v>23</v>
      </c>
    </row>
    <row r="7010" spans="1:11" ht="42" customHeight="1">
      <c r="A7010" s="4" t="s">
        <v>17101</v>
      </c>
      <c r="B7010" s="5" t="s">
        <v>17102</v>
      </c>
      <c r="C7010" s="5" t="s">
        <v>18</v>
      </c>
      <c r="D7010" s="5" t="s">
        <v>19</v>
      </c>
      <c r="E7010" s="5" t="s">
        <v>635</v>
      </c>
      <c r="F7010" s="9">
        <v>47</v>
      </c>
      <c r="G7010" s="9">
        <v>573</v>
      </c>
      <c r="H7010" s="5" t="s">
        <v>21</v>
      </c>
      <c r="I7010" s="5" t="s">
        <v>17103</v>
      </c>
      <c r="J7010" s="12" t="str">
        <f>HYPERLINK("https://www.boe.es/gazeta/dias/1802/06/11/pdfs/GMD-1802-47.pdf#page=9","Abrir facsímil")</f>
        <v>Abrir facsímil</v>
      </c>
      <c r="K7010" s="15" t="s">
        <v>23</v>
      </c>
    </row>
    <row r="7011" spans="1:11" ht="42" customHeight="1">
      <c r="A7011" s="4" t="s">
        <v>17104</v>
      </c>
      <c r="B7011" s="5" t="s">
        <v>17105</v>
      </c>
      <c r="C7011" s="5" t="s">
        <v>18</v>
      </c>
      <c r="D7011" s="5" t="s">
        <v>19</v>
      </c>
      <c r="E7011" s="5" t="s">
        <v>128</v>
      </c>
      <c r="F7011" s="9">
        <v>9</v>
      </c>
      <c r="G7011" s="9">
        <v>88</v>
      </c>
      <c r="H7011" s="5" t="s">
        <v>21</v>
      </c>
      <c r="I7011" s="5" t="s">
        <v>17106</v>
      </c>
      <c r="J7011" s="12" t="str">
        <f>HYPERLINK("https://www.boe.es/gazeta/dias/1802/01/29/pdfs/GMD-1802-9.pdf#page=8","Abrir facsímil")</f>
        <v>Abrir facsímil</v>
      </c>
      <c r="K7011" s="15" t="s">
        <v>23</v>
      </c>
    </row>
    <row r="7012" spans="1:11" ht="42" customHeight="1">
      <c r="A7012" s="4" t="s">
        <v>17107</v>
      </c>
      <c r="B7012" s="5" t="s">
        <v>17108</v>
      </c>
      <c r="C7012" s="5" t="s">
        <v>18</v>
      </c>
      <c r="D7012" s="5" t="s">
        <v>19</v>
      </c>
      <c r="E7012" s="5" t="s">
        <v>152</v>
      </c>
      <c r="F7012" s="9">
        <v>25</v>
      </c>
      <c r="G7012" s="9">
        <v>284</v>
      </c>
      <c r="H7012" s="5" t="s">
        <v>21</v>
      </c>
      <c r="I7012" s="5" t="s">
        <v>17109</v>
      </c>
      <c r="J7012" s="12" t="str">
        <f>HYPERLINK("https://www.boe.es/gazeta/dias/1802/03/26/pdfs/GMD-1802-25.pdf#page=8","Abrir facsímil")</f>
        <v>Abrir facsímil</v>
      </c>
      <c r="K7012" s="15" t="s">
        <v>23</v>
      </c>
    </row>
    <row r="7013" spans="1:11" ht="42" customHeight="1">
      <c r="A7013" s="4" t="s">
        <v>17107</v>
      </c>
      <c r="B7013" s="5" t="s">
        <v>17108</v>
      </c>
      <c r="C7013" s="5" t="s">
        <v>18</v>
      </c>
      <c r="D7013" s="5" t="s">
        <v>19</v>
      </c>
      <c r="E7013" s="5" t="s">
        <v>152</v>
      </c>
      <c r="F7013" s="9">
        <v>25</v>
      </c>
      <c r="G7013" s="9">
        <v>285</v>
      </c>
      <c r="H7013" s="5" t="s">
        <v>21</v>
      </c>
      <c r="I7013" s="5" t="s">
        <v>17110</v>
      </c>
      <c r="J7013" s="12" t="str">
        <f>HYPERLINK("https://www.boe.es/gazeta/dias/1802/03/26/pdfs/GMD-1802-25.pdf#page=9","Abrir facsímil")</f>
        <v>Abrir facsímil</v>
      </c>
      <c r="K7013" s="15" t="s">
        <v>23</v>
      </c>
    </row>
    <row r="7014" spans="1:11" ht="42" customHeight="1">
      <c r="A7014" s="4" t="s">
        <v>17107</v>
      </c>
      <c r="B7014" s="5" t="s">
        <v>17108</v>
      </c>
      <c r="C7014" s="5" t="s">
        <v>160</v>
      </c>
      <c r="D7014" s="5" t="s">
        <v>91</v>
      </c>
      <c r="E7014" s="5" t="s">
        <v>148</v>
      </c>
      <c r="F7014" s="9">
        <v>66</v>
      </c>
      <c r="G7014" s="9">
        <v>808</v>
      </c>
      <c r="H7014" s="5" t="s">
        <v>21</v>
      </c>
      <c r="I7014" s="5" t="s">
        <v>17111</v>
      </c>
      <c r="J7014" s="12" t="str">
        <f>HYPERLINK("https://www.boe.es/gazeta/dias/1802/08/13/pdfs/GMD-1802-66.pdf#page=12","Abrir facsímil")</f>
        <v>Abrir facsímil</v>
      </c>
      <c r="K7014" s="15" t="s">
        <v>23</v>
      </c>
    </row>
    <row r="7015" spans="1:11" ht="42" customHeight="1">
      <c r="A7015" s="4" t="s">
        <v>17107</v>
      </c>
      <c r="B7015" s="5" t="s">
        <v>17108</v>
      </c>
      <c r="C7015" s="5" t="s">
        <v>18</v>
      </c>
      <c r="D7015" s="5" t="s">
        <v>19</v>
      </c>
      <c r="E7015" s="5" t="s">
        <v>826</v>
      </c>
      <c r="F7015" s="9">
        <v>67</v>
      </c>
      <c r="G7015" s="9">
        <v>819</v>
      </c>
      <c r="H7015" s="5" t="s">
        <v>21</v>
      </c>
      <c r="I7015" s="5" t="s">
        <v>17112</v>
      </c>
      <c r="J7015" s="12" t="str">
        <f>HYPERLINK("https://www.boe.es/gazeta/dias/1802/08/17/pdfs/GMD-1802-67.pdf#page=7","Abrir facsímil")</f>
        <v>Abrir facsímil</v>
      </c>
      <c r="K7015" s="15" t="s">
        <v>23</v>
      </c>
    </row>
    <row r="7016" spans="1:11" ht="42" customHeight="1">
      <c r="A7016" s="4" t="s">
        <v>17113</v>
      </c>
      <c r="B7016" s="5" t="s">
        <v>17114</v>
      </c>
      <c r="C7016" s="5" t="s">
        <v>29</v>
      </c>
      <c r="D7016" s="5" t="s">
        <v>30</v>
      </c>
      <c r="E7016" s="5" t="s">
        <v>181</v>
      </c>
      <c r="F7016" s="9">
        <v>55</v>
      </c>
      <c r="G7016" s="9">
        <v>668</v>
      </c>
      <c r="H7016" s="5" t="s">
        <v>21</v>
      </c>
      <c r="I7016" s="5" t="s">
        <v>17115</v>
      </c>
      <c r="J7016" s="12" t="str">
        <f>HYPERLINK("https://www.boe.es/gazeta/dias/1802/07/09/pdfs/GMD-1802-55.pdf#page=12","Abrir facsímil")</f>
        <v>Abrir facsímil</v>
      </c>
      <c r="K7016" s="15" t="s">
        <v>23</v>
      </c>
    </row>
    <row r="7017" spans="1:11" ht="42" customHeight="1">
      <c r="A7017" s="4" t="s">
        <v>17116</v>
      </c>
      <c r="B7017" s="5" t="s">
        <v>17116</v>
      </c>
      <c r="C7017" s="5" t="s">
        <v>55</v>
      </c>
      <c r="D7017" s="5" t="s">
        <v>56</v>
      </c>
      <c r="E7017" s="5" t="s">
        <v>49</v>
      </c>
      <c r="F7017" s="9">
        <v>83</v>
      </c>
      <c r="G7017" s="9">
        <v>1024</v>
      </c>
      <c r="H7017" s="5" t="s">
        <v>21</v>
      </c>
      <c r="I7017" s="5" t="s">
        <v>17117</v>
      </c>
      <c r="J7017" s="12" t="str">
        <f>HYPERLINK("https://www.boe.es/gazeta/dias/1802/10/12/pdfs/GMD-1802-83.pdf#page=12","Abrir facsímil")</f>
        <v>Abrir facsímil</v>
      </c>
      <c r="K7017" s="15" t="s">
        <v>23</v>
      </c>
    </row>
    <row r="7018" spans="1:11" ht="42" customHeight="1">
      <c r="A7018" s="4" t="s">
        <v>17118</v>
      </c>
      <c r="B7018" s="5" t="s">
        <v>17119</v>
      </c>
      <c r="C7018" s="5" t="s">
        <v>90</v>
      </c>
      <c r="D7018" s="5" t="s">
        <v>91</v>
      </c>
      <c r="E7018" s="5" t="s">
        <v>1264</v>
      </c>
      <c r="F7018" s="9">
        <v>105</v>
      </c>
      <c r="G7018" s="9">
        <v>1288</v>
      </c>
      <c r="H7018" s="5" t="s">
        <v>21</v>
      </c>
      <c r="I7018" s="5" t="s">
        <v>17120</v>
      </c>
      <c r="J7018" s="12" t="str">
        <f>HYPERLINK("https://www.boe.es/gazeta/dias/1802/12/28/pdfs/GMD-1802-105.pdf#page=12","Abrir facsímil")</f>
        <v>Abrir facsímil</v>
      </c>
      <c r="K7018" s="15" t="s">
        <v>23</v>
      </c>
    </row>
    <row r="7019" spans="1:11" ht="42" customHeight="1">
      <c r="A7019" s="4" t="s">
        <v>17121</v>
      </c>
      <c r="B7019" s="5" t="s">
        <v>17122</v>
      </c>
      <c r="C7019" s="5" t="s">
        <v>18</v>
      </c>
      <c r="D7019" s="5" t="s">
        <v>19</v>
      </c>
      <c r="E7019" s="5" t="s">
        <v>31</v>
      </c>
      <c r="F7019" s="9">
        <v>27</v>
      </c>
      <c r="G7019" s="9">
        <v>317</v>
      </c>
      <c r="H7019" s="5" t="s">
        <v>21</v>
      </c>
      <c r="I7019" s="5" t="s">
        <v>17123</v>
      </c>
      <c r="J7019" s="12" t="str">
        <f>HYPERLINK("https://www.boe.es/gazeta/dias/1802/04/02/pdfs/GMD-1802-27.pdf#page=13","Abrir facsímil")</f>
        <v>Abrir facsímil</v>
      </c>
      <c r="K7019" s="15" t="s">
        <v>23</v>
      </c>
    </row>
    <row r="7020" spans="1:11" ht="42" customHeight="1">
      <c r="A7020" s="4" t="s">
        <v>17124</v>
      </c>
      <c r="B7020" s="5" t="s">
        <v>17125</v>
      </c>
      <c r="C7020" s="5" t="s">
        <v>18</v>
      </c>
      <c r="D7020" s="5" t="s">
        <v>19</v>
      </c>
      <c r="E7020" s="5" t="s">
        <v>49</v>
      </c>
      <c r="F7020" s="9">
        <v>83</v>
      </c>
      <c r="G7020" s="9">
        <v>1023</v>
      </c>
      <c r="H7020" s="5" t="s">
        <v>21</v>
      </c>
      <c r="I7020" s="5" t="s">
        <v>17126</v>
      </c>
      <c r="J7020" s="12" t="str">
        <f>HYPERLINK("https://www.boe.es/gazeta/dias/1802/10/12/pdfs/GMD-1802-83.pdf#page=11","Abrir facsímil")</f>
        <v>Abrir facsímil</v>
      </c>
      <c r="K7020" s="15" t="s">
        <v>23</v>
      </c>
    </row>
    <row r="7021" spans="1:11" ht="42" customHeight="1">
      <c r="A7021" s="4" t="s">
        <v>17127</v>
      </c>
      <c r="B7021" s="5" t="s">
        <v>17127</v>
      </c>
      <c r="C7021" s="5" t="s">
        <v>35</v>
      </c>
      <c r="D7021" s="5" t="s">
        <v>36</v>
      </c>
      <c r="E7021" s="5" t="s">
        <v>1097</v>
      </c>
      <c r="F7021" s="9">
        <v>20</v>
      </c>
      <c r="G7021" s="9">
        <v>214</v>
      </c>
      <c r="H7021" s="5" t="s">
        <v>21</v>
      </c>
      <c r="I7021" s="5" t="s">
        <v>17128</v>
      </c>
      <c r="J7021" s="12" t="str">
        <f>HYPERLINK("https://www.boe.es/gazeta/dias/1802/03/09/pdfs/GMD-1802-20.pdf#page=2","Abrir facsímil")</f>
        <v>Abrir facsímil</v>
      </c>
      <c r="K7021" s="15" t="s">
        <v>23</v>
      </c>
    </row>
    <row r="7022" spans="1:11" ht="42" customHeight="1">
      <c r="A7022" s="4" t="s">
        <v>17129</v>
      </c>
      <c r="B7022" s="5" t="s">
        <v>17130</v>
      </c>
      <c r="C7022" s="5" t="s">
        <v>18</v>
      </c>
      <c r="D7022" s="5" t="s">
        <v>19</v>
      </c>
      <c r="E7022" s="5" t="s">
        <v>670</v>
      </c>
      <c r="F7022" s="9">
        <v>40</v>
      </c>
      <c r="G7022" s="9">
        <v>476</v>
      </c>
      <c r="H7022" s="5" t="s">
        <v>21</v>
      </c>
      <c r="I7022" s="5" t="s">
        <v>17131</v>
      </c>
      <c r="J7022" s="12" t="str">
        <f>HYPERLINK("https://www.boe.es/gazeta/dias/1802/05/18/pdfs/GMD-1802-40.pdf#page=4","Abrir facsímil")</f>
        <v>Abrir facsímil</v>
      </c>
      <c r="K7022" s="15" t="s">
        <v>23</v>
      </c>
    </row>
    <row r="7023" spans="1:11" ht="42" customHeight="1">
      <c r="A7023" s="4" t="s">
        <v>17132</v>
      </c>
      <c r="B7023" s="5" t="s">
        <v>17133</v>
      </c>
      <c r="C7023" s="5" t="s">
        <v>160</v>
      </c>
      <c r="D7023" s="5" t="s">
        <v>91</v>
      </c>
      <c r="E7023" s="5" t="s">
        <v>1264</v>
      </c>
      <c r="F7023" s="9">
        <v>105</v>
      </c>
      <c r="G7023" s="9">
        <v>1285</v>
      </c>
      <c r="H7023" s="5" t="s">
        <v>21</v>
      </c>
      <c r="I7023" s="5" t="s">
        <v>17134</v>
      </c>
      <c r="J7023" s="12" t="str">
        <f>HYPERLINK("https://www.boe.es/gazeta/dias/1802/12/28/pdfs/GMD-1802-105.pdf#page=9","Abrir facsímil")</f>
        <v>Abrir facsímil</v>
      </c>
      <c r="K7023" s="15" t="s">
        <v>23</v>
      </c>
    </row>
    <row r="7024" spans="1:11" ht="42" customHeight="1">
      <c r="A7024" s="4" t="s">
        <v>17135</v>
      </c>
      <c r="B7024" s="5" t="s">
        <v>17136</v>
      </c>
      <c r="C7024" s="5" t="s">
        <v>35</v>
      </c>
      <c r="D7024" s="5" t="s">
        <v>36</v>
      </c>
      <c r="E7024" s="5" t="s">
        <v>188</v>
      </c>
      <c r="F7024" s="9">
        <v>49</v>
      </c>
      <c r="G7024" s="9">
        <v>595</v>
      </c>
      <c r="H7024" s="5" t="s">
        <v>21</v>
      </c>
      <c r="I7024" s="5" t="s">
        <v>17137</v>
      </c>
      <c r="J7024" s="12" t="str">
        <f>HYPERLINK("https://www.boe.es/gazeta/dias/1802/06/18/pdfs/GMD-1802-49.pdf#page=7","Abrir facsímil")</f>
        <v>Abrir facsímil</v>
      </c>
      <c r="K7024" s="15" t="s">
        <v>23</v>
      </c>
    </row>
    <row r="7025" spans="1:11" ht="42" customHeight="1">
      <c r="A7025" s="4" t="s">
        <v>17138</v>
      </c>
      <c r="B7025" s="5" t="s">
        <v>17138</v>
      </c>
      <c r="C7025" s="5" t="s">
        <v>18</v>
      </c>
      <c r="D7025" s="5" t="s">
        <v>19</v>
      </c>
      <c r="E7025" s="5" t="s">
        <v>635</v>
      </c>
      <c r="F7025" s="9">
        <v>47</v>
      </c>
      <c r="G7025" s="9">
        <v>567</v>
      </c>
      <c r="H7025" s="5" t="s">
        <v>21</v>
      </c>
      <c r="I7025" s="5" t="s">
        <v>17139</v>
      </c>
      <c r="J7025" s="12" t="str">
        <f>HYPERLINK("https://www.boe.es/gazeta/dias/1802/06/11/pdfs/GMD-1802-47.pdf#page=3","Abrir facsímil")</f>
        <v>Abrir facsímil</v>
      </c>
      <c r="K7025" s="15" t="s">
        <v>23</v>
      </c>
    </row>
    <row r="7026" spans="1:11" ht="42" customHeight="1">
      <c r="A7026" s="4" t="s">
        <v>17140</v>
      </c>
      <c r="B7026" s="5" t="s">
        <v>17141</v>
      </c>
      <c r="C7026" s="5" t="s">
        <v>35</v>
      </c>
      <c r="D7026" s="5" t="s">
        <v>36</v>
      </c>
      <c r="E7026" s="5" t="s">
        <v>92</v>
      </c>
      <c r="F7026" s="9">
        <v>29</v>
      </c>
      <c r="G7026" s="9">
        <v>338</v>
      </c>
      <c r="H7026" s="5" t="s">
        <v>21</v>
      </c>
      <c r="I7026" s="5" t="s">
        <v>17142</v>
      </c>
      <c r="J7026" s="12" t="str">
        <f>HYPERLINK("https://www.boe.es/gazeta/dias/1802/04/09/pdfs/GMD-1802-29.pdf#page=6","Abrir facsímil")</f>
        <v>Abrir facsímil</v>
      </c>
      <c r="K7026" s="15" t="s">
        <v>23</v>
      </c>
    </row>
    <row r="7027" spans="1:11" ht="42" customHeight="1">
      <c r="A7027" s="4" t="s">
        <v>17140</v>
      </c>
      <c r="B7027" s="5" t="s">
        <v>17141</v>
      </c>
      <c r="C7027" s="5" t="s">
        <v>35</v>
      </c>
      <c r="D7027" s="5" t="s">
        <v>36</v>
      </c>
      <c r="E7027" s="5" t="s">
        <v>1618</v>
      </c>
      <c r="F7027" s="9">
        <v>31</v>
      </c>
      <c r="G7027" s="9">
        <v>362</v>
      </c>
      <c r="H7027" s="5" t="s">
        <v>21</v>
      </c>
      <c r="I7027" s="5" t="s">
        <v>17143</v>
      </c>
      <c r="J7027" s="12" t="str">
        <f>HYPERLINK("https://www.boe.es/gazeta/dias/1802/04/16/pdfs/GMD-1802-31.pdf#page=6","Abrir facsímil")</f>
        <v>Abrir facsímil</v>
      </c>
      <c r="K7027" s="15" t="s">
        <v>23</v>
      </c>
    </row>
    <row r="7028" spans="1:11" ht="42" customHeight="1">
      <c r="A7028" s="4" t="s">
        <v>17144</v>
      </c>
      <c r="B7028" s="5" t="s">
        <v>17145</v>
      </c>
      <c r="C7028" s="5" t="s">
        <v>29</v>
      </c>
      <c r="D7028" s="5" t="s">
        <v>30</v>
      </c>
      <c r="E7028" s="5" t="s">
        <v>49</v>
      </c>
      <c r="F7028" s="9">
        <v>83</v>
      </c>
      <c r="G7028" s="9">
        <v>1027</v>
      </c>
      <c r="H7028" s="5" t="s">
        <v>21</v>
      </c>
      <c r="I7028" s="5" t="s">
        <v>17146</v>
      </c>
      <c r="J7028" s="12" t="str">
        <f>HYPERLINK("https://www.boe.es/gazeta/dias/1802/10/12/pdfs/GMD-1802-83.pdf#page=15","Abrir facsímil")</f>
        <v>Abrir facsímil</v>
      </c>
      <c r="K7028" s="15" t="s">
        <v>23</v>
      </c>
    </row>
    <row r="7029" spans="1:11" ht="42" customHeight="1">
      <c r="A7029" s="4" t="s">
        <v>17147</v>
      </c>
      <c r="B7029" s="5" t="s">
        <v>17148</v>
      </c>
      <c r="C7029" s="5" t="s">
        <v>18</v>
      </c>
      <c r="D7029" s="5" t="s">
        <v>19</v>
      </c>
      <c r="E7029" s="5" t="s">
        <v>49</v>
      </c>
      <c r="F7029" s="9">
        <v>83</v>
      </c>
      <c r="G7029" s="9">
        <v>1025</v>
      </c>
      <c r="H7029" s="5" t="s">
        <v>21</v>
      </c>
      <c r="I7029" s="5" t="s">
        <v>17149</v>
      </c>
      <c r="J7029" s="12" t="str">
        <f>HYPERLINK("https://www.boe.es/gazeta/dias/1802/10/12/pdfs/GMD-1802-83.pdf#page=13","Abrir facsímil")</f>
        <v>Abrir facsímil</v>
      </c>
      <c r="K7029" s="15" t="s">
        <v>23</v>
      </c>
    </row>
    <row r="7030" spans="1:11" ht="42" customHeight="1">
      <c r="A7030" s="4" t="s">
        <v>17150</v>
      </c>
      <c r="B7030" s="5" t="s">
        <v>17151</v>
      </c>
      <c r="C7030" s="5" t="s">
        <v>29</v>
      </c>
      <c r="D7030" s="5" t="s">
        <v>30</v>
      </c>
      <c r="E7030" s="5" t="s">
        <v>1097</v>
      </c>
      <c r="F7030" s="9">
        <v>20</v>
      </c>
      <c r="G7030" s="9">
        <v>222</v>
      </c>
      <c r="H7030" s="5" t="s">
        <v>21</v>
      </c>
      <c r="I7030" s="5" t="s">
        <v>17152</v>
      </c>
      <c r="J7030" s="12" t="str">
        <f>HYPERLINK("https://www.boe.es/gazeta/dias/1802/03/09/pdfs/GMD-1802-20.pdf#page=10","Abrir facsímil")</f>
        <v>Abrir facsímil</v>
      </c>
      <c r="K7030" s="15" t="s">
        <v>23</v>
      </c>
    </row>
    <row r="7031" spans="1:11" ht="42" customHeight="1">
      <c r="A7031" s="4" t="s">
        <v>17153</v>
      </c>
      <c r="B7031" s="5" t="s">
        <v>17154</v>
      </c>
      <c r="C7031" s="5" t="s">
        <v>29</v>
      </c>
      <c r="D7031" s="5" t="s">
        <v>30</v>
      </c>
      <c r="E7031" s="5" t="s">
        <v>900</v>
      </c>
      <c r="F7031" s="9">
        <v>16</v>
      </c>
      <c r="G7031" s="9">
        <v>169</v>
      </c>
      <c r="H7031" s="5" t="s">
        <v>21</v>
      </c>
      <c r="I7031" s="5" t="s">
        <v>17155</v>
      </c>
      <c r="J7031" s="12" t="str">
        <f>HYPERLINK("https://www.boe.es/gazeta/dias/1802/02/23/pdfs/GMD-1802-16.pdf#page=9","Abrir facsímil")</f>
        <v>Abrir facsímil</v>
      </c>
      <c r="K7031" s="15" t="s">
        <v>23</v>
      </c>
    </row>
    <row r="7032" spans="1:11" ht="42" customHeight="1">
      <c r="A7032" s="4" t="s">
        <v>17156</v>
      </c>
      <c r="B7032" s="5" t="s">
        <v>17157</v>
      </c>
      <c r="C7032" s="5" t="s">
        <v>42</v>
      </c>
      <c r="D7032" s="5" t="s">
        <v>43</v>
      </c>
      <c r="E7032" s="5" t="s">
        <v>44</v>
      </c>
      <c r="F7032" s="9">
        <v>99</v>
      </c>
      <c r="G7032" s="9" t="s">
        <v>537</v>
      </c>
      <c r="H7032" s="5" t="s">
        <v>21</v>
      </c>
      <c r="I7032" s="5" t="s">
        <v>17158</v>
      </c>
      <c r="J7032" s="12" t="str">
        <f>HYPERLINK("https://www.boe.es/gazeta/dias/1802/12/07/pdfs/GMD-D-1802-99.pdf#page=9","Abrir facsímil")</f>
        <v>Abrir facsímil</v>
      </c>
      <c r="K7032" s="15" t="s">
        <v>23</v>
      </c>
    </row>
    <row r="7033" spans="1:11" ht="42" customHeight="1">
      <c r="A7033" s="4" t="s">
        <v>17159</v>
      </c>
      <c r="B7033" s="5" t="s">
        <v>17160</v>
      </c>
      <c r="C7033" s="5" t="s">
        <v>29</v>
      </c>
      <c r="D7033" s="5" t="s">
        <v>30</v>
      </c>
      <c r="E7033" s="5" t="s">
        <v>328</v>
      </c>
      <c r="F7033" s="9">
        <v>45</v>
      </c>
      <c r="G7033" s="9">
        <v>545</v>
      </c>
      <c r="H7033" s="5" t="s">
        <v>21</v>
      </c>
      <c r="I7033" s="5" t="s">
        <v>17161</v>
      </c>
      <c r="J7033" s="12" t="str">
        <f>HYPERLINK("https://www.boe.es/gazeta/dias/1802/06/04/pdfs/GMD-1802-45.pdf#page=9","Abrir facsímil")</f>
        <v>Abrir facsímil</v>
      </c>
      <c r="K7033" s="15" t="s">
        <v>23</v>
      </c>
    </row>
    <row r="7034" spans="1:11" ht="42" customHeight="1">
      <c r="A7034" s="4" t="s">
        <v>17162</v>
      </c>
      <c r="B7034" s="5" t="s">
        <v>17163</v>
      </c>
      <c r="C7034" s="5" t="s">
        <v>18</v>
      </c>
      <c r="D7034" s="5" t="s">
        <v>19</v>
      </c>
      <c r="E7034" s="5" t="s">
        <v>49</v>
      </c>
      <c r="F7034" s="9">
        <v>83</v>
      </c>
      <c r="G7034" s="9">
        <v>1023</v>
      </c>
      <c r="H7034" s="5" t="s">
        <v>21</v>
      </c>
      <c r="I7034" s="5" t="s">
        <v>17164</v>
      </c>
      <c r="J7034" s="12" t="str">
        <f>HYPERLINK("https://www.boe.es/gazeta/dias/1802/10/12/pdfs/GMD-1802-83.pdf#page=11","Abrir facsímil")</f>
        <v>Abrir facsímil</v>
      </c>
      <c r="K7034" s="15" t="s">
        <v>23</v>
      </c>
    </row>
    <row r="7035" spans="1:11" ht="42" customHeight="1">
      <c r="A7035" s="4" t="s">
        <v>17165</v>
      </c>
      <c r="B7035" s="5" t="s">
        <v>17166</v>
      </c>
      <c r="C7035" s="5" t="s">
        <v>29</v>
      </c>
      <c r="D7035" s="5" t="s">
        <v>30</v>
      </c>
      <c r="E7035" s="5" t="s">
        <v>247</v>
      </c>
      <c r="F7035" s="9">
        <v>14</v>
      </c>
      <c r="G7035" s="9">
        <v>145</v>
      </c>
      <c r="H7035" s="5" t="s">
        <v>21</v>
      </c>
      <c r="I7035" s="5" t="s">
        <v>17167</v>
      </c>
      <c r="J7035" s="12" t="str">
        <f>HYPERLINK("https://www.boe.es/gazeta/dias/1802/02/16/pdfs/GMD-1802-14.pdf#page=9","Abrir facsímil")</f>
        <v>Abrir facsímil</v>
      </c>
      <c r="K7035" s="15" t="s">
        <v>23</v>
      </c>
    </row>
    <row r="7036" spans="1:11" ht="42" customHeight="1">
      <c r="A7036" s="4" t="s">
        <v>17168</v>
      </c>
      <c r="B7036" s="5" t="s">
        <v>17169</v>
      </c>
      <c r="C7036" s="5" t="s">
        <v>18</v>
      </c>
      <c r="D7036" s="5" t="s">
        <v>19</v>
      </c>
      <c r="E7036" s="5" t="s">
        <v>49</v>
      </c>
      <c r="F7036" s="9">
        <v>83</v>
      </c>
      <c r="G7036" s="9">
        <v>1024</v>
      </c>
      <c r="H7036" s="5" t="s">
        <v>21</v>
      </c>
      <c r="I7036" s="5" t="s">
        <v>17170</v>
      </c>
      <c r="J7036" s="12" t="str">
        <f>HYPERLINK("https://www.boe.es/gazeta/dias/1802/10/12/pdfs/GMD-1802-83.pdf#page=12","Abrir facsímil")</f>
        <v>Abrir facsímil</v>
      </c>
      <c r="K7036" s="15" t="s">
        <v>23</v>
      </c>
    </row>
    <row r="7037" spans="1:11" ht="42" customHeight="1">
      <c r="A7037" s="4" t="s">
        <v>17171</v>
      </c>
      <c r="B7037" s="5" t="s">
        <v>17172</v>
      </c>
      <c r="C7037" s="5" t="s">
        <v>42</v>
      </c>
      <c r="D7037" s="5" t="s">
        <v>43</v>
      </c>
      <c r="E7037" s="5" t="s">
        <v>44</v>
      </c>
      <c r="F7037" s="9">
        <v>99</v>
      </c>
      <c r="G7037" s="9" t="s">
        <v>554</v>
      </c>
      <c r="H7037" s="5" t="s">
        <v>21</v>
      </c>
      <c r="I7037" s="5" t="s">
        <v>17173</v>
      </c>
      <c r="J7037" s="12" t="str">
        <f>HYPERLINK("https://www.boe.es/gazeta/dias/1802/12/07/pdfs/GMD-D-1802-99.pdf#page=4","Abrir facsímil")</f>
        <v>Abrir facsímil</v>
      </c>
      <c r="K7037" s="15" t="s">
        <v>23</v>
      </c>
    </row>
    <row r="7038" spans="1:11" ht="42" customHeight="1">
      <c r="A7038" s="4" t="s">
        <v>17174</v>
      </c>
      <c r="B7038" s="5" t="s">
        <v>17175</v>
      </c>
      <c r="C7038" s="5" t="s">
        <v>18</v>
      </c>
      <c r="D7038" s="5" t="s">
        <v>19</v>
      </c>
      <c r="E7038" s="5" t="s">
        <v>1407</v>
      </c>
      <c r="F7038" s="9">
        <v>8</v>
      </c>
      <c r="G7038" s="9">
        <v>79</v>
      </c>
      <c r="H7038" s="5" t="s">
        <v>21</v>
      </c>
      <c r="I7038" s="5" t="s">
        <v>17176</v>
      </c>
      <c r="J7038" s="12" t="str">
        <f>HYPERLINK("https://www.boe.es/gazeta/dias/1802/01/26/pdfs/GMD-1802-8.pdf#page=7","Abrir facsímil")</f>
        <v>Abrir facsímil</v>
      </c>
      <c r="K7038" s="15" t="s">
        <v>23</v>
      </c>
    </row>
    <row r="7039" spans="1:11" ht="42" customHeight="1">
      <c r="A7039" s="4" t="s">
        <v>17177</v>
      </c>
      <c r="B7039" s="5" t="s">
        <v>17178</v>
      </c>
      <c r="C7039" s="5" t="s">
        <v>29</v>
      </c>
      <c r="D7039" s="5" t="s">
        <v>30</v>
      </c>
      <c r="E7039" s="5" t="s">
        <v>749</v>
      </c>
      <c r="F7039" s="9">
        <v>97</v>
      </c>
      <c r="G7039" s="9">
        <v>1203</v>
      </c>
      <c r="H7039" s="5" t="s">
        <v>21</v>
      </c>
      <c r="I7039" s="5" t="s">
        <v>17179</v>
      </c>
      <c r="J7039" s="12" t="str">
        <f>HYPERLINK("https://www.boe.es/gazeta/dias/1802/11/30/pdfs/GMD-1802-97.pdf#page=11","Abrir facsímil")</f>
        <v>Abrir facsímil</v>
      </c>
      <c r="K7039" s="15" t="s">
        <v>23</v>
      </c>
    </row>
    <row r="7040" spans="1:11" ht="42" customHeight="1">
      <c r="A7040" s="4" t="s">
        <v>17180</v>
      </c>
      <c r="B7040" s="5" t="s">
        <v>17181</v>
      </c>
      <c r="C7040" s="5" t="s">
        <v>42</v>
      </c>
      <c r="D7040" s="5" t="s">
        <v>43</v>
      </c>
      <c r="E7040" s="5" t="s">
        <v>44</v>
      </c>
      <c r="F7040" s="9">
        <v>99</v>
      </c>
      <c r="G7040" s="9" t="s">
        <v>78</v>
      </c>
      <c r="H7040" s="5" t="s">
        <v>21</v>
      </c>
      <c r="I7040" s="5" t="s">
        <v>17182</v>
      </c>
      <c r="J7040" s="12" t="str">
        <f>HYPERLINK("https://www.boe.es/gazeta/dias/1802/12/07/pdfs/GMD-D-1802-99.pdf#page=15","Abrir facsímil")</f>
        <v>Abrir facsímil</v>
      </c>
      <c r="K7040" s="15" t="s">
        <v>23</v>
      </c>
    </row>
    <row r="7041" spans="1:11" ht="42" customHeight="1">
      <c r="A7041" s="4" t="s">
        <v>17183</v>
      </c>
      <c r="B7041" s="5" t="s">
        <v>17184</v>
      </c>
      <c r="C7041" s="5" t="s">
        <v>90</v>
      </c>
      <c r="D7041" s="5" t="s">
        <v>91</v>
      </c>
      <c r="E7041" s="5" t="s">
        <v>1264</v>
      </c>
      <c r="F7041" s="9">
        <v>105</v>
      </c>
      <c r="G7041" s="9">
        <v>1286</v>
      </c>
      <c r="H7041" s="5" t="s">
        <v>21</v>
      </c>
      <c r="I7041" s="5" t="s">
        <v>17185</v>
      </c>
      <c r="J7041" s="12" t="str">
        <f>HYPERLINK("https://www.boe.es/gazeta/dias/1802/12/28/pdfs/GMD-1802-105.pdf#page=10","Abrir facsímil")</f>
        <v>Abrir facsímil</v>
      </c>
      <c r="K7041" s="15" t="s">
        <v>23</v>
      </c>
    </row>
    <row r="7042" spans="1:11" ht="42" customHeight="1">
      <c r="A7042" s="4" t="s">
        <v>17186</v>
      </c>
      <c r="B7042" s="5" t="s">
        <v>17187</v>
      </c>
      <c r="C7042" s="5" t="s">
        <v>35</v>
      </c>
      <c r="D7042" s="5" t="s">
        <v>36</v>
      </c>
      <c r="E7042" s="5" t="s">
        <v>133</v>
      </c>
      <c r="F7042" s="9">
        <v>33</v>
      </c>
      <c r="G7042" s="9">
        <v>385</v>
      </c>
      <c r="H7042" s="5" t="s">
        <v>21</v>
      </c>
      <c r="I7042" s="5" t="s">
        <v>17188</v>
      </c>
      <c r="J7042" s="12" t="str">
        <f>HYPERLINK("https://www.boe.es/gazeta/dias/1802/04/23/pdfs/GMD-1802-33.pdf#page=5","Abrir facsímil")</f>
        <v>Abrir facsímil</v>
      </c>
      <c r="K7042" s="15" t="s">
        <v>23</v>
      </c>
    </row>
    <row r="7043" spans="1:11" ht="42" customHeight="1">
      <c r="A7043" s="4" t="s">
        <v>17189</v>
      </c>
      <c r="B7043" s="5" t="s">
        <v>17190</v>
      </c>
      <c r="C7043" s="5" t="s">
        <v>35</v>
      </c>
      <c r="D7043" s="5" t="s">
        <v>36</v>
      </c>
      <c r="E7043" s="5" t="s">
        <v>31</v>
      </c>
      <c r="F7043" s="9">
        <v>27</v>
      </c>
      <c r="G7043" s="9">
        <v>313</v>
      </c>
      <c r="H7043" s="5" t="s">
        <v>21</v>
      </c>
      <c r="I7043" s="5" t="s">
        <v>17191</v>
      </c>
      <c r="J7043" s="12" t="str">
        <f>HYPERLINK("https://www.boe.es/gazeta/dias/1802/04/02/pdfs/GMD-1802-27.pdf#page=9","Abrir facsímil")</f>
        <v>Abrir facsímil</v>
      </c>
      <c r="K7043" s="15" t="s">
        <v>23</v>
      </c>
    </row>
    <row r="7044" spans="1:11" ht="42" customHeight="1">
      <c r="A7044" s="4" t="s">
        <v>17189</v>
      </c>
      <c r="B7044" s="5" t="s">
        <v>17190</v>
      </c>
      <c r="C7044" s="5" t="s">
        <v>35</v>
      </c>
      <c r="D7044" s="5" t="s">
        <v>36</v>
      </c>
      <c r="E7044" s="5" t="s">
        <v>31</v>
      </c>
      <c r="F7044" s="9">
        <v>27</v>
      </c>
      <c r="G7044" s="9">
        <v>314</v>
      </c>
      <c r="H7044" s="5" t="s">
        <v>21</v>
      </c>
      <c r="I7044" s="5" t="s">
        <v>17192</v>
      </c>
      <c r="J7044" s="12" t="str">
        <f>HYPERLINK("https://www.boe.es/gazeta/dias/1802/04/02/pdfs/GMD-1802-27.pdf#page=10","Abrir facsímil")</f>
        <v>Abrir facsímil</v>
      </c>
      <c r="K7044" s="15" t="s">
        <v>23</v>
      </c>
    </row>
    <row r="7045" spans="1:11" ht="42" customHeight="1">
      <c r="A7045" s="4" t="s">
        <v>17189</v>
      </c>
      <c r="B7045" s="5" t="s">
        <v>17190</v>
      </c>
      <c r="C7045" s="5" t="s">
        <v>35</v>
      </c>
      <c r="D7045" s="5" t="s">
        <v>36</v>
      </c>
      <c r="E7045" s="5" t="s">
        <v>31</v>
      </c>
      <c r="F7045" s="9">
        <v>27</v>
      </c>
      <c r="G7045" s="9">
        <v>315</v>
      </c>
      <c r="H7045" s="5" t="s">
        <v>21</v>
      </c>
      <c r="I7045" s="5" t="s">
        <v>17193</v>
      </c>
      <c r="J7045" s="12" t="str">
        <f>HYPERLINK("https://www.boe.es/gazeta/dias/1802/04/02/pdfs/GMD-1802-27.pdf#page=11","Abrir facsímil")</f>
        <v>Abrir facsímil</v>
      </c>
      <c r="K7045" s="15" t="s">
        <v>23</v>
      </c>
    </row>
    <row r="7046" spans="1:11" ht="42" customHeight="1">
      <c r="A7046" s="4" t="s">
        <v>17189</v>
      </c>
      <c r="B7046" s="5" t="s">
        <v>17190</v>
      </c>
      <c r="C7046" s="5" t="s">
        <v>35</v>
      </c>
      <c r="D7046" s="5" t="s">
        <v>36</v>
      </c>
      <c r="E7046" s="5" t="s">
        <v>31</v>
      </c>
      <c r="F7046" s="9">
        <v>27</v>
      </c>
      <c r="G7046" s="9">
        <v>316</v>
      </c>
      <c r="H7046" s="5" t="s">
        <v>21</v>
      </c>
      <c r="I7046" s="5" t="s">
        <v>17194</v>
      </c>
      <c r="J7046" s="12" t="str">
        <f>HYPERLINK("https://www.boe.es/gazeta/dias/1802/04/02/pdfs/GMD-1802-27.pdf#page=12","Abrir facsímil")</f>
        <v>Abrir facsímil</v>
      </c>
      <c r="K7046" s="15" t="s">
        <v>23</v>
      </c>
    </row>
    <row r="7047" spans="1:11" ht="42" customHeight="1">
      <c r="A7047" s="4" t="s">
        <v>17189</v>
      </c>
      <c r="B7047" s="5" t="s">
        <v>17190</v>
      </c>
      <c r="C7047" s="5" t="s">
        <v>18</v>
      </c>
      <c r="D7047" s="5" t="s">
        <v>19</v>
      </c>
      <c r="E7047" s="5" t="s">
        <v>170</v>
      </c>
      <c r="F7047" s="9">
        <v>28</v>
      </c>
      <c r="G7047" s="9">
        <v>327</v>
      </c>
      <c r="H7047" s="5" t="s">
        <v>21</v>
      </c>
      <c r="I7047" s="5" t="s">
        <v>17195</v>
      </c>
      <c r="J7047" s="12" t="str">
        <f>HYPERLINK("https://www.boe.es/gazeta/dias/1802/04/06/pdfs/GMD-1802-28.pdf#page=7","Abrir facsímil")</f>
        <v>Abrir facsímil</v>
      </c>
      <c r="K7047" s="15" t="s">
        <v>23</v>
      </c>
    </row>
    <row r="7048" spans="1:11" ht="42" customHeight="1">
      <c r="A7048" s="4" t="s">
        <v>17189</v>
      </c>
      <c r="B7048" s="5" t="s">
        <v>17190</v>
      </c>
      <c r="C7048" s="5" t="s">
        <v>160</v>
      </c>
      <c r="D7048" s="5" t="s">
        <v>91</v>
      </c>
      <c r="E7048" s="5" t="s">
        <v>1618</v>
      </c>
      <c r="F7048" s="9">
        <v>31</v>
      </c>
      <c r="G7048" s="9">
        <v>364</v>
      </c>
      <c r="H7048" s="5" t="s">
        <v>21</v>
      </c>
      <c r="I7048" s="5" t="s">
        <v>17196</v>
      </c>
      <c r="J7048" s="12" t="str">
        <f>HYPERLINK("https://www.boe.es/gazeta/dias/1802/04/16/pdfs/GMD-1802-31.pdf#page=8","Abrir facsímil")</f>
        <v>Abrir facsímil</v>
      </c>
      <c r="K7048" s="15" t="s">
        <v>23</v>
      </c>
    </row>
    <row r="7049" spans="1:11" ht="42" customHeight="1">
      <c r="A7049" s="4" t="s">
        <v>17189</v>
      </c>
      <c r="B7049" s="5" t="s">
        <v>17190</v>
      </c>
      <c r="C7049" s="5" t="s">
        <v>18</v>
      </c>
      <c r="D7049" s="5" t="s">
        <v>19</v>
      </c>
      <c r="E7049" s="5" t="s">
        <v>635</v>
      </c>
      <c r="F7049" s="9">
        <v>47</v>
      </c>
      <c r="G7049" s="9">
        <v>571</v>
      </c>
      <c r="H7049" s="5" t="s">
        <v>21</v>
      </c>
      <c r="I7049" s="5" t="s">
        <v>17197</v>
      </c>
      <c r="J7049" s="12" t="str">
        <f>HYPERLINK("https://www.boe.es/gazeta/dias/1802/06/11/pdfs/GMD-1802-47.pdf#page=7","Abrir facsímil")</f>
        <v>Abrir facsímil</v>
      </c>
      <c r="K7049" s="15" t="s">
        <v>23</v>
      </c>
    </row>
    <row r="7050" spans="1:11" ht="42" customHeight="1">
      <c r="A7050" s="4" t="s">
        <v>17189</v>
      </c>
      <c r="B7050" s="5" t="s">
        <v>17190</v>
      </c>
      <c r="C7050" s="5" t="s">
        <v>29</v>
      </c>
      <c r="D7050" s="5" t="s">
        <v>30</v>
      </c>
      <c r="E7050" s="5" t="s">
        <v>530</v>
      </c>
      <c r="F7050" s="9">
        <v>48</v>
      </c>
      <c r="G7050" s="9">
        <v>582</v>
      </c>
      <c r="H7050" s="5" t="s">
        <v>21</v>
      </c>
      <c r="I7050" s="5" t="s">
        <v>17198</v>
      </c>
      <c r="J7050" s="12" t="str">
        <f>HYPERLINK("https://www.boe.es/gazeta/dias/1802/06/15/pdfs/GMD-1802-48.pdf#page=6","Abrir facsímil")</f>
        <v>Abrir facsímil</v>
      </c>
      <c r="K7050" s="15" t="s">
        <v>23</v>
      </c>
    </row>
    <row r="7051" spans="1:11" ht="42" customHeight="1">
      <c r="A7051" s="4" t="s">
        <v>17189</v>
      </c>
      <c r="B7051" s="5" t="s">
        <v>17190</v>
      </c>
      <c r="C7051" s="5" t="s">
        <v>35</v>
      </c>
      <c r="D7051" s="5" t="s">
        <v>36</v>
      </c>
      <c r="E7051" s="5" t="s">
        <v>192</v>
      </c>
      <c r="F7051" s="9">
        <v>53</v>
      </c>
      <c r="G7051" s="9">
        <v>640</v>
      </c>
      <c r="H7051" s="5" t="s">
        <v>21</v>
      </c>
      <c r="I7051" s="5" t="s">
        <v>17199</v>
      </c>
      <c r="J7051" s="12" t="str">
        <f>HYPERLINK("https://www.boe.es/gazeta/dias/1802/07/02/pdfs/GMD-1802-53.pdf#page=8","Abrir facsímil")</f>
        <v>Abrir facsímil</v>
      </c>
      <c r="K7051" s="15" t="s">
        <v>23</v>
      </c>
    </row>
    <row r="7052" spans="1:11" ht="42" customHeight="1">
      <c r="A7052" s="4" t="s">
        <v>17200</v>
      </c>
      <c r="B7052" s="5" t="s">
        <v>17201</v>
      </c>
      <c r="C7052" s="5" t="s">
        <v>18</v>
      </c>
      <c r="D7052" s="5" t="s">
        <v>19</v>
      </c>
      <c r="E7052" s="5" t="s">
        <v>814</v>
      </c>
      <c r="F7052" s="9">
        <v>41</v>
      </c>
      <c r="G7052" s="9">
        <v>491</v>
      </c>
      <c r="H7052" s="5" t="s">
        <v>21</v>
      </c>
      <c r="I7052" s="5" t="s">
        <v>17202</v>
      </c>
      <c r="J7052" s="12" t="str">
        <f>HYPERLINK("https://www.boe.es/gazeta/dias/1802/05/21/pdfs/GMD-1802-41.pdf#page=7","Abrir facsímil")</f>
        <v>Abrir facsímil</v>
      </c>
      <c r="K7052" s="15" t="s">
        <v>23</v>
      </c>
    </row>
    <row r="7053" spans="1:11" ht="42" customHeight="1">
      <c r="A7053" s="4" t="s">
        <v>17203</v>
      </c>
      <c r="B7053" s="5" t="s">
        <v>17204</v>
      </c>
      <c r="C7053" s="5" t="s">
        <v>29</v>
      </c>
      <c r="D7053" s="5" t="s">
        <v>30</v>
      </c>
      <c r="E7053" s="5" t="s">
        <v>60</v>
      </c>
      <c r="F7053" s="9">
        <v>5</v>
      </c>
      <c r="G7053" s="9">
        <v>49</v>
      </c>
      <c r="H7053" s="5" t="s">
        <v>21</v>
      </c>
      <c r="I7053" s="5" t="s">
        <v>17205</v>
      </c>
      <c r="J7053" s="12" t="str">
        <f>HYPERLINK("https://www.boe.es/gazeta/dias/1802/01/15/pdfs/GMD-1802-5.pdf#page=5","Abrir facsímil")</f>
        <v>Abrir facsímil</v>
      </c>
      <c r="K7053" s="15" t="s">
        <v>23</v>
      </c>
    </row>
    <row r="7054" spans="1:11" ht="42" customHeight="1">
      <c r="A7054" s="4" t="s">
        <v>17203</v>
      </c>
      <c r="B7054" s="5" t="s">
        <v>17204</v>
      </c>
      <c r="C7054" s="5" t="s">
        <v>35</v>
      </c>
      <c r="D7054" s="5" t="s">
        <v>36</v>
      </c>
      <c r="E7054" s="5" t="s">
        <v>381</v>
      </c>
      <c r="F7054" s="9">
        <v>13</v>
      </c>
      <c r="G7054" s="9">
        <v>129</v>
      </c>
      <c r="H7054" s="5" t="s">
        <v>21</v>
      </c>
      <c r="I7054" s="5" t="s">
        <v>17206</v>
      </c>
      <c r="J7054" s="12" t="str">
        <f>HYPERLINK("https://www.boe.es/gazeta/dias/1802/02/12/pdfs/GMD-1802-13.pdf#page=5","Abrir facsímil")</f>
        <v>Abrir facsímil</v>
      </c>
      <c r="K7054" s="15" t="s">
        <v>23</v>
      </c>
    </row>
    <row r="7055" spans="1:11" ht="42" customHeight="1">
      <c r="A7055" s="4" t="s">
        <v>17203</v>
      </c>
      <c r="B7055" s="5" t="s">
        <v>17204</v>
      </c>
      <c r="C7055" s="5" t="s">
        <v>35</v>
      </c>
      <c r="D7055" s="5" t="s">
        <v>36</v>
      </c>
      <c r="E7055" s="5" t="s">
        <v>339</v>
      </c>
      <c r="F7055" s="9">
        <v>39</v>
      </c>
      <c r="G7055" s="9">
        <v>463</v>
      </c>
      <c r="H7055" s="5" t="s">
        <v>21</v>
      </c>
      <c r="I7055" s="5" t="s">
        <v>17207</v>
      </c>
      <c r="J7055" s="12" t="str">
        <f>HYPERLINK("https://www.boe.es/gazeta/dias/1802/05/14/pdfs/GMD-1802-39.pdf#page=7","Abrir facsímil")</f>
        <v>Abrir facsímil</v>
      </c>
      <c r="K7055" s="15" t="s">
        <v>23</v>
      </c>
    </row>
    <row r="7056" spans="1:11" ht="42" customHeight="1">
      <c r="A7056" s="4" t="s">
        <v>17203</v>
      </c>
      <c r="B7056" s="5" t="s">
        <v>17204</v>
      </c>
      <c r="C7056" s="5" t="s">
        <v>18</v>
      </c>
      <c r="D7056" s="5" t="s">
        <v>19</v>
      </c>
      <c r="E7056" s="5" t="s">
        <v>814</v>
      </c>
      <c r="F7056" s="9">
        <v>41</v>
      </c>
      <c r="G7056" s="9">
        <v>491</v>
      </c>
      <c r="H7056" s="5" t="s">
        <v>21</v>
      </c>
      <c r="I7056" s="5" t="s">
        <v>17208</v>
      </c>
      <c r="J7056" s="12" t="str">
        <f>HYPERLINK("https://www.boe.es/gazeta/dias/1802/05/21/pdfs/GMD-1802-41.pdf#page=7","Abrir facsímil")</f>
        <v>Abrir facsímil</v>
      </c>
      <c r="K7056" s="15" t="s">
        <v>23</v>
      </c>
    </row>
    <row r="7057" spans="1:11" ht="42" customHeight="1">
      <c r="A7057" s="4" t="s">
        <v>17203</v>
      </c>
      <c r="B7057" s="5" t="s">
        <v>17204</v>
      </c>
      <c r="C7057" s="5" t="s">
        <v>35</v>
      </c>
      <c r="D7057" s="5" t="s">
        <v>36</v>
      </c>
      <c r="E7057" s="5" t="s">
        <v>1374</v>
      </c>
      <c r="F7057" s="9">
        <v>71</v>
      </c>
      <c r="G7057" s="9">
        <v>870</v>
      </c>
      <c r="H7057" s="5" t="s">
        <v>21</v>
      </c>
      <c r="I7057" s="5" t="s">
        <v>17209</v>
      </c>
      <c r="J7057" s="12" t="str">
        <f>HYPERLINK("https://www.boe.es/gazeta/dias/1802/08/31/pdfs/GMD-1802-71.pdf#page=6","Abrir facsímil")</f>
        <v>Abrir facsímil</v>
      </c>
      <c r="K7057" s="15" t="s">
        <v>23</v>
      </c>
    </row>
    <row r="7058" spans="1:11" ht="42" customHeight="1">
      <c r="A7058" s="4" t="s">
        <v>17210</v>
      </c>
      <c r="B7058" s="5" t="s">
        <v>17211</v>
      </c>
      <c r="C7058" s="5" t="s">
        <v>35</v>
      </c>
      <c r="D7058" s="5" t="s">
        <v>36</v>
      </c>
      <c r="E7058" s="5" t="s">
        <v>75</v>
      </c>
      <c r="F7058" s="9">
        <v>103</v>
      </c>
      <c r="G7058" s="9">
        <v>1260</v>
      </c>
      <c r="H7058" s="5" t="s">
        <v>21</v>
      </c>
      <c r="I7058" s="5" t="s">
        <v>17212</v>
      </c>
      <c r="J7058" s="12" t="str">
        <f>HYPERLINK("https://www.boe.es/gazeta/dias/1802/12/21/pdfs/GMD-1802-103.pdf#page=4","Abrir facsímil")</f>
        <v>Abrir facsímil</v>
      </c>
      <c r="K7058" s="15" t="s">
        <v>23</v>
      </c>
    </row>
    <row r="7059" spans="1:11" ht="42" customHeight="1">
      <c r="A7059" s="4" t="s">
        <v>17213</v>
      </c>
      <c r="B7059" s="5" t="s">
        <v>17214</v>
      </c>
      <c r="C7059" s="5" t="s">
        <v>18</v>
      </c>
      <c r="D7059" s="5" t="s">
        <v>19</v>
      </c>
      <c r="E7059" s="5" t="s">
        <v>881</v>
      </c>
      <c r="F7059" s="9">
        <v>65</v>
      </c>
      <c r="G7059" s="9">
        <v>794</v>
      </c>
      <c r="H7059" s="5" t="s">
        <v>21</v>
      </c>
      <c r="I7059" s="5" t="s">
        <v>17215</v>
      </c>
      <c r="J7059" s="12" t="str">
        <f>HYPERLINK("https://www.boe.es/gazeta/dias/1802/08/10/pdfs/GMD-1802-65.pdf#page=10","Abrir facsímil")</f>
        <v>Abrir facsímil</v>
      </c>
      <c r="K7059" s="15" t="s">
        <v>23</v>
      </c>
    </row>
    <row r="7060" spans="1:11" ht="42" customHeight="1">
      <c r="A7060" s="4" t="s">
        <v>17216</v>
      </c>
      <c r="B7060" s="5" t="s">
        <v>17217</v>
      </c>
      <c r="C7060" s="5" t="s">
        <v>29</v>
      </c>
      <c r="D7060" s="5" t="s">
        <v>30</v>
      </c>
      <c r="E7060" s="5" t="s">
        <v>1264</v>
      </c>
      <c r="F7060" s="9">
        <v>105</v>
      </c>
      <c r="G7060" s="9">
        <v>1286</v>
      </c>
      <c r="H7060" s="5" t="s">
        <v>21</v>
      </c>
      <c r="I7060" s="5" t="s">
        <v>17218</v>
      </c>
      <c r="J7060" s="12" t="str">
        <f>HYPERLINK("https://www.boe.es/gazeta/dias/1802/12/28/pdfs/GMD-1802-105.pdf#page=10","Abrir facsímil")</f>
        <v>Abrir facsímil</v>
      </c>
      <c r="K7060" s="15" t="s">
        <v>23</v>
      </c>
    </row>
    <row r="7061" spans="1:11" ht="42" customHeight="1">
      <c r="A7061" s="4" t="s">
        <v>17219</v>
      </c>
      <c r="B7061" s="5" t="s">
        <v>17220</v>
      </c>
      <c r="C7061" s="5" t="s">
        <v>18</v>
      </c>
      <c r="D7061" s="5" t="s">
        <v>19</v>
      </c>
      <c r="E7061" s="5" t="s">
        <v>20</v>
      </c>
      <c r="F7061" s="9">
        <v>84</v>
      </c>
      <c r="G7061" s="9">
        <v>1047</v>
      </c>
      <c r="H7061" s="5" t="s">
        <v>21</v>
      </c>
      <c r="I7061" s="5" t="s">
        <v>17221</v>
      </c>
      <c r="J7061" s="12" t="str">
        <f>HYPERLINK("https://www.boe.es/gazeta/dias/1802/10/15/pdfs/GMD-1802-84.pdf#page=15","Abrir facsímil")</f>
        <v>Abrir facsímil</v>
      </c>
      <c r="K7061" s="15" t="s">
        <v>23</v>
      </c>
    </row>
    <row r="7062" spans="1:11" ht="42" customHeight="1">
      <c r="A7062" s="4" t="s">
        <v>17222</v>
      </c>
      <c r="B7062" s="5" t="s">
        <v>17223</v>
      </c>
      <c r="C7062" s="5" t="s">
        <v>18</v>
      </c>
      <c r="D7062" s="5" t="s">
        <v>19</v>
      </c>
      <c r="E7062" s="5" t="s">
        <v>49</v>
      </c>
      <c r="F7062" s="9">
        <v>83</v>
      </c>
      <c r="G7062" s="9">
        <v>1025</v>
      </c>
      <c r="H7062" s="5" t="s">
        <v>21</v>
      </c>
      <c r="I7062" s="5" t="s">
        <v>17224</v>
      </c>
      <c r="J7062" s="12" t="str">
        <f>HYPERLINK("https://www.boe.es/gazeta/dias/1802/10/12/pdfs/GMD-1802-83.pdf#page=13","Abrir facsímil")</f>
        <v>Abrir facsímil</v>
      </c>
      <c r="K7062" s="15" t="s">
        <v>23</v>
      </c>
    </row>
    <row r="7063" spans="1:11" ht="42" customHeight="1">
      <c r="A7063" s="4" t="s">
        <v>17225</v>
      </c>
      <c r="B7063" s="5" t="s">
        <v>17226</v>
      </c>
      <c r="C7063" s="5" t="s">
        <v>18</v>
      </c>
      <c r="D7063" s="5" t="s">
        <v>19</v>
      </c>
      <c r="E7063" s="5" t="s">
        <v>20</v>
      </c>
      <c r="F7063" s="9">
        <v>84</v>
      </c>
      <c r="G7063" s="9">
        <v>1047</v>
      </c>
      <c r="H7063" s="5" t="s">
        <v>21</v>
      </c>
      <c r="I7063" s="5" t="s">
        <v>17227</v>
      </c>
      <c r="J7063" s="12" t="str">
        <f>HYPERLINK("https://www.boe.es/gazeta/dias/1802/10/15/pdfs/GMD-1802-84.pdf#page=15","Abrir facsímil")</f>
        <v>Abrir facsímil</v>
      </c>
      <c r="K7063" s="15" t="s">
        <v>23</v>
      </c>
    </row>
    <row r="7064" spans="1:11" ht="42" customHeight="1">
      <c r="A7064" s="4" t="s">
        <v>17228</v>
      </c>
      <c r="B7064" s="5" t="s">
        <v>17229</v>
      </c>
      <c r="C7064" s="5" t="s">
        <v>18</v>
      </c>
      <c r="D7064" s="5" t="s">
        <v>19</v>
      </c>
      <c r="E7064" s="5" t="s">
        <v>20</v>
      </c>
      <c r="F7064" s="9">
        <v>84</v>
      </c>
      <c r="G7064" s="9">
        <v>1044</v>
      </c>
      <c r="H7064" s="5" t="s">
        <v>21</v>
      </c>
      <c r="I7064" s="5" t="s">
        <v>17230</v>
      </c>
      <c r="J7064" s="12" t="str">
        <f>HYPERLINK("https://www.boe.es/gazeta/dias/1802/10/15/pdfs/GMD-1802-84.pdf#page=12","Abrir facsímil")</f>
        <v>Abrir facsímil</v>
      </c>
      <c r="K7064" s="15" t="s">
        <v>23</v>
      </c>
    </row>
    <row r="7065" spans="1:11" ht="42" customHeight="1">
      <c r="A7065" s="4" t="s">
        <v>17231</v>
      </c>
      <c r="B7065" s="5" t="s">
        <v>17232</v>
      </c>
      <c r="C7065" s="5" t="s">
        <v>18</v>
      </c>
      <c r="D7065" s="5" t="s">
        <v>19</v>
      </c>
      <c r="E7065" s="5" t="s">
        <v>670</v>
      </c>
      <c r="F7065" s="9">
        <v>40</v>
      </c>
      <c r="G7065" s="9">
        <v>480</v>
      </c>
      <c r="H7065" s="5" t="s">
        <v>21</v>
      </c>
      <c r="I7065" s="5" t="s">
        <v>17233</v>
      </c>
      <c r="J7065" s="12" t="str">
        <f>HYPERLINK("https://www.boe.es/gazeta/dias/1802/05/18/pdfs/GMD-1802-40.pdf#page=8","Abrir facsímil")</f>
        <v>Abrir facsímil</v>
      </c>
      <c r="K7065" s="15" t="s">
        <v>23</v>
      </c>
    </row>
    <row r="7066" spans="1:11" ht="42" customHeight="1">
      <c r="A7066" s="4" t="s">
        <v>17234</v>
      </c>
      <c r="B7066" s="5" t="s">
        <v>17235</v>
      </c>
      <c r="C7066" s="5" t="s">
        <v>18</v>
      </c>
      <c r="D7066" s="5" t="s">
        <v>19</v>
      </c>
      <c r="E7066" s="5" t="s">
        <v>814</v>
      </c>
      <c r="F7066" s="9">
        <v>41</v>
      </c>
      <c r="G7066" s="9">
        <v>491</v>
      </c>
      <c r="H7066" s="5" t="s">
        <v>21</v>
      </c>
      <c r="I7066" s="5" t="s">
        <v>17236</v>
      </c>
      <c r="J7066" s="12" t="str">
        <f>HYPERLINK("https://www.boe.es/gazeta/dias/1802/05/21/pdfs/GMD-1802-41.pdf#page=7","Abrir facsímil")</f>
        <v>Abrir facsímil</v>
      </c>
      <c r="K7066" s="15" t="s">
        <v>23</v>
      </c>
    </row>
    <row r="7067" spans="1:11" ht="42" customHeight="1">
      <c r="A7067" s="4" t="s">
        <v>17237</v>
      </c>
      <c r="B7067" s="5" t="s">
        <v>17238</v>
      </c>
      <c r="C7067" s="5" t="s">
        <v>18</v>
      </c>
      <c r="D7067" s="5" t="s">
        <v>19</v>
      </c>
      <c r="E7067" s="5" t="s">
        <v>49</v>
      </c>
      <c r="F7067" s="9">
        <v>83</v>
      </c>
      <c r="G7067" s="9">
        <v>1025</v>
      </c>
      <c r="H7067" s="5" t="s">
        <v>21</v>
      </c>
      <c r="I7067" s="5" t="s">
        <v>17239</v>
      </c>
      <c r="J7067" s="12" t="str">
        <f>HYPERLINK("https://www.boe.es/gazeta/dias/1802/10/12/pdfs/GMD-1802-83.pdf#page=13","Abrir facsímil")</f>
        <v>Abrir facsímil</v>
      </c>
      <c r="K7067" s="15" t="s">
        <v>23</v>
      </c>
    </row>
    <row r="7068" spans="1:11" ht="42" customHeight="1">
      <c r="A7068" s="4" t="s">
        <v>17240</v>
      </c>
      <c r="B7068" s="5" t="s">
        <v>17241</v>
      </c>
      <c r="C7068" s="5" t="s">
        <v>35</v>
      </c>
      <c r="D7068" s="5" t="s">
        <v>36</v>
      </c>
      <c r="E7068" s="5" t="s">
        <v>31</v>
      </c>
      <c r="F7068" s="9">
        <v>27</v>
      </c>
      <c r="G7068" s="9">
        <v>311</v>
      </c>
      <c r="H7068" s="5" t="s">
        <v>21</v>
      </c>
      <c r="I7068" s="5" t="s">
        <v>17242</v>
      </c>
      <c r="J7068" s="12" t="str">
        <f>HYPERLINK("https://www.boe.es/gazeta/dias/1802/04/02/pdfs/GMD-1802-27.pdf#page=7","Abrir facsímil")</f>
        <v>Abrir facsímil</v>
      </c>
      <c r="K7068" s="15" t="s">
        <v>23</v>
      </c>
    </row>
    <row r="7069" spans="1:11" ht="42" customHeight="1">
      <c r="A7069" s="4" t="s">
        <v>17243</v>
      </c>
      <c r="B7069" s="5" t="s">
        <v>17244</v>
      </c>
      <c r="C7069" s="5" t="s">
        <v>18</v>
      </c>
      <c r="D7069" s="5" t="s">
        <v>19</v>
      </c>
      <c r="E7069" s="5" t="s">
        <v>517</v>
      </c>
      <c r="F7069" s="9">
        <v>61</v>
      </c>
      <c r="G7069" s="9">
        <v>738</v>
      </c>
      <c r="H7069" s="5" t="s">
        <v>21</v>
      </c>
      <c r="I7069" s="5" t="s">
        <v>17245</v>
      </c>
      <c r="J7069" s="12" t="str">
        <f>HYPERLINK("https://www.boe.es/gazeta/dias/1802/07/27/pdfs/GMD-1802-61.pdf#page=6","Abrir facsímil")</f>
        <v>Abrir facsímil</v>
      </c>
      <c r="K7069" s="15" t="s">
        <v>23</v>
      </c>
    </row>
    <row r="7070" spans="1:11" ht="42" customHeight="1">
      <c r="A7070" s="4" t="s">
        <v>17246</v>
      </c>
      <c r="B7070" s="5" t="s">
        <v>17247</v>
      </c>
      <c r="C7070" s="5" t="s">
        <v>29</v>
      </c>
      <c r="D7070" s="5" t="s">
        <v>30</v>
      </c>
      <c r="E7070" s="5" t="s">
        <v>206</v>
      </c>
      <c r="F7070" s="9">
        <v>22</v>
      </c>
      <c r="G7070" s="9">
        <v>241</v>
      </c>
      <c r="H7070" s="5" t="s">
        <v>21</v>
      </c>
      <c r="I7070" s="5" t="s">
        <v>17248</v>
      </c>
      <c r="J7070" s="12" t="str">
        <f>HYPERLINK("https://www.boe.es/gazeta/dias/1802/03/16/pdfs/GMD-1802-22.pdf#page=9","Abrir facsímil")</f>
        <v>Abrir facsímil</v>
      </c>
      <c r="K7070" s="15" t="s">
        <v>23</v>
      </c>
    </row>
    <row r="7071" spans="1:11" ht="42" customHeight="1">
      <c r="A7071" s="4" t="s">
        <v>17249</v>
      </c>
      <c r="B7071" s="5" t="s">
        <v>17250</v>
      </c>
      <c r="C7071" s="5" t="s">
        <v>35</v>
      </c>
      <c r="D7071" s="5" t="s">
        <v>36</v>
      </c>
      <c r="E7071" s="5" t="s">
        <v>181</v>
      </c>
      <c r="F7071" s="9">
        <v>55</v>
      </c>
      <c r="G7071" s="9">
        <v>665</v>
      </c>
      <c r="H7071" s="5" t="s">
        <v>21</v>
      </c>
      <c r="I7071" s="5" t="s">
        <v>17251</v>
      </c>
      <c r="J7071" s="12" t="str">
        <f>HYPERLINK("https://www.boe.es/gazeta/dias/1802/07/09/pdfs/GMD-1802-55.pdf#page=9","Abrir facsímil")</f>
        <v>Abrir facsímil</v>
      </c>
      <c r="K7071" s="15" t="s">
        <v>23</v>
      </c>
    </row>
    <row r="7072" spans="1:11" ht="42" customHeight="1">
      <c r="A7072" s="4" t="s">
        <v>17252</v>
      </c>
      <c r="B7072" s="5" t="s">
        <v>17253</v>
      </c>
      <c r="C7072" s="5" t="s">
        <v>29</v>
      </c>
      <c r="D7072" s="5" t="s">
        <v>30</v>
      </c>
      <c r="E7072" s="5" t="s">
        <v>92</v>
      </c>
      <c r="F7072" s="9">
        <v>29</v>
      </c>
      <c r="G7072" s="9">
        <v>342</v>
      </c>
      <c r="H7072" s="5" t="s">
        <v>21</v>
      </c>
      <c r="I7072" s="5" t="s">
        <v>17254</v>
      </c>
      <c r="J7072" s="12" t="str">
        <f>HYPERLINK("https://www.boe.es/gazeta/dias/1802/04/09/pdfs/GMD-1802-29.pdf#page=10","Abrir facsímil")</f>
        <v>Abrir facsímil</v>
      </c>
      <c r="K7072" s="15" t="s">
        <v>23</v>
      </c>
    </row>
    <row r="7073" spans="1:11" ht="42" customHeight="1">
      <c r="A7073" s="4" t="s">
        <v>17255</v>
      </c>
      <c r="B7073" s="5" t="s">
        <v>17256</v>
      </c>
      <c r="C7073" s="5" t="s">
        <v>29</v>
      </c>
      <c r="D7073" s="5" t="s">
        <v>30</v>
      </c>
      <c r="E7073" s="5" t="s">
        <v>678</v>
      </c>
      <c r="F7073" s="9">
        <v>15</v>
      </c>
      <c r="G7073" s="9">
        <v>154</v>
      </c>
      <c r="H7073" s="5" t="s">
        <v>21</v>
      </c>
      <c r="I7073" s="5" t="s">
        <v>17257</v>
      </c>
      <c r="J7073" s="12" t="str">
        <f>HYPERLINK("https://www.boe.es/gazeta/dias/1802/02/19/pdfs/GMD-1802-15.pdf#page=6","Abrir facsímil")</f>
        <v>Abrir facsímil</v>
      </c>
      <c r="K7073" s="15" t="s">
        <v>23</v>
      </c>
    </row>
    <row r="7074" spans="1:11" ht="42" customHeight="1">
      <c r="A7074" s="4" t="s">
        <v>17258</v>
      </c>
      <c r="B7074" s="5" t="s">
        <v>17258</v>
      </c>
      <c r="C7074" s="5" t="s">
        <v>18</v>
      </c>
      <c r="D7074" s="5" t="s">
        <v>19</v>
      </c>
      <c r="E7074" s="5" t="s">
        <v>881</v>
      </c>
      <c r="F7074" s="9">
        <v>65</v>
      </c>
      <c r="G7074" s="9">
        <v>790</v>
      </c>
      <c r="H7074" s="5" t="s">
        <v>21</v>
      </c>
      <c r="I7074" s="5" t="s">
        <v>17259</v>
      </c>
      <c r="J7074" s="12" t="str">
        <f>HYPERLINK("https://www.boe.es/gazeta/dias/1802/08/10/pdfs/GMD-1802-65.pdf#page=6","Abrir facsímil")</f>
        <v>Abrir facsímil</v>
      </c>
      <c r="K7074" s="15" t="s">
        <v>23</v>
      </c>
    </row>
    <row r="7075" spans="1:11" ht="42" customHeight="1">
      <c r="A7075" s="4" t="s">
        <v>17260</v>
      </c>
      <c r="B7075" s="5" t="s">
        <v>17261</v>
      </c>
      <c r="C7075" s="5" t="s">
        <v>90</v>
      </c>
      <c r="D7075" s="5" t="s">
        <v>91</v>
      </c>
      <c r="E7075" s="5" t="s">
        <v>814</v>
      </c>
      <c r="F7075" s="9">
        <v>41</v>
      </c>
      <c r="G7075" s="9">
        <v>496</v>
      </c>
      <c r="H7075" s="5" t="s">
        <v>21</v>
      </c>
      <c r="I7075" s="5" t="s">
        <v>17262</v>
      </c>
      <c r="J7075" s="12" t="str">
        <f>HYPERLINK("https://www.boe.es/gazeta/dias/1802/05/21/pdfs/GMD-1802-41.pdf#page=12","Abrir facsímil")</f>
        <v>Abrir facsímil</v>
      </c>
      <c r="K7075" s="15" t="s">
        <v>23</v>
      </c>
    </row>
    <row r="7076" spans="1:11" ht="42" customHeight="1">
      <c r="A7076" s="4" t="s">
        <v>17263</v>
      </c>
      <c r="B7076" s="5" t="s">
        <v>17264</v>
      </c>
      <c r="C7076" s="5" t="s">
        <v>90</v>
      </c>
      <c r="D7076" s="5" t="s">
        <v>91</v>
      </c>
      <c r="E7076" s="5" t="s">
        <v>1407</v>
      </c>
      <c r="F7076" s="9">
        <v>8</v>
      </c>
      <c r="G7076" s="9">
        <v>78</v>
      </c>
      <c r="H7076" s="5" t="s">
        <v>21</v>
      </c>
      <c r="I7076" s="5" t="s">
        <v>17265</v>
      </c>
      <c r="J7076" s="12" t="str">
        <f>HYPERLINK("https://www.boe.es/gazeta/dias/1802/01/26/pdfs/GMD-1802-8.pdf#page=6","Abrir facsímil")</f>
        <v>Abrir facsímil</v>
      </c>
      <c r="K7076" s="15" t="s">
        <v>23</v>
      </c>
    </row>
    <row r="7077" spans="1:11" ht="42" customHeight="1">
      <c r="A7077" s="4" t="s">
        <v>17266</v>
      </c>
      <c r="B7077" s="5" t="s">
        <v>17266</v>
      </c>
      <c r="C7077" s="5" t="s">
        <v>42</v>
      </c>
      <c r="D7077" s="5" t="s">
        <v>43</v>
      </c>
      <c r="E7077" s="5" t="s">
        <v>44</v>
      </c>
      <c r="F7077" s="9">
        <v>99</v>
      </c>
      <c r="G7077" s="9" t="s">
        <v>550</v>
      </c>
      <c r="H7077" s="5" t="s">
        <v>21</v>
      </c>
      <c r="I7077" s="5" t="s">
        <v>17267</v>
      </c>
      <c r="J7077" s="12" t="str">
        <f>HYPERLINK("https://www.boe.es/gazeta/dias/1802/12/07/pdfs/GMD-D-1802-99.pdf#page=16","Abrir facsímil")</f>
        <v>Abrir facsímil</v>
      </c>
      <c r="K7077" s="15" t="s">
        <v>23</v>
      </c>
    </row>
    <row r="7078" spans="1:11" ht="42" customHeight="1">
      <c r="A7078" s="4" t="s">
        <v>17268</v>
      </c>
      <c r="B7078" s="5" t="s">
        <v>17268</v>
      </c>
      <c r="C7078" s="5" t="s">
        <v>29</v>
      </c>
      <c r="D7078" s="5" t="s">
        <v>30</v>
      </c>
      <c r="E7078" s="5" t="s">
        <v>258</v>
      </c>
      <c r="F7078" s="9">
        <v>63</v>
      </c>
      <c r="G7078" s="9">
        <v>765</v>
      </c>
      <c r="H7078" s="5" t="s">
        <v>21</v>
      </c>
      <c r="I7078" s="5" t="s">
        <v>17269</v>
      </c>
      <c r="J7078" s="12" t="str">
        <f>HYPERLINK("https://www.boe.es/gazeta/dias/1802/08/03/pdfs/GMD-1802-63.pdf#page=5","Abrir facsímil")</f>
        <v>Abrir facsímil</v>
      </c>
      <c r="K7078" s="15" t="s">
        <v>23</v>
      </c>
    </row>
    <row r="7079" spans="1:11" ht="42" customHeight="1">
      <c r="A7079" s="4" t="s">
        <v>17270</v>
      </c>
      <c r="B7079" s="5" t="s">
        <v>17271</v>
      </c>
      <c r="C7079" s="5" t="s">
        <v>29</v>
      </c>
      <c r="D7079" s="5" t="s">
        <v>30</v>
      </c>
      <c r="E7079" s="5" t="s">
        <v>311</v>
      </c>
      <c r="F7079" s="9">
        <v>88</v>
      </c>
      <c r="G7079" s="9">
        <v>1093</v>
      </c>
      <c r="H7079" s="5" t="s">
        <v>21</v>
      </c>
      <c r="I7079" s="5" t="s">
        <v>17272</v>
      </c>
      <c r="J7079" s="12" t="str">
        <f>HYPERLINK("https://www.boe.es/gazeta/dias/1802/10/29/pdfs/GMD-1802-88.pdf#page=9","Abrir facsímil")</f>
        <v>Abrir facsímil</v>
      </c>
      <c r="K7079" s="15" t="s">
        <v>23</v>
      </c>
    </row>
    <row r="7080" spans="1:11" ht="42" customHeight="1">
      <c r="A7080" s="4" t="s">
        <v>17273</v>
      </c>
      <c r="B7080" s="5" t="s">
        <v>17274</v>
      </c>
      <c r="C7080" s="5" t="s">
        <v>29</v>
      </c>
      <c r="D7080" s="5" t="s">
        <v>30</v>
      </c>
      <c r="E7080" s="5" t="s">
        <v>339</v>
      </c>
      <c r="F7080" s="9">
        <v>39</v>
      </c>
      <c r="G7080" s="9">
        <v>467</v>
      </c>
      <c r="H7080" s="5" t="s">
        <v>21</v>
      </c>
      <c r="I7080" s="5" t="s">
        <v>17275</v>
      </c>
      <c r="J7080" s="12" t="str">
        <f>HYPERLINK("https://www.boe.es/gazeta/dias/1802/05/14/pdfs/GMD-1802-39.pdf#page=11","Abrir facsímil")</f>
        <v>Abrir facsímil</v>
      </c>
      <c r="K7080" s="15" t="s">
        <v>23</v>
      </c>
    </row>
    <row r="7081" spans="1:11" ht="42" customHeight="1">
      <c r="A7081" s="4" t="s">
        <v>17276</v>
      </c>
      <c r="B7081" s="5" t="s">
        <v>17276</v>
      </c>
      <c r="C7081" s="5" t="s">
        <v>55</v>
      </c>
      <c r="D7081" s="5" t="s">
        <v>56</v>
      </c>
      <c r="E7081" s="5" t="s">
        <v>114</v>
      </c>
      <c r="F7081" s="9">
        <v>82</v>
      </c>
      <c r="G7081" s="9">
        <v>1009</v>
      </c>
      <c r="H7081" s="5" t="s">
        <v>21</v>
      </c>
      <c r="I7081" s="5" t="s">
        <v>17277</v>
      </c>
      <c r="J7081" s="12" t="str">
        <f>HYPERLINK("https://www.boe.es/gazeta/dias/1802/10/08/pdfs/GMD-1802-82.pdf#page=9","Abrir facsímil")</f>
        <v>Abrir facsímil</v>
      </c>
      <c r="K7081" s="15" t="s">
        <v>23</v>
      </c>
    </row>
    <row r="7082" spans="1:11" ht="42" customHeight="1">
      <c r="A7082" s="4" t="s">
        <v>17278</v>
      </c>
      <c r="B7082" s="5" t="s">
        <v>17279</v>
      </c>
      <c r="C7082" s="5" t="s">
        <v>29</v>
      </c>
      <c r="D7082" s="5" t="s">
        <v>30</v>
      </c>
      <c r="E7082" s="5" t="s">
        <v>530</v>
      </c>
      <c r="F7082" s="9">
        <v>48</v>
      </c>
      <c r="G7082" s="9">
        <v>585</v>
      </c>
      <c r="H7082" s="5" t="s">
        <v>21</v>
      </c>
      <c r="I7082" s="5" t="s">
        <v>17280</v>
      </c>
      <c r="J7082" s="12" t="str">
        <f>HYPERLINK("https://www.boe.es/gazeta/dias/1802/06/15/pdfs/GMD-1802-48.pdf#page=9","Abrir facsímil")</f>
        <v>Abrir facsímil</v>
      </c>
      <c r="K7082" s="15" t="s">
        <v>23</v>
      </c>
    </row>
    <row r="7083" spans="1:11" ht="42" customHeight="1">
      <c r="A7083" s="4" t="s">
        <v>17281</v>
      </c>
      <c r="B7083" s="5" t="s">
        <v>17282</v>
      </c>
      <c r="C7083" s="5" t="s">
        <v>18</v>
      </c>
      <c r="D7083" s="5" t="s">
        <v>19</v>
      </c>
      <c r="E7083" s="5" t="s">
        <v>49</v>
      </c>
      <c r="F7083" s="9">
        <v>83</v>
      </c>
      <c r="G7083" s="9">
        <v>1024</v>
      </c>
      <c r="H7083" s="5" t="s">
        <v>21</v>
      </c>
      <c r="I7083" s="5" t="s">
        <v>17283</v>
      </c>
      <c r="J7083" s="12" t="str">
        <f>HYPERLINK("https://www.boe.es/gazeta/dias/1802/10/12/pdfs/GMD-1802-83.pdf#page=12","Abrir facsímil")</f>
        <v>Abrir facsímil</v>
      </c>
      <c r="K7083" s="15" t="s">
        <v>23</v>
      </c>
    </row>
    <row r="7084" spans="1:11" ht="42" customHeight="1">
      <c r="A7084" s="4" t="s">
        <v>17284</v>
      </c>
      <c r="B7084" s="5" t="s">
        <v>17285</v>
      </c>
      <c r="C7084" s="5" t="s">
        <v>29</v>
      </c>
      <c r="D7084" s="5" t="s">
        <v>30</v>
      </c>
      <c r="E7084" s="5" t="s">
        <v>754</v>
      </c>
      <c r="F7084" s="9">
        <v>101</v>
      </c>
      <c r="G7084" s="9">
        <v>1243</v>
      </c>
      <c r="H7084" s="5" t="s">
        <v>21</v>
      </c>
      <c r="I7084" s="5" t="s">
        <v>17286</v>
      </c>
      <c r="J7084" s="12" t="str">
        <f>HYPERLINK("https://www.boe.es/gazeta/dias/1802/12/14/pdfs/GMD-1802-101.pdf#page=7","Abrir facsímil")</f>
        <v>Abrir facsímil</v>
      </c>
      <c r="K7084" s="15" t="s">
        <v>23</v>
      </c>
    </row>
    <row r="7085" spans="1:11" ht="42" customHeight="1">
      <c r="A7085" s="4" t="s">
        <v>17287</v>
      </c>
      <c r="B7085" s="5" t="s">
        <v>17288</v>
      </c>
      <c r="C7085" s="5" t="s">
        <v>18</v>
      </c>
      <c r="D7085" s="5" t="s">
        <v>19</v>
      </c>
      <c r="E7085" s="5" t="s">
        <v>745</v>
      </c>
      <c r="F7085" s="9">
        <v>92</v>
      </c>
      <c r="G7085" s="9">
        <v>1140</v>
      </c>
      <c r="H7085" s="5" t="s">
        <v>21</v>
      </c>
      <c r="I7085" s="5" t="s">
        <v>17289</v>
      </c>
      <c r="J7085" s="12" t="str">
        <f>HYPERLINK("https://www.boe.es/gazeta/dias/1802/11/12/pdfs/GMD-1802-92.pdf#page=8","Abrir facsímil")</f>
        <v>Abrir facsímil</v>
      </c>
      <c r="K7085" s="15" t="s">
        <v>23</v>
      </c>
    </row>
    <row r="7086" spans="1:11" ht="42" customHeight="1">
      <c r="A7086" s="4" t="s">
        <v>17290</v>
      </c>
      <c r="B7086" s="5" t="s">
        <v>17291</v>
      </c>
      <c r="C7086" s="5" t="s">
        <v>55</v>
      </c>
      <c r="D7086" s="5" t="s">
        <v>56</v>
      </c>
      <c r="E7086" s="5" t="s">
        <v>745</v>
      </c>
      <c r="F7086" s="9">
        <v>92</v>
      </c>
      <c r="G7086" s="9">
        <v>1140</v>
      </c>
      <c r="H7086" s="5" t="s">
        <v>21</v>
      </c>
      <c r="I7086" s="5" t="s">
        <v>17292</v>
      </c>
      <c r="J7086" s="12" t="str">
        <f>HYPERLINK("https://www.boe.es/gazeta/dias/1802/11/12/pdfs/GMD-1802-92.pdf#page=8","Abrir facsímil")</f>
        <v>Abrir facsímil</v>
      </c>
      <c r="K7086" s="15" t="s">
        <v>23</v>
      </c>
    </row>
    <row r="7087" spans="1:11" ht="42" customHeight="1">
      <c r="A7087" s="4" t="s">
        <v>17293</v>
      </c>
      <c r="B7087" s="5" t="s">
        <v>17294</v>
      </c>
      <c r="C7087" s="5" t="s">
        <v>18</v>
      </c>
      <c r="D7087" s="5" t="s">
        <v>19</v>
      </c>
      <c r="E7087" s="5" t="s">
        <v>20</v>
      </c>
      <c r="F7087" s="9">
        <v>84</v>
      </c>
      <c r="G7087" s="9">
        <v>1040</v>
      </c>
      <c r="H7087" s="5" t="s">
        <v>21</v>
      </c>
      <c r="I7087" s="5" t="s">
        <v>17295</v>
      </c>
      <c r="J7087" s="12" t="str">
        <f>HYPERLINK("https://www.boe.es/gazeta/dias/1802/10/15/pdfs/GMD-1802-84.pdf#page=8","Abrir facsímil")</f>
        <v>Abrir facsímil</v>
      </c>
      <c r="K7087" s="15" t="s">
        <v>23</v>
      </c>
    </row>
    <row r="7088" spans="1:11" ht="42" customHeight="1">
      <c r="A7088" s="4" t="s">
        <v>17296</v>
      </c>
      <c r="B7088" s="5" t="s">
        <v>17297</v>
      </c>
      <c r="C7088" s="5" t="s">
        <v>29</v>
      </c>
      <c r="D7088" s="5" t="s">
        <v>30</v>
      </c>
      <c r="E7088" s="5" t="s">
        <v>192</v>
      </c>
      <c r="F7088" s="9">
        <v>53</v>
      </c>
      <c r="G7088" s="9">
        <v>642</v>
      </c>
      <c r="H7088" s="5" t="s">
        <v>21</v>
      </c>
      <c r="I7088" s="5" t="s">
        <v>17298</v>
      </c>
      <c r="J7088" s="12" t="str">
        <f>HYPERLINK("https://www.boe.es/gazeta/dias/1802/07/02/pdfs/GMD-1802-53.pdf#page=10","Abrir facsímil")</f>
        <v>Abrir facsímil</v>
      </c>
      <c r="K7088" s="15" t="s">
        <v>23</v>
      </c>
    </row>
    <row r="7089" spans="1:11" ht="42" customHeight="1">
      <c r="A7089" s="4" t="s">
        <v>17299</v>
      </c>
      <c r="B7089" s="5" t="s">
        <v>17300</v>
      </c>
      <c r="C7089" s="5" t="s">
        <v>35</v>
      </c>
      <c r="D7089" s="5" t="s">
        <v>36</v>
      </c>
      <c r="E7089" s="5" t="s">
        <v>823</v>
      </c>
      <c r="F7089" s="9">
        <v>94</v>
      </c>
      <c r="G7089" s="9">
        <v>1156</v>
      </c>
      <c r="H7089" s="5" t="s">
        <v>21</v>
      </c>
      <c r="I7089" s="5" t="s">
        <v>17301</v>
      </c>
      <c r="J7089" s="12" t="str">
        <f>HYPERLINK("https://www.boe.es/gazeta/dias/1802/11/19/pdfs/GMD-1802-94.pdf#page=4","Abrir facsímil")</f>
        <v>Abrir facsímil</v>
      </c>
      <c r="K7089" s="15" t="s">
        <v>23</v>
      </c>
    </row>
    <row r="7090" spans="1:11" ht="42" customHeight="1">
      <c r="A7090" s="4" t="s">
        <v>17302</v>
      </c>
      <c r="B7090" s="5" t="s">
        <v>17303</v>
      </c>
      <c r="C7090" s="5" t="s">
        <v>90</v>
      </c>
      <c r="D7090" s="5" t="s">
        <v>91</v>
      </c>
      <c r="E7090" s="5" t="s">
        <v>1381</v>
      </c>
      <c r="F7090" s="9">
        <v>17</v>
      </c>
      <c r="G7090" s="9">
        <v>177</v>
      </c>
      <c r="H7090" s="5" t="s">
        <v>21</v>
      </c>
      <c r="I7090" s="5" t="s">
        <v>17304</v>
      </c>
      <c r="J7090" s="12" t="str">
        <f>HYPERLINK("https://www.boe.es/gazeta/dias/1802/02/26/pdfs/GMD-1802-17.pdf#page=1","Abrir facsímil")</f>
        <v>Abrir facsímil</v>
      </c>
      <c r="K7090" s="15" t="s">
        <v>23</v>
      </c>
    </row>
    <row r="7091" spans="1:11" ht="42" customHeight="1">
      <c r="A7091" s="4" t="s">
        <v>17305</v>
      </c>
      <c r="B7091" s="5" t="s">
        <v>17306</v>
      </c>
      <c r="C7091" s="5" t="s">
        <v>18</v>
      </c>
      <c r="D7091" s="5" t="s">
        <v>19</v>
      </c>
      <c r="E7091" s="5" t="s">
        <v>49</v>
      </c>
      <c r="F7091" s="9">
        <v>83</v>
      </c>
      <c r="G7091" s="9">
        <v>1022</v>
      </c>
      <c r="H7091" s="5" t="s">
        <v>21</v>
      </c>
      <c r="I7091" s="5" t="s">
        <v>17307</v>
      </c>
      <c r="J7091" s="12" t="str">
        <f>HYPERLINK("https://www.boe.es/gazeta/dias/1802/10/12/pdfs/GMD-1802-83.pdf#page=10","Abrir facsímil")</f>
        <v>Abrir facsímil</v>
      </c>
      <c r="K7091" s="15" t="s">
        <v>23</v>
      </c>
    </row>
    <row r="7092" spans="1:11" ht="42" customHeight="1">
      <c r="A7092" s="4" t="s">
        <v>17308</v>
      </c>
      <c r="B7092" s="5" t="s">
        <v>17309</v>
      </c>
      <c r="C7092" s="5" t="s">
        <v>29</v>
      </c>
      <c r="D7092" s="5" t="s">
        <v>30</v>
      </c>
      <c r="E7092" s="5" t="s">
        <v>71</v>
      </c>
      <c r="F7092" s="9">
        <v>21</v>
      </c>
      <c r="G7092" s="9">
        <v>225</v>
      </c>
      <c r="H7092" s="5" t="s">
        <v>21</v>
      </c>
      <c r="I7092" s="5" t="s">
        <v>17310</v>
      </c>
      <c r="J7092" s="12" t="str">
        <f>HYPERLINK("https://www.boe.es/gazeta/dias/1802/03/12/pdfs/GMD-1802-21.pdf#page=1","Abrir facsímil")</f>
        <v>Abrir facsímil</v>
      </c>
      <c r="K7092" s="15" t="s">
        <v>23</v>
      </c>
    </row>
    <row r="7093" spans="1:11" ht="42" customHeight="1">
      <c r="A7093" s="4" t="s">
        <v>17311</v>
      </c>
      <c r="B7093" s="5" t="s">
        <v>17311</v>
      </c>
      <c r="C7093" s="5" t="s">
        <v>29</v>
      </c>
      <c r="D7093" s="5" t="s">
        <v>30</v>
      </c>
      <c r="E7093" s="5" t="s">
        <v>436</v>
      </c>
      <c r="F7093" s="9">
        <v>58</v>
      </c>
      <c r="G7093" s="9">
        <v>696</v>
      </c>
      <c r="H7093" s="5" t="s">
        <v>21</v>
      </c>
      <c r="I7093" s="5" t="s">
        <v>17312</v>
      </c>
      <c r="J7093" s="12" t="str">
        <f>HYPERLINK("https://www.boe.es/gazeta/dias/1802/07/20/pdfs/GMD-1802-58.pdf#page=4","Abrir facsímil")</f>
        <v>Abrir facsímil</v>
      </c>
      <c r="K7093" s="15" t="s">
        <v>23</v>
      </c>
    </row>
    <row r="7094" spans="1:11" ht="42" customHeight="1">
      <c r="A7094" s="4" t="s">
        <v>17313</v>
      </c>
      <c r="B7094" s="5" t="s">
        <v>17314</v>
      </c>
      <c r="C7094" s="5" t="s">
        <v>35</v>
      </c>
      <c r="D7094" s="5" t="s">
        <v>36</v>
      </c>
      <c r="E7094" s="5" t="s">
        <v>146</v>
      </c>
      <c r="F7094" s="9">
        <v>42</v>
      </c>
      <c r="G7094" s="9">
        <v>498</v>
      </c>
      <c r="H7094" s="5" t="s">
        <v>21</v>
      </c>
      <c r="I7094" s="5" t="s">
        <v>17315</v>
      </c>
      <c r="J7094" s="12" t="str">
        <f>HYPERLINK("https://www.boe.es/gazeta/dias/1802/05/25/pdfs/GMD-1802-42.pdf#page=2","Abrir facsímil")</f>
        <v>Abrir facsímil</v>
      </c>
      <c r="K7094" s="15" t="s">
        <v>23</v>
      </c>
    </row>
    <row r="7095" spans="1:11" ht="42" customHeight="1">
      <c r="A7095" s="4" t="s">
        <v>17316</v>
      </c>
      <c r="B7095" s="5" t="s">
        <v>17316</v>
      </c>
      <c r="C7095" s="5" t="s">
        <v>35</v>
      </c>
      <c r="D7095" s="5" t="s">
        <v>36</v>
      </c>
      <c r="E7095" s="5" t="s">
        <v>131</v>
      </c>
      <c r="F7095" s="9">
        <v>11</v>
      </c>
      <c r="G7095" s="9">
        <v>106</v>
      </c>
      <c r="H7095" s="5" t="s">
        <v>21</v>
      </c>
      <c r="I7095" s="5" t="s">
        <v>17317</v>
      </c>
      <c r="J7095" s="12" t="str">
        <f>HYPERLINK("https://www.boe.es/gazeta/dias/1802/02/05/pdfs/GMD-1802-11.pdf#page=2","Abrir facsímil")</f>
        <v>Abrir facsímil</v>
      </c>
      <c r="K7095" s="15" t="s">
        <v>23</v>
      </c>
    </row>
    <row r="7096" spans="1:11" ht="42" customHeight="1">
      <c r="A7096" s="4" t="s">
        <v>17318</v>
      </c>
      <c r="B7096" s="5" t="s">
        <v>17319</v>
      </c>
      <c r="C7096" s="5" t="s">
        <v>35</v>
      </c>
      <c r="D7096" s="5" t="s">
        <v>36</v>
      </c>
      <c r="E7096" s="5" t="s">
        <v>109</v>
      </c>
      <c r="F7096" s="9">
        <v>10</v>
      </c>
      <c r="G7096" s="9">
        <v>93</v>
      </c>
      <c r="H7096" s="5" t="s">
        <v>21</v>
      </c>
      <c r="I7096" s="5" t="s">
        <v>17320</v>
      </c>
      <c r="J7096" s="12" t="str">
        <f>HYPERLINK("https://www.boe.es/gazeta/dias/1802/02/02/pdfs/GMD-1802-10.pdf#page=1","Abrir facsímil")</f>
        <v>Abrir facsímil</v>
      </c>
      <c r="K7096" s="15" t="s">
        <v>23</v>
      </c>
    </row>
    <row r="7097" spans="1:11" ht="42" customHeight="1">
      <c r="A7097" s="4" t="s">
        <v>17321</v>
      </c>
      <c r="B7097" s="5" t="s">
        <v>17322</v>
      </c>
      <c r="C7097" s="5" t="s">
        <v>35</v>
      </c>
      <c r="D7097" s="5" t="s">
        <v>36</v>
      </c>
      <c r="E7097" s="5" t="s">
        <v>146</v>
      </c>
      <c r="F7097" s="9">
        <v>42</v>
      </c>
      <c r="G7097" s="9">
        <v>499</v>
      </c>
      <c r="H7097" s="5" t="s">
        <v>21</v>
      </c>
      <c r="I7097" s="5" t="s">
        <v>17323</v>
      </c>
      <c r="J7097" s="12" t="str">
        <f>HYPERLINK("https://www.boe.es/gazeta/dias/1802/05/25/pdfs/GMD-1802-42.pdf#page=3","Abrir facsímil")</f>
        <v>Abrir facsímil</v>
      </c>
      <c r="K7097" s="15" t="s">
        <v>23</v>
      </c>
    </row>
    <row r="7098" spans="1:11" ht="42" customHeight="1">
      <c r="A7098" s="4" t="s">
        <v>17324</v>
      </c>
      <c r="B7098" s="5" t="s">
        <v>17325</v>
      </c>
      <c r="C7098" s="5" t="s">
        <v>35</v>
      </c>
      <c r="D7098" s="5" t="s">
        <v>36</v>
      </c>
      <c r="E7098" s="5" t="s">
        <v>826</v>
      </c>
      <c r="F7098" s="9">
        <v>67</v>
      </c>
      <c r="G7098" s="9">
        <v>814</v>
      </c>
      <c r="H7098" s="5" t="s">
        <v>21</v>
      </c>
      <c r="I7098" s="5" t="s">
        <v>17326</v>
      </c>
      <c r="J7098" s="12" t="str">
        <f>HYPERLINK("https://www.boe.es/gazeta/dias/1802/08/17/pdfs/GMD-1802-67.pdf#page=2","Abrir facsímil")</f>
        <v>Abrir facsímil</v>
      </c>
      <c r="K7098" s="15" t="s">
        <v>23</v>
      </c>
    </row>
    <row r="7099" spans="1:11" ht="42" customHeight="1">
      <c r="A7099" s="4" t="s">
        <v>17327</v>
      </c>
      <c r="B7099" s="5" t="s">
        <v>17327</v>
      </c>
      <c r="C7099" s="5" t="s">
        <v>29</v>
      </c>
      <c r="D7099" s="5" t="s">
        <v>30</v>
      </c>
      <c r="E7099" s="5" t="s">
        <v>49</v>
      </c>
      <c r="F7099" s="9">
        <v>83</v>
      </c>
      <c r="G7099" s="9">
        <v>1015</v>
      </c>
      <c r="H7099" s="5" t="s">
        <v>21</v>
      </c>
      <c r="I7099" s="5" t="s">
        <v>17328</v>
      </c>
      <c r="J7099" s="12" t="str">
        <f>HYPERLINK("https://www.boe.es/gazeta/dias/1802/10/12/pdfs/GMD-1802-83.pdf#page=3","Abrir facsímil")</f>
        <v>Abrir facsímil</v>
      </c>
      <c r="K7099" s="15" t="s">
        <v>23</v>
      </c>
    </row>
    <row r="7100" spans="1:11" ht="42" customHeight="1">
      <c r="A7100" s="4" t="s">
        <v>17329</v>
      </c>
      <c r="B7100" s="5" t="s">
        <v>17329</v>
      </c>
      <c r="C7100" s="5" t="s">
        <v>29</v>
      </c>
      <c r="D7100" s="5" t="s">
        <v>30</v>
      </c>
      <c r="E7100" s="5" t="s">
        <v>49</v>
      </c>
      <c r="F7100" s="9">
        <v>83</v>
      </c>
      <c r="G7100" s="9">
        <v>1015</v>
      </c>
      <c r="H7100" s="5" t="s">
        <v>21</v>
      </c>
      <c r="I7100" s="5" t="s">
        <v>17330</v>
      </c>
      <c r="J7100" s="12" t="str">
        <f>HYPERLINK("https://www.boe.es/gazeta/dias/1802/10/12/pdfs/GMD-1802-83.pdf#page=3","Abrir facsímil")</f>
        <v>Abrir facsímil</v>
      </c>
      <c r="K7100" s="15" t="s">
        <v>23</v>
      </c>
    </row>
    <row r="7101" spans="1:11" ht="42" customHeight="1">
      <c r="A7101" s="4" t="s">
        <v>17331</v>
      </c>
      <c r="B7101" s="5" t="s">
        <v>17331</v>
      </c>
      <c r="C7101" s="5" t="s">
        <v>29</v>
      </c>
      <c r="D7101" s="5" t="s">
        <v>30</v>
      </c>
      <c r="E7101" s="5" t="s">
        <v>710</v>
      </c>
      <c r="F7101" s="9">
        <v>85</v>
      </c>
      <c r="G7101" s="9">
        <v>1053</v>
      </c>
      <c r="H7101" s="5" t="s">
        <v>21</v>
      </c>
      <c r="I7101" s="5" t="s">
        <v>17332</v>
      </c>
      <c r="J7101" s="12" t="str">
        <f>HYPERLINK("https://www.boe.es/gazeta/dias/1802/10/19/pdfs/GMD-1802-85.pdf#page=5","Abrir facsímil")</f>
        <v>Abrir facsímil</v>
      </c>
      <c r="K7101" s="15" t="s">
        <v>23</v>
      </c>
    </row>
    <row r="7102" spans="1:11" ht="42" customHeight="1">
      <c r="A7102" s="4" t="s">
        <v>17333</v>
      </c>
      <c r="B7102" s="5" t="s">
        <v>17334</v>
      </c>
      <c r="C7102" s="5" t="s">
        <v>18</v>
      </c>
      <c r="D7102" s="5" t="s">
        <v>19</v>
      </c>
      <c r="E7102" s="5" t="s">
        <v>20</v>
      </c>
      <c r="F7102" s="9">
        <v>84</v>
      </c>
      <c r="G7102" s="9">
        <v>1041</v>
      </c>
      <c r="H7102" s="5" t="s">
        <v>21</v>
      </c>
      <c r="I7102" s="5" t="s">
        <v>17335</v>
      </c>
      <c r="J7102" s="12" t="str">
        <f>HYPERLINK("https://www.boe.es/gazeta/dias/1802/10/15/pdfs/GMD-1802-84.pdf#page=9","Abrir facsímil")</f>
        <v>Abrir facsímil</v>
      </c>
      <c r="K7102" s="15" t="s">
        <v>23</v>
      </c>
    </row>
    <row r="7103" spans="1:11" ht="42" customHeight="1">
      <c r="A7103" s="4" t="s">
        <v>17336</v>
      </c>
      <c r="B7103" s="5" t="s">
        <v>17337</v>
      </c>
      <c r="C7103" s="5" t="s">
        <v>29</v>
      </c>
      <c r="D7103" s="5" t="s">
        <v>30</v>
      </c>
      <c r="E7103" s="5" t="s">
        <v>436</v>
      </c>
      <c r="F7103" s="9">
        <v>58</v>
      </c>
      <c r="G7103" s="9">
        <v>704</v>
      </c>
      <c r="H7103" s="5" t="s">
        <v>21</v>
      </c>
      <c r="I7103" s="5" t="s">
        <v>17338</v>
      </c>
      <c r="J7103" s="12" t="str">
        <f>HYPERLINK("https://www.boe.es/gazeta/dias/1802/07/20/pdfs/GMD-1802-58.pdf#page=12","Abrir facsímil")</f>
        <v>Abrir facsímil</v>
      </c>
      <c r="K7103" s="15" t="s">
        <v>23</v>
      </c>
    </row>
    <row r="7104" spans="1:11" ht="42" customHeight="1">
      <c r="A7104" s="4" t="s">
        <v>17339</v>
      </c>
      <c r="B7104" s="5" t="s">
        <v>17339</v>
      </c>
      <c r="C7104" s="5" t="s">
        <v>55</v>
      </c>
      <c r="D7104" s="5" t="s">
        <v>56</v>
      </c>
      <c r="E7104" s="5" t="s">
        <v>1051</v>
      </c>
      <c r="F7104" s="9">
        <v>43</v>
      </c>
      <c r="G7104" s="9">
        <v>520</v>
      </c>
      <c r="H7104" s="5" t="s">
        <v>21</v>
      </c>
      <c r="I7104" s="5" t="s">
        <v>17340</v>
      </c>
      <c r="J7104" s="12" t="str">
        <f>HYPERLINK("https://www.boe.es/gazeta/dias/1802/05/28/pdfs/GMD-1802-43.pdf#page=12","Abrir facsímil")</f>
        <v>Abrir facsímil</v>
      </c>
      <c r="K7104" s="15" t="s">
        <v>23</v>
      </c>
    </row>
    <row r="7105" spans="1:11" ht="42" customHeight="1">
      <c r="A7105" s="4" t="s">
        <v>17341</v>
      </c>
      <c r="B7105" s="5" t="s">
        <v>17342</v>
      </c>
      <c r="C7105" s="5" t="s">
        <v>35</v>
      </c>
      <c r="D7105" s="5" t="s">
        <v>36</v>
      </c>
      <c r="E7105" s="5" t="s">
        <v>745</v>
      </c>
      <c r="F7105" s="9">
        <v>92</v>
      </c>
      <c r="G7105" s="9">
        <v>1135</v>
      </c>
      <c r="H7105" s="5" t="s">
        <v>21</v>
      </c>
      <c r="I7105" s="5" t="s">
        <v>17343</v>
      </c>
      <c r="J7105" s="12" t="str">
        <f>HYPERLINK("https://www.boe.es/gazeta/dias/1802/11/12/pdfs/GMD-1802-92.pdf#page=3","Abrir facsímil")</f>
        <v>Abrir facsímil</v>
      </c>
      <c r="K7105" s="15" t="s">
        <v>23</v>
      </c>
    </row>
    <row r="7106" spans="1:11" ht="42" customHeight="1">
      <c r="A7106" s="4" t="s">
        <v>17344</v>
      </c>
      <c r="B7106" s="5" t="s">
        <v>17344</v>
      </c>
      <c r="C7106" s="5" t="s">
        <v>160</v>
      </c>
      <c r="D7106" s="5" t="s">
        <v>91</v>
      </c>
      <c r="E7106" s="5" t="s">
        <v>86</v>
      </c>
      <c r="F7106" s="9">
        <v>26</v>
      </c>
      <c r="G7106" s="9">
        <v>293</v>
      </c>
      <c r="H7106" s="5" t="s">
        <v>21</v>
      </c>
      <c r="I7106" s="5" t="s">
        <v>17345</v>
      </c>
      <c r="J7106" s="12" t="str">
        <f>HYPERLINK("https://www.boe.es/gazeta/dias/1802/03/30/pdfs/GMD-1802-26.pdf#page=5","Abrir facsímil")</f>
        <v>Abrir facsímil</v>
      </c>
      <c r="K7106" s="15" t="s">
        <v>23</v>
      </c>
    </row>
    <row r="7107" spans="1:11" ht="42" customHeight="1">
      <c r="A7107" s="4" t="s">
        <v>17346</v>
      </c>
      <c r="B7107" s="5" t="s">
        <v>17347</v>
      </c>
      <c r="C7107" s="5" t="s">
        <v>29</v>
      </c>
      <c r="D7107" s="5" t="s">
        <v>30</v>
      </c>
      <c r="E7107" s="5" t="s">
        <v>99</v>
      </c>
      <c r="F7107" s="9">
        <v>86</v>
      </c>
      <c r="G7107" s="9">
        <v>1064</v>
      </c>
      <c r="H7107" s="5" t="s">
        <v>21</v>
      </c>
      <c r="I7107" s="5" t="s">
        <v>17348</v>
      </c>
      <c r="J7107" s="12" t="str">
        <f>HYPERLINK("https://www.boe.es/gazeta/dias/1802/10/22/pdfs/GMD-1802-86.pdf#page=4","Abrir facsímil")</f>
        <v>Abrir facsímil</v>
      </c>
      <c r="K7107" s="15" t="s">
        <v>23</v>
      </c>
    </row>
    <row r="7108" spans="1:11" ht="42" customHeight="1">
      <c r="A7108" s="4" t="s">
        <v>17349</v>
      </c>
      <c r="B7108" s="5" t="s">
        <v>17350</v>
      </c>
      <c r="C7108" s="5" t="s">
        <v>29</v>
      </c>
      <c r="D7108" s="5" t="s">
        <v>30</v>
      </c>
      <c r="E7108" s="5" t="s">
        <v>133</v>
      </c>
      <c r="F7108" s="9">
        <v>33</v>
      </c>
      <c r="G7108" s="9">
        <v>384</v>
      </c>
      <c r="H7108" s="5" t="s">
        <v>21</v>
      </c>
      <c r="I7108" s="5" t="s">
        <v>17351</v>
      </c>
      <c r="J7108" s="12" t="str">
        <f>HYPERLINK("https://www.boe.es/gazeta/dias/1802/04/23/pdfs/GMD-1802-33.pdf#page=4","Abrir facsímil")</f>
        <v>Abrir facsímil</v>
      </c>
      <c r="K7108" s="15" t="s">
        <v>23</v>
      </c>
    </row>
    <row r="7109" spans="1:11" ht="42" customHeight="1">
      <c r="A7109" s="4" t="s">
        <v>17349</v>
      </c>
      <c r="B7109" s="5" t="s">
        <v>17350</v>
      </c>
      <c r="C7109" s="5" t="s">
        <v>29</v>
      </c>
      <c r="D7109" s="5" t="s">
        <v>30</v>
      </c>
      <c r="E7109" s="5" t="s">
        <v>183</v>
      </c>
      <c r="F7109" s="9">
        <v>56</v>
      </c>
      <c r="G7109" s="9">
        <v>673</v>
      </c>
      <c r="H7109" s="5" t="s">
        <v>21</v>
      </c>
      <c r="I7109" s="5" t="s">
        <v>17352</v>
      </c>
      <c r="J7109" s="12" t="str">
        <f>HYPERLINK("https://www.boe.es/gazeta/dias/1802/07/13/pdfs/GMD-1802-56.pdf#page=5","Abrir facsímil")</f>
        <v>Abrir facsímil</v>
      </c>
      <c r="K7109" s="15" t="s">
        <v>23</v>
      </c>
    </row>
    <row r="7110" spans="1:11" ht="42" customHeight="1">
      <c r="A7110" s="4" t="s">
        <v>17349</v>
      </c>
      <c r="B7110" s="5" t="s">
        <v>17350</v>
      </c>
      <c r="C7110" s="5" t="s">
        <v>29</v>
      </c>
      <c r="D7110" s="5" t="s">
        <v>30</v>
      </c>
      <c r="E7110" s="5" t="s">
        <v>436</v>
      </c>
      <c r="F7110" s="9">
        <v>58</v>
      </c>
      <c r="G7110" s="9">
        <v>696</v>
      </c>
      <c r="H7110" s="5" t="s">
        <v>21</v>
      </c>
      <c r="I7110" s="5" t="s">
        <v>17353</v>
      </c>
      <c r="J7110" s="12" t="str">
        <f>HYPERLINK("https://www.boe.es/gazeta/dias/1802/07/20/pdfs/GMD-1802-58.pdf#page=4","Abrir facsímil")</f>
        <v>Abrir facsímil</v>
      </c>
      <c r="K7110" s="15" t="s">
        <v>23</v>
      </c>
    </row>
    <row r="7111" spans="1:11" ht="42" customHeight="1">
      <c r="A7111" s="4" t="s">
        <v>17349</v>
      </c>
      <c r="B7111" s="5" t="s">
        <v>17350</v>
      </c>
      <c r="C7111" s="5" t="s">
        <v>29</v>
      </c>
      <c r="D7111" s="5" t="s">
        <v>30</v>
      </c>
      <c r="E7111" s="5" t="s">
        <v>99</v>
      </c>
      <c r="F7111" s="9">
        <v>86</v>
      </c>
      <c r="G7111" s="9">
        <v>1064</v>
      </c>
      <c r="H7111" s="5" t="s">
        <v>21</v>
      </c>
      <c r="I7111" s="5" t="s">
        <v>17354</v>
      </c>
      <c r="J7111" s="12" t="str">
        <f>HYPERLINK("https://www.boe.es/gazeta/dias/1802/10/22/pdfs/GMD-1802-86.pdf#page=4","Abrir facsímil")</f>
        <v>Abrir facsímil</v>
      </c>
      <c r="K7111" s="15" t="s">
        <v>23</v>
      </c>
    </row>
    <row r="7112" spans="1:11" ht="42" customHeight="1">
      <c r="A7112" s="4" t="s">
        <v>17355</v>
      </c>
      <c r="B7112" s="5" t="s">
        <v>17355</v>
      </c>
      <c r="C7112" s="5" t="s">
        <v>18</v>
      </c>
      <c r="D7112" s="5" t="s">
        <v>19</v>
      </c>
      <c r="E7112" s="5" t="s">
        <v>328</v>
      </c>
      <c r="F7112" s="9">
        <v>45</v>
      </c>
      <c r="G7112" s="9">
        <v>540</v>
      </c>
      <c r="H7112" s="5" t="s">
        <v>21</v>
      </c>
      <c r="I7112" s="5" t="s">
        <v>17356</v>
      </c>
      <c r="J7112" s="12" t="str">
        <f>HYPERLINK("https://www.boe.es/gazeta/dias/1802/06/04/pdfs/GMD-1802-45.pdf#page=4","Abrir facsímil")</f>
        <v>Abrir facsímil</v>
      </c>
      <c r="K7112" s="15" t="s">
        <v>23</v>
      </c>
    </row>
    <row r="7113" spans="1:11" ht="42" customHeight="1">
      <c r="A7113" s="4" t="s">
        <v>17357</v>
      </c>
      <c r="B7113" s="5" t="s">
        <v>17357</v>
      </c>
      <c r="C7113" s="5" t="s">
        <v>55</v>
      </c>
      <c r="D7113" s="5" t="s">
        <v>56</v>
      </c>
      <c r="E7113" s="5" t="s">
        <v>71</v>
      </c>
      <c r="F7113" s="9">
        <v>21</v>
      </c>
      <c r="G7113" s="9">
        <v>226</v>
      </c>
      <c r="H7113" s="5" t="s">
        <v>21</v>
      </c>
      <c r="I7113" s="5" t="s">
        <v>17358</v>
      </c>
      <c r="J7113" s="12" t="str">
        <f>HYPERLINK("https://www.boe.es/gazeta/dias/1802/03/12/pdfs/GMD-1802-21.pdf#page=2","Abrir facsímil")</f>
        <v>Abrir facsímil</v>
      </c>
      <c r="K7113" s="15" t="s">
        <v>23</v>
      </c>
    </row>
    <row r="7114" spans="1:11" ht="42" customHeight="1">
      <c r="A7114" s="4" t="s">
        <v>17357</v>
      </c>
      <c r="B7114" s="5" t="s">
        <v>17357</v>
      </c>
      <c r="C7114" s="5" t="s">
        <v>35</v>
      </c>
      <c r="D7114" s="5" t="s">
        <v>36</v>
      </c>
      <c r="E7114" s="5" t="s">
        <v>86</v>
      </c>
      <c r="F7114" s="9">
        <v>26</v>
      </c>
      <c r="G7114" s="9">
        <v>293</v>
      </c>
      <c r="H7114" s="5" t="s">
        <v>21</v>
      </c>
      <c r="I7114" s="5" t="s">
        <v>17359</v>
      </c>
      <c r="J7114" s="12" t="str">
        <f>HYPERLINK("https://www.boe.es/gazeta/dias/1802/03/30/pdfs/GMD-1802-26.pdf#page=5","Abrir facsímil")</f>
        <v>Abrir facsímil</v>
      </c>
      <c r="K7114" s="15" t="s">
        <v>23</v>
      </c>
    </row>
    <row r="7115" spans="1:11" ht="42" customHeight="1">
      <c r="A7115" s="4" t="s">
        <v>17360</v>
      </c>
      <c r="B7115" s="5" t="s">
        <v>17360</v>
      </c>
      <c r="C7115" s="5" t="s">
        <v>35</v>
      </c>
      <c r="D7115" s="5" t="s">
        <v>36</v>
      </c>
      <c r="E7115" s="5" t="s">
        <v>172</v>
      </c>
      <c r="F7115" s="9">
        <v>35</v>
      </c>
      <c r="G7115" s="9">
        <v>406</v>
      </c>
      <c r="H7115" s="5" t="s">
        <v>21</v>
      </c>
      <c r="I7115" s="5" t="s">
        <v>17361</v>
      </c>
      <c r="J7115" s="12" t="str">
        <f>HYPERLINK("https://www.boe.es/gazeta/dias/1802/04/30/pdfs/GMD-1802-35.pdf#page=6","Abrir facsímil")</f>
        <v>Abrir facsímil</v>
      </c>
      <c r="K7115" s="15" t="s">
        <v>23</v>
      </c>
    </row>
    <row r="7116" spans="1:11" ht="42" customHeight="1">
      <c r="A7116" s="4" t="s">
        <v>17362</v>
      </c>
      <c r="B7116" s="5" t="s">
        <v>17362</v>
      </c>
      <c r="C7116" s="5" t="s">
        <v>29</v>
      </c>
      <c r="D7116" s="5" t="s">
        <v>30</v>
      </c>
      <c r="E7116" s="5" t="s">
        <v>183</v>
      </c>
      <c r="F7116" s="9">
        <v>56</v>
      </c>
      <c r="G7116" s="9">
        <v>674</v>
      </c>
      <c r="H7116" s="5" t="s">
        <v>21</v>
      </c>
      <c r="I7116" s="5" t="s">
        <v>17363</v>
      </c>
      <c r="J7116" s="12" t="str">
        <f>HYPERLINK("https://www.boe.es/gazeta/dias/1802/07/13/pdfs/GMD-1802-56.pdf#page=6","Abrir facsímil")</f>
        <v>Abrir facsímil</v>
      </c>
      <c r="K7116" s="15" t="s">
        <v>23</v>
      </c>
    </row>
    <row r="7117" spans="1:11" ht="42" customHeight="1">
      <c r="A7117" s="4" t="s">
        <v>17364</v>
      </c>
      <c r="B7117" s="5" t="s">
        <v>17364</v>
      </c>
      <c r="C7117" s="5" t="s">
        <v>35</v>
      </c>
      <c r="D7117" s="5" t="s">
        <v>36</v>
      </c>
      <c r="E7117" s="5" t="s">
        <v>192</v>
      </c>
      <c r="F7117" s="9">
        <v>53</v>
      </c>
      <c r="G7117" s="9">
        <v>636</v>
      </c>
      <c r="H7117" s="5" t="s">
        <v>21</v>
      </c>
      <c r="I7117" s="5" t="s">
        <v>17365</v>
      </c>
      <c r="J7117" s="12" t="str">
        <f>HYPERLINK("https://www.boe.es/gazeta/dias/1802/07/02/pdfs/GMD-1802-53.pdf#page=4","Abrir facsímil")</f>
        <v>Abrir facsímil</v>
      </c>
      <c r="K7117" s="15" t="s">
        <v>23</v>
      </c>
    </row>
    <row r="7118" spans="1:11" ht="42" customHeight="1">
      <c r="A7118" s="4" t="s">
        <v>17366</v>
      </c>
      <c r="B7118" s="5" t="s">
        <v>17366</v>
      </c>
      <c r="C7118" s="5" t="s">
        <v>18</v>
      </c>
      <c r="D7118" s="5" t="s">
        <v>19</v>
      </c>
      <c r="E7118" s="5" t="s">
        <v>1113</v>
      </c>
      <c r="F7118" s="9">
        <v>6</v>
      </c>
      <c r="G7118" s="9">
        <v>55</v>
      </c>
      <c r="H7118" s="5" t="s">
        <v>21</v>
      </c>
      <c r="I7118" s="5" t="s">
        <v>17367</v>
      </c>
      <c r="J7118" s="12" t="str">
        <f>HYPERLINK("https://www.boe.es/gazeta/dias/1802/01/19/pdfs/GMD-1802-6.pdf#page=3","Abrir facsímil")</f>
        <v>Abrir facsímil</v>
      </c>
      <c r="K7118" s="15" t="s">
        <v>23</v>
      </c>
    </row>
    <row r="7119" spans="1:11" ht="42" customHeight="1">
      <c r="A7119" s="4" t="s">
        <v>17366</v>
      </c>
      <c r="B7119" s="5" t="s">
        <v>17366</v>
      </c>
      <c r="C7119" s="5" t="s">
        <v>35</v>
      </c>
      <c r="D7119" s="5" t="s">
        <v>36</v>
      </c>
      <c r="E7119" s="5" t="s">
        <v>170</v>
      </c>
      <c r="F7119" s="9">
        <v>28</v>
      </c>
      <c r="G7119" s="9">
        <v>323</v>
      </c>
      <c r="H7119" s="5" t="s">
        <v>21</v>
      </c>
      <c r="I7119" s="5" t="s">
        <v>17368</v>
      </c>
      <c r="J7119" s="12" t="str">
        <f>HYPERLINK("https://www.boe.es/gazeta/dias/1802/04/06/pdfs/GMD-1802-28.pdf#page=3","Abrir facsímil")</f>
        <v>Abrir facsímil</v>
      </c>
      <c r="K7119" s="15" t="s">
        <v>23</v>
      </c>
    </row>
    <row r="7120" spans="1:11" ht="42" customHeight="1">
      <c r="A7120" s="4" t="s">
        <v>17369</v>
      </c>
      <c r="B7120" s="5" t="s">
        <v>17369</v>
      </c>
      <c r="C7120" s="5" t="s">
        <v>18</v>
      </c>
      <c r="D7120" s="5" t="s">
        <v>19</v>
      </c>
      <c r="E7120" s="5" t="s">
        <v>635</v>
      </c>
      <c r="F7120" s="9">
        <v>47</v>
      </c>
      <c r="G7120" s="9">
        <v>567</v>
      </c>
      <c r="H7120" s="5" t="s">
        <v>21</v>
      </c>
      <c r="I7120" s="5" t="s">
        <v>17370</v>
      </c>
      <c r="J7120" s="12" t="str">
        <f>HYPERLINK("https://www.boe.es/gazeta/dias/1802/06/11/pdfs/GMD-1802-47.pdf#page=3","Abrir facsímil")</f>
        <v>Abrir facsímil</v>
      </c>
      <c r="K7120" s="15" t="s">
        <v>23</v>
      </c>
    </row>
    <row r="7121" spans="1:11" ht="42" customHeight="1">
      <c r="A7121" s="4" t="s">
        <v>17366</v>
      </c>
      <c r="B7121" s="5" t="s">
        <v>17366</v>
      </c>
      <c r="C7121" s="5" t="s">
        <v>18</v>
      </c>
      <c r="D7121" s="5" t="s">
        <v>19</v>
      </c>
      <c r="E7121" s="5" t="s">
        <v>635</v>
      </c>
      <c r="F7121" s="9">
        <v>47</v>
      </c>
      <c r="G7121" s="9">
        <v>569</v>
      </c>
      <c r="H7121" s="5" t="s">
        <v>21</v>
      </c>
      <c r="I7121" s="5" t="s">
        <v>17371</v>
      </c>
      <c r="J7121" s="12" t="str">
        <f>HYPERLINK("https://www.boe.es/gazeta/dias/1802/06/11/pdfs/GMD-1802-47.pdf#page=5","Abrir facsímil")</f>
        <v>Abrir facsímil</v>
      </c>
      <c r="K7121" s="15" t="s">
        <v>23</v>
      </c>
    </row>
    <row r="7122" spans="1:11" ht="42" customHeight="1">
      <c r="A7122" s="4" t="s">
        <v>17366</v>
      </c>
      <c r="B7122" s="5" t="s">
        <v>17366</v>
      </c>
      <c r="C7122" s="5" t="s">
        <v>29</v>
      </c>
      <c r="D7122" s="5" t="s">
        <v>30</v>
      </c>
      <c r="E7122" s="5" t="s">
        <v>881</v>
      </c>
      <c r="F7122" s="9">
        <v>65</v>
      </c>
      <c r="G7122" s="9">
        <v>788</v>
      </c>
      <c r="H7122" s="5" t="s">
        <v>21</v>
      </c>
      <c r="I7122" s="5" t="s">
        <v>17372</v>
      </c>
      <c r="J7122" s="12" t="str">
        <f>HYPERLINK("https://www.boe.es/gazeta/dias/1802/08/10/pdfs/GMD-1802-65.pdf#page=4","Abrir facsímil")</f>
        <v>Abrir facsímil</v>
      </c>
      <c r="K7122" s="15" t="s">
        <v>23</v>
      </c>
    </row>
    <row r="7123" spans="1:11" ht="42" customHeight="1">
      <c r="A7123" s="4" t="s">
        <v>17366</v>
      </c>
      <c r="B7123" s="5" t="s">
        <v>17366</v>
      </c>
      <c r="C7123" s="5" t="s">
        <v>35</v>
      </c>
      <c r="D7123" s="5" t="s">
        <v>36</v>
      </c>
      <c r="E7123" s="5" t="s">
        <v>75</v>
      </c>
      <c r="F7123" s="9">
        <v>103</v>
      </c>
      <c r="G7123" s="9">
        <v>1259</v>
      </c>
      <c r="H7123" s="5" t="s">
        <v>21</v>
      </c>
      <c r="I7123" s="5" t="s">
        <v>17373</v>
      </c>
      <c r="J7123" s="12" t="str">
        <f>HYPERLINK("https://www.boe.es/gazeta/dias/1802/12/21/pdfs/GMD-1802-103.pdf#page=3","Abrir facsímil")</f>
        <v>Abrir facsímil</v>
      </c>
      <c r="K7123" s="15" t="s">
        <v>23</v>
      </c>
    </row>
    <row r="7124" spans="1:11" ht="42" customHeight="1">
      <c r="A7124" s="4" t="s">
        <v>17374</v>
      </c>
      <c r="B7124" s="5" t="s">
        <v>17375</v>
      </c>
      <c r="C7124" s="5" t="s">
        <v>29</v>
      </c>
      <c r="D7124" s="5" t="s">
        <v>30</v>
      </c>
      <c r="E7124" s="5" t="s">
        <v>31</v>
      </c>
      <c r="F7124" s="9">
        <v>27</v>
      </c>
      <c r="G7124" s="9">
        <v>308</v>
      </c>
      <c r="H7124" s="5" t="s">
        <v>21</v>
      </c>
      <c r="I7124" s="5" t="s">
        <v>17376</v>
      </c>
      <c r="J7124" s="12" t="str">
        <f>HYPERLINK("https://www.boe.es/gazeta/dias/1802/04/02/pdfs/GMD-1802-27.pdf#page=4","Abrir facsímil")</f>
        <v>Abrir facsímil</v>
      </c>
      <c r="K7124" s="15" t="s">
        <v>23</v>
      </c>
    </row>
    <row r="7125" spans="1:11" ht="42" customHeight="1">
      <c r="A7125" s="4" t="s">
        <v>17377</v>
      </c>
      <c r="B7125" s="5" t="s">
        <v>17377</v>
      </c>
      <c r="C7125" s="5" t="s">
        <v>18</v>
      </c>
      <c r="D7125" s="5" t="s">
        <v>19</v>
      </c>
      <c r="E7125" s="5" t="s">
        <v>163</v>
      </c>
      <c r="F7125" s="9">
        <v>1</v>
      </c>
      <c r="G7125" s="9">
        <v>1</v>
      </c>
      <c r="H7125" s="5" t="s">
        <v>21</v>
      </c>
      <c r="I7125" s="5" t="s">
        <v>17378</v>
      </c>
      <c r="J7125" s="12" t="str">
        <f>HYPERLINK("https://www.boe.es/gazeta/dias/1802/01/01/pdfs/GMD-1802-1.pdf#page=1","Abrir facsímil")</f>
        <v>Abrir facsímil</v>
      </c>
      <c r="K7125" s="15" t="s">
        <v>23</v>
      </c>
    </row>
    <row r="7126" spans="1:11" ht="42" customHeight="1">
      <c r="A7126" s="4" t="s">
        <v>17379</v>
      </c>
      <c r="B7126" s="5" t="s">
        <v>17380</v>
      </c>
      <c r="C7126" s="5" t="s">
        <v>18</v>
      </c>
      <c r="D7126" s="5" t="s">
        <v>19</v>
      </c>
      <c r="E7126" s="5" t="s">
        <v>328</v>
      </c>
      <c r="F7126" s="9">
        <v>45</v>
      </c>
      <c r="G7126" s="9">
        <v>540</v>
      </c>
      <c r="H7126" s="5" t="s">
        <v>21</v>
      </c>
      <c r="I7126" s="5" t="s">
        <v>17381</v>
      </c>
      <c r="J7126" s="12" t="str">
        <f>HYPERLINK("https://www.boe.es/gazeta/dias/1802/06/04/pdfs/GMD-1802-45.pdf#page=4","Abrir facsímil")</f>
        <v>Abrir facsímil</v>
      </c>
      <c r="K7126" s="15" t="s">
        <v>23</v>
      </c>
    </row>
    <row r="7127" spans="1:11" ht="42" customHeight="1">
      <c r="A7127" s="4" t="s">
        <v>17382</v>
      </c>
      <c r="B7127" s="5" t="s">
        <v>17383</v>
      </c>
      <c r="C7127" s="5" t="s">
        <v>29</v>
      </c>
      <c r="D7127" s="5" t="s">
        <v>30</v>
      </c>
      <c r="E7127" s="5" t="s">
        <v>247</v>
      </c>
      <c r="F7127" s="9">
        <v>14</v>
      </c>
      <c r="G7127" s="9">
        <v>140</v>
      </c>
      <c r="H7127" s="5" t="s">
        <v>21</v>
      </c>
      <c r="I7127" s="5" t="s">
        <v>17384</v>
      </c>
      <c r="J7127" s="12" t="str">
        <f>HYPERLINK("https://www.boe.es/gazeta/dias/1802/02/16/pdfs/GMD-1802-14.pdf#page=4","Abrir facsímil")</f>
        <v>Abrir facsímil</v>
      </c>
      <c r="K7127" s="15" t="s">
        <v>23</v>
      </c>
    </row>
    <row r="7128" spans="1:11" ht="42" customHeight="1">
      <c r="A7128" s="4" t="s">
        <v>17382</v>
      </c>
      <c r="B7128" s="5" t="s">
        <v>17383</v>
      </c>
      <c r="C7128" s="5" t="s">
        <v>35</v>
      </c>
      <c r="D7128" s="5" t="s">
        <v>36</v>
      </c>
      <c r="E7128" s="5" t="s">
        <v>49</v>
      </c>
      <c r="F7128" s="9">
        <v>83</v>
      </c>
      <c r="G7128" s="9">
        <v>1014</v>
      </c>
      <c r="H7128" s="5" t="s">
        <v>21</v>
      </c>
      <c r="I7128" s="5" t="s">
        <v>17385</v>
      </c>
      <c r="J7128" s="12" t="str">
        <f>HYPERLINK("https://www.boe.es/gazeta/dias/1802/10/12/pdfs/GMD-1802-83.pdf#page=2","Abrir facsímil")</f>
        <v>Abrir facsímil</v>
      </c>
      <c r="K7128" s="15" t="s">
        <v>23</v>
      </c>
    </row>
    <row r="7129" spans="1:11" ht="42" customHeight="1">
      <c r="A7129" s="4" t="s">
        <v>17382</v>
      </c>
      <c r="B7129" s="5" t="s">
        <v>17383</v>
      </c>
      <c r="C7129" s="5" t="s">
        <v>35</v>
      </c>
      <c r="D7129" s="5" t="s">
        <v>36</v>
      </c>
      <c r="E7129" s="5" t="s">
        <v>751</v>
      </c>
      <c r="F7129" s="9">
        <v>98</v>
      </c>
      <c r="G7129" s="9">
        <v>1210</v>
      </c>
      <c r="H7129" s="5" t="s">
        <v>21</v>
      </c>
      <c r="I7129" s="5" t="s">
        <v>17386</v>
      </c>
      <c r="J7129" s="12" t="str">
        <f>HYPERLINK("https://www.boe.es/gazeta/dias/1802/12/03/pdfs/GMD-1802-98.pdf#page=6","Abrir facsímil")</f>
        <v>Abrir facsímil</v>
      </c>
      <c r="K7129" s="15" t="s">
        <v>23</v>
      </c>
    </row>
    <row r="7130" spans="1:11" ht="42" customHeight="1">
      <c r="A7130" s="4" t="s">
        <v>17382</v>
      </c>
      <c r="B7130" s="5" t="s">
        <v>17383</v>
      </c>
      <c r="C7130" s="5" t="s">
        <v>18</v>
      </c>
      <c r="D7130" s="5" t="s">
        <v>19</v>
      </c>
      <c r="E7130" s="5" t="s">
        <v>44</v>
      </c>
      <c r="F7130" s="9">
        <v>99</v>
      </c>
      <c r="G7130" s="9">
        <v>1219</v>
      </c>
      <c r="H7130" s="5" t="s">
        <v>21</v>
      </c>
      <c r="I7130" s="5" t="s">
        <v>17387</v>
      </c>
      <c r="J7130" s="12" t="str">
        <f>HYPERLINK("https://www.boe.es/gazeta/dias/1802/12/07/pdfs/GMD-1802-99.pdf#page=3","Abrir facsímil")</f>
        <v>Abrir facsímil</v>
      </c>
      <c r="K7130" s="15" t="s">
        <v>23</v>
      </c>
    </row>
    <row r="7131" spans="1:11" ht="42" customHeight="1">
      <c r="A7131" s="4" t="s">
        <v>17388</v>
      </c>
      <c r="B7131" s="5" t="s">
        <v>17389</v>
      </c>
      <c r="C7131" s="5" t="s">
        <v>35</v>
      </c>
      <c r="D7131" s="5" t="s">
        <v>36</v>
      </c>
      <c r="E7131" s="5" t="s">
        <v>590</v>
      </c>
      <c r="F7131" s="9">
        <v>38</v>
      </c>
      <c r="G7131" s="9">
        <v>448</v>
      </c>
      <c r="H7131" s="5" t="s">
        <v>21</v>
      </c>
      <c r="I7131" s="5" t="s">
        <v>17390</v>
      </c>
      <c r="J7131" s="12" t="str">
        <f>HYPERLINK("https://www.boe.es/gazeta/dias/1802/05/11/pdfs/GMD-1802-38.pdf#page=4","Abrir facsímil")</f>
        <v>Abrir facsímil</v>
      </c>
      <c r="K7131" s="15" t="s">
        <v>23</v>
      </c>
    </row>
    <row r="7132" spans="1:11" ht="42" customHeight="1">
      <c r="A7132" s="4" t="s">
        <v>17391</v>
      </c>
      <c r="B7132" s="5" t="s">
        <v>17391</v>
      </c>
      <c r="C7132" s="5" t="s">
        <v>90</v>
      </c>
      <c r="D7132" s="5" t="s">
        <v>91</v>
      </c>
      <c r="E7132" s="5" t="s">
        <v>590</v>
      </c>
      <c r="F7132" s="9">
        <v>38</v>
      </c>
      <c r="G7132" s="9">
        <v>448</v>
      </c>
      <c r="H7132" s="5" t="s">
        <v>21</v>
      </c>
      <c r="I7132" s="5" t="s">
        <v>17392</v>
      </c>
      <c r="J7132" s="12" t="str">
        <f>HYPERLINK("https://www.boe.es/gazeta/dias/1802/05/11/pdfs/GMD-1802-38.pdf#page=4","Abrir facsímil")</f>
        <v>Abrir facsímil</v>
      </c>
      <c r="K7132" s="15" t="s">
        <v>23</v>
      </c>
    </row>
    <row r="7133" spans="1:11" ht="42" customHeight="1">
      <c r="A7133" s="4" t="s">
        <v>17393</v>
      </c>
      <c r="B7133" s="5" t="s">
        <v>17394</v>
      </c>
      <c r="C7133" s="5" t="s">
        <v>35</v>
      </c>
      <c r="D7133" s="5" t="s">
        <v>36</v>
      </c>
      <c r="E7133" s="5" t="s">
        <v>131</v>
      </c>
      <c r="F7133" s="9">
        <v>11</v>
      </c>
      <c r="G7133" s="9">
        <v>106</v>
      </c>
      <c r="H7133" s="5" t="s">
        <v>21</v>
      </c>
      <c r="I7133" s="5" t="s">
        <v>17395</v>
      </c>
      <c r="J7133" s="12" t="str">
        <f>HYPERLINK("https://www.boe.es/gazeta/dias/1802/02/05/pdfs/GMD-1802-11.pdf#page=2","Abrir facsímil")</f>
        <v>Abrir facsímil</v>
      </c>
      <c r="K7133" s="15" t="s">
        <v>23</v>
      </c>
    </row>
    <row r="7134" spans="1:11" ht="42" customHeight="1">
      <c r="A7134" s="4" t="s">
        <v>17396</v>
      </c>
      <c r="B7134" s="5" t="s">
        <v>17397</v>
      </c>
      <c r="C7134" s="5" t="s">
        <v>29</v>
      </c>
      <c r="D7134" s="5" t="s">
        <v>30</v>
      </c>
      <c r="E7134" s="5" t="s">
        <v>389</v>
      </c>
      <c r="F7134" s="9">
        <v>96</v>
      </c>
      <c r="G7134" s="9">
        <v>1185</v>
      </c>
      <c r="H7134" s="5" t="s">
        <v>21</v>
      </c>
      <c r="I7134" s="5" t="s">
        <v>17398</v>
      </c>
      <c r="J7134" s="12" t="str">
        <f>HYPERLINK("https://www.boe.es/gazeta/dias/1802/11/26/pdfs/GMD-1802-96.pdf#page=5","Abrir facsímil")</f>
        <v>Abrir facsímil</v>
      </c>
      <c r="K7134" s="15" t="s">
        <v>23</v>
      </c>
    </row>
    <row r="7135" spans="1:11" ht="42" customHeight="1">
      <c r="A7135" s="4" t="s">
        <v>17399</v>
      </c>
      <c r="B7135" s="5" t="s">
        <v>17400</v>
      </c>
      <c r="C7135" s="5" t="s">
        <v>35</v>
      </c>
      <c r="D7135" s="5" t="s">
        <v>36</v>
      </c>
      <c r="E7135" s="5" t="s">
        <v>706</v>
      </c>
      <c r="F7135" s="9">
        <v>80</v>
      </c>
      <c r="G7135" s="9">
        <v>978</v>
      </c>
      <c r="H7135" s="5" t="s">
        <v>21</v>
      </c>
      <c r="I7135" s="5" t="s">
        <v>17401</v>
      </c>
      <c r="J7135" s="12" t="str">
        <f>HYPERLINK("https://www.boe.es/gazeta/dias/1802/10/01/pdfs/GMD-1802-80.pdf#page=2","Abrir facsímil")</f>
        <v>Abrir facsímil</v>
      </c>
      <c r="K7135" s="15" t="s">
        <v>23</v>
      </c>
    </row>
    <row r="7136" spans="1:11" ht="42" customHeight="1">
      <c r="A7136" s="4" t="s">
        <v>17402</v>
      </c>
      <c r="B7136" s="5" t="s">
        <v>17402</v>
      </c>
      <c r="C7136" s="5" t="s">
        <v>35</v>
      </c>
      <c r="D7136" s="5" t="s">
        <v>36</v>
      </c>
      <c r="E7136" s="5" t="s">
        <v>1264</v>
      </c>
      <c r="F7136" s="9">
        <v>105</v>
      </c>
      <c r="G7136" s="9">
        <v>1281</v>
      </c>
      <c r="H7136" s="5" t="s">
        <v>21</v>
      </c>
      <c r="I7136" s="5" t="s">
        <v>17403</v>
      </c>
      <c r="J7136" s="12" t="str">
        <f>HYPERLINK("https://www.boe.es/gazeta/dias/1802/12/28/pdfs/GMD-1802-105.pdf#page=5","Abrir facsímil")</f>
        <v>Abrir facsímil</v>
      </c>
      <c r="K7136" s="15" t="s">
        <v>23</v>
      </c>
    </row>
    <row r="7137" spans="1:11" ht="42" customHeight="1">
      <c r="A7137" s="4" t="s">
        <v>17404</v>
      </c>
      <c r="B7137" s="5" t="s">
        <v>17404</v>
      </c>
      <c r="C7137" s="5" t="s">
        <v>29</v>
      </c>
      <c r="D7137" s="5" t="s">
        <v>30</v>
      </c>
      <c r="E7137" s="5" t="s">
        <v>1829</v>
      </c>
      <c r="F7137" s="9">
        <v>32</v>
      </c>
      <c r="G7137" s="9">
        <v>371</v>
      </c>
      <c r="H7137" s="5" t="s">
        <v>21</v>
      </c>
      <c r="I7137" s="5" t="s">
        <v>17405</v>
      </c>
      <c r="J7137" s="12" t="str">
        <f>HYPERLINK("https://www.boe.es/gazeta/dias/1802/04/20/pdfs/GMD-1802-32.pdf#page=3","Abrir facsímil")</f>
        <v>Abrir facsímil</v>
      </c>
      <c r="K7137" s="15" t="s">
        <v>23</v>
      </c>
    </row>
    <row r="7138" spans="1:11" ht="42" customHeight="1">
      <c r="A7138" s="4" t="s">
        <v>17406</v>
      </c>
      <c r="B7138" s="5" t="s">
        <v>17407</v>
      </c>
      <c r="C7138" s="5" t="s">
        <v>29</v>
      </c>
      <c r="D7138" s="5" t="s">
        <v>30</v>
      </c>
      <c r="E7138" s="5" t="s">
        <v>49</v>
      </c>
      <c r="F7138" s="9">
        <v>83</v>
      </c>
      <c r="G7138" s="9">
        <v>1019</v>
      </c>
      <c r="H7138" s="5" t="s">
        <v>21</v>
      </c>
      <c r="I7138" s="5" t="s">
        <v>17408</v>
      </c>
      <c r="J7138" s="12" t="str">
        <f>HYPERLINK("https://www.boe.es/gazeta/dias/1802/10/12/pdfs/GMD-1802-83.pdf#page=7","Abrir facsímil")</f>
        <v>Abrir facsímil</v>
      </c>
      <c r="K7138" s="15" t="s">
        <v>23</v>
      </c>
    </row>
    <row r="7139" spans="1:11" ht="42" customHeight="1">
      <c r="A7139" s="4" t="s">
        <v>17409</v>
      </c>
      <c r="B7139" s="5" t="s">
        <v>17410</v>
      </c>
      <c r="C7139" s="5" t="s">
        <v>55</v>
      </c>
      <c r="D7139" s="5" t="s">
        <v>56</v>
      </c>
      <c r="E7139" s="5" t="s">
        <v>57</v>
      </c>
      <c r="F7139" s="9">
        <v>54</v>
      </c>
      <c r="G7139" s="9">
        <v>656</v>
      </c>
      <c r="H7139" s="5" t="s">
        <v>21</v>
      </c>
      <c r="I7139" s="5" t="s">
        <v>17411</v>
      </c>
      <c r="J7139" s="12" t="str">
        <f>HYPERLINK("https://www.boe.es/gazeta/dias/1802/07/06/pdfs/GMD-1802-54.pdf#page=12","Abrir facsímil")</f>
        <v>Abrir facsímil</v>
      </c>
      <c r="K7139" s="15" t="s">
        <v>23</v>
      </c>
    </row>
    <row r="7140" spans="1:11" ht="42" customHeight="1">
      <c r="A7140" s="4" t="s">
        <v>17412</v>
      </c>
      <c r="B7140" s="5" t="s">
        <v>17412</v>
      </c>
      <c r="C7140" s="5" t="s">
        <v>35</v>
      </c>
      <c r="D7140" s="5" t="s">
        <v>36</v>
      </c>
      <c r="E7140" s="5" t="s">
        <v>311</v>
      </c>
      <c r="F7140" s="9">
        <v>88</v>
      </c>
      <c r="G7140" s="9">
        <v>1090</v>
      </c>
      <c r="H7140" s="5" t="s">
        <v>21</v>
      </c>
      <c r="I7140" s="5" t="s">
        <v>17413</v>
      </c>
      <c r="J7140" s="12" t="str">
        <f>HYPERLINK("https://www.boe.es/gazeta/dias/1802/10/29/pdfs/GMD-1802-88.pdf#page=6","Abrir facsímil")</f>
        <v>Abrir facsímil</v>
      </c>
      <c r="K7140" s="15" t="s">
        <v>23</v>
      </c>
    </row>
    <row r="7141" spans="1:11" ht="42" customHeight="1">
      <c r="A7141" s="4" t="s">
        <v>17414</v>
      </c>
      <c r="B7141" s="5" t="s">
        <v>17414</v>
      </c>
      <c r="C7141" s="5" t="s">
        <v>35</v>
      </c>
      <c r="D7141" s="5" t="s">
        <v>36</v>
      </c>
      <c r="E7141" s="5" t="s">
        <v>1185</v>
      </c>
      <c r="F7141" s="9">
        <v>93</v>
      </c>
      <c r="G7141" s="9">
        <v>1145</v>
      </c>
      <c r="H7141" s="5" t="s">
        <v>21</v>
      </c>
      <c r="I7141" s="5" t="s">
        <v>17415</v>
      </c>
      <c r="J7141" s="12" t="str">
        <f>HYPERLINK("https://www.boe.es/gazeta/dias/1802/11/16/pdfs/GMD-1802-93.pdf#page=5","Abrir facsímil")</f>
        <v>Abrir facsímil</v>
      </c>
      <c r="K7141" s="15" t="s">
        <v>23</v>
      </c>
    </row>
    <row r="7142" spans="1:11" ht="42" customHeight="1">
      <c r="A7142" s="4" t="s">
        <v>17416</v>
      </c>
      <c r="B7142" s="5" t="s">
        <v>17416</v>
      </c>
      <c r="C7142" s="5" t="s">
        <v>55</v>
      </c>
      <c r="D7142" s="5" t="s">
        <v>56</v>
      </c>
      <c r="E7142" s="5" t="s">
        <v>907</v>
      </c>
      <c r="F7142" s="9">
        <v>77</v>
      </c>
      <c r="G7142" s="9">
        <v>946</v>
      </c>
      <c r="H7142" s="5" t="s">
        <v>21</v>
      </c>
      <c r="I7142" s="5" t="s">
        <v>17417</v>
      </c>
      <c r="J7142" s="12" t="str">
        <f>HYPERLINK("https://www.boe.es/gazeta/dias/1802/09/21/pdfs/GMD-1802-77.pdf#page=6","Abrir facsímil")</f>
        <v>Abrir facsímil</v>
      </c>
      <c r="K7142" s="15" t="s">
        <v>23</v>
      </c>
    </row>
    <row r="7143" spans="1:11" ht="42" customHeight="1">
      <c r="A7143" s="4" t="s">
        <v>17418</v>
      </c>
      <c r="B7143" s="5" t="s">
        <v>17418</v>
      </c>
      <c r="C7143" s="5" t="s">
        <v>55</v>
      </c>
      <c r="D7143" s="5" t="s">
        <v>56</v>
      </c>
      <c r="E7143" s="5" t="s">
        <v>165</v>
      </c>
      <c r="F7143" s="9">
        <v>3</v>
      </c>
      <c r="G7143" s="9">
        <v>24</v>
      </c>
      <c r="H7143" s="5" t="s">
        <v>21</v>
      </c>
      <c r="I7143" s="5" t="s">
        <v>17419</v>
      </c>
      <c r="J7143" s="12" t="str">
        <f>HYPERLINK("https://www.boe.es/gazeta/dias/1802/01/08/pdfs/GMD-1802-3.pdf#page=4","Abrir facsímil")</f>
        <v>Abrir facsímil</v>
      </c>
      <c r="K7143" s="15" t="s">
        <v>23</v>
      </c>
    </row>
    <row r="7144" spans="1:11" ht="42" customHeight="1">
      <c r="A7144" s="4" t="s">
        <v>17420</v>
      </c>
      <c r="B7144" s="5" t="s">
        <v>17420</v>
      </c>
      <c r="C7144" s="5" t="s">
        <v>29</v>
      </c>
      <c r="D7144" s="5" t="s">
        <v>30</v>
      </c>
      <c r="E7144" s="5" t="s">
        <v>325</v>
      </c>
      <c r="F7144" s="9">
        <v>90</v>
      </c>
      <c r="G7144" s="9">
        <v>1116</v>
      </c>
      <c r="H7144" s="5" t="s">
        <v>21</v>
      </c>
      <c r="I7144" s="5" t="s">
        <v>17421</v>
      </c>
      <c r="J7144" s="12" t="str">
        <f>HYPERLINK("https://www.boe.es/gazeta/dias/1802/11/05/pdfs/GMD-1802-90.pdf#page=8","Abrir facsímil")</f>
        <v>Abrir facsímil</v>
      </c>
      <c r="K7144" s="15" t="s">
        <v>23</v>
      </c>
    </row>
    <row r="7145" spans="1:11" ht="42" customHeight="1">
      <c r="A7145" s="4" t="s">
        <v>17422</v>
      </c>
      <c r="B7145" s="5" t="s">
        <v>17422</v>
      </c>
      <c r="C7145" s="5" t="s">
        <v>18</v>
      </c>
      <c r="D7145" s="5" t="s">
        <v>19</v>
      </c>
      <c r="E7145" s="5" t="s">
        <v>710</v>
      </c>
      <c r="F7145" s="9">
        <v>85</v>
      </c>
      <c r="G7145" s="9">
        <v>1054</v>
      </c>
      <c r="H7145" s="5" t="s">
        <v>21</v>
      </c>
      <c r="I7145" s="5" t="s">
        <v>17423</v>
      </c>
      <c r="J7145" s="12" t="str">
        <f>HYPERLINK("https://www.boe.es/gazeta/dias/1802/10/19/pdfs/GMD-1802-85.pdf#page=6","Abrir facsímil")</f>
        <v>Abrir facsímil</v>
      </c>
      <c r="K7145" s="15" t="s">
        <v>23</v>
      </c>
    </row>
    <row r="7146" spans="1:11" ht="42" customHeight="1">
      <c r="A7146" s="4" t="s">
        <v>17424</v>
      </c>
      <c r="B7146" s="5" t="s">
        <v>17424</v>
      </c>
      <c r="C7146" s="5" t="s">
        <v>35</v>
      </c>
      <c r="D7146" s="5" t="s">
        <v>36</v>
      </c>
      <c r="E7146" s="5" t="s">
        <v>31</v>
      </c>
      <c r="F7146" s="9">
        <v>27</v>
      </c>
      <c r="G7146" s="9">
        <v>315</v>
      </c>
      <c r="H7146" s="5" t="s">
        <v>21</v>
      </c>
      <c r="I7146" s="5" t="s">
        <v>17425</v>
      </c>
      <c r="J7146" s="12" t="str">
        <f>HYPERLINK("https://www.boe.es/gazeta/dias/1802/04/02/pdfs/GMD-1802-27.pdf#page=11","Abrir facsímil")</f>
        <v>Abrir facsímil</v>
      </c>
      <c r="K7146" s="15" t="s">
        <v>23</v>
      </c>
    </row>
    <row r="7147" spans="1:11" ht="42" customHeight="1">
      <c r="A7147" s="4" t="s">
        <v>17424</v>
      </c>
      <c r="B7147" s="5" t="s">
        <v>17424</v>
      </c>
      <c r="C7147" s="5" t="s">
        <v>35</v>
      </c>
      <c r="D7147" s="5" t="s">
        <v>36</v>
      </c>
      <c r="E7147" s="5" t="s">
        <v>31</v>
      </c>
      <c r="F7147" s="9">
        <v>27</v>
      </c>
      <c r="G7147" s="9">
        <v>316</v>
      </c>
      <c r="H7147" s="5" t="s">
        <v>21</v>
      </c>
      <c r="I7147" s="5" t="s">
        <v>17426</v>
      </c>
      <c r="J7147" s="12" t="str">
        <f>HYPERLINK("https://www.boe.es/gazeta/dias/1802/04/02/pdfs/GMD-1802-27.pdf#page=12","Abrir facsímil")</f>
        <v>Abrir facsímil</v>
      </c>
      <c r="K7147" s="15" t="s">
        <v>23</v>
      </c>
    </row>
    <row r="7148" spans="1:11" ht="42" customHeight="1">
      <c r="A7148" s="4" t="s">
        <v>17424</v>
      </c>
      <c r="B7148" s="5" t="s">
        <v>17424</v>
      </c>
      <c r="C7148" s="5" t="s">
        <v>29</v>
      </c>
      <c r="D7148" s="5" t="s">
        <v>30</v>
      </c>
      <c r="E7148" s="5" t="s">
        <v>181</v>
      </c>
      <c r="F7148" s="9">
        <v>55</v>
      </c>
      <c r="G7148" s="9">
        <v>664</v>
      </c>
      <c r="H7148" s="5" t="s">
        <v>21</v>
      </c>
      <c r="I7148" s="5" t="s">
        <v>17427</v>
      </c>
      <c r="J7148" s="12" t="str">
        <f>HYPERLINK("https://www.boe.es/gazeta/dias/1802/07/09/pdfs/GMD-1802-55.pdf#page=8","Abrir facsímil")</f>
        <v>Abrir facsímil</v>
      </c>
      <c r="K7148" s="15" t="s">
        <v>23</v>
      </c>
    </row>
    <row r="7149" spans="1:11" ht="42" customHeight="1">
      <c r="A7149" s="4" t="s">
        <v>17428</v>
      </c>
      <c r="B7149" s="5" t="s">
        <v>17428</v>
      </c>
      <c r="C7149" s="5" t="s">
        <v>35</v>
      </c>
      <c r="D7149" s="5" t="s">
        <v>36</v>
      </c>
      <c r="E7149" s="5" t="s">
        <v>31</v>
      </c>
      <c r="F7149" s="9">
        <v>27</v>
      </c>
      <c r="G7149" s="9">
        <v>314</v>
      </c>
      <c r="H7149" s="5" t="s">
        <v>21</v>
      </c>
      <c r="I7149" s="5" t="s">
        <v>17429</v>
      </c>
      <c r="J7149" s="12" t="str">
        <f>HYPERLINK("https://www.boe.es/gazeta/dias/1802/04/02/pdfs/GMD-1802-27.pdf#page=10","Abrir facsímil")</f>
        <v>Abrir facsímil</v>
      </c>
      <c r="K7149" s="15" t="s">
        <v>23</v>
      </c>
    </row>
    <row r="7150" spans="1:11" ht="42" customHeight="1">
      <c r="A7150" s="4" t="s">
        <v>17430</v>
      </c>
      <c r="B7150" s="5" t="s">
        <v>17430</v>
      </c>
      <c r="C7150" s="5" t="s">
        <v>35</v>
      </c>
      <c r="D7150" s="5" t="s">
        <v>36</v>
      </c>
      <c r="E7150" s="5" t="s">
        <v>745</v>
      </c>
      <c r="F7150" s="9">
        <v>92</v>
      </c>
      <c r="G7150" s="9">
        <v>1136</v>
      </c>
      <c r="H7150" s="5" t="s">
        <v>21</v>
      </c>
      <c r="I7150" s="5" t="s">
        <v>17431</v>
      </c>
      <c r="J7150" s="12" t="str">
        <f>HYPERLINK("https://www.boe.es/gazeta/dias/1802/11/12/pdfs/GMD-1802-92.pdf#page=4","Abrir facsímil")</f>
        <v>Abrir facsímil</v>
      </c>
      <c r="K7150" s="15" t="s">
        <v>23</v>
      </c>
    </row>
    <row r="7151" spans="1:11" ht="42" customHeight="1">
      <c r="A7151" s="4" t="s">
        <v>17432</v>
      </c>
      <c r="B7151" s="5" t="s">
        <v>17432</v>
      </c>
      <c r="C7151" s="5" t="s">
        <v>35</v>
      </c>
      <c r="D7151" s="5" t="s">
        <v>36</v>
      </c>
      <c r="E7151" s="5" t="s">
        <v>165</v>
      </c>
      <c r="F7151" s="9">
        <v>3</v>
      </c>
      <c r="G7151" s="9">
        <v>24</v>
      </c>
      <c r="H7151" s="5" t="s">
        <v>21</v>
      </c>
      <c r="I7151" s="5" t="s">
        <v>17433</v>
      </c>
      <c r="J7151" s="12" t="str">
        <f>HYPERLINK("https://www.boe.es/gazeta/dias/1802/01/08/pdfs/GMD-1802-3.pdf#page=4","Abrir facsímil")</f>
        <v>Abrir facsímil</v>
      </c>
      <c r="K7151" s="15" t="s">
        <v>23</v>
      </c>
    </row>
    <row r="7152" spans="1:11" ht="42" customHeight="1">
      <c r="A7152" s="4" t="s">
        <v>17432</v>
      </c>
      <c r="B7152" s="5" t="s">
        <v>17432</v>
      </c>
      <c r="C7152" s="5" t="s">
        <v>18</v>
      </c>
      <c r="D7152" s="5" t="s">
        <v>19</v>
      </c>
      <c r="E7152" s="5" t="s">
        <v>1097</v>
      </c>
      <c r="F7152" s="9">
        <v>20</v>
      </c>
      <c r="G7152" s="9">
        <v>218</v>
      </c>
      <c r="H7152" s="5" t="s">
        <v>21</v>
      </c>
      <c r="I7152" s="5" t="s">
        <v>17434</v>
      </c>
      <c r="J7152" s="12" t="str">
        <f>HYPERLINK("https://www.boe.es/gazeta/dias/1802/03/09/pdfs/GMD-1802-20.pdf#page=6","Abrir facsímil")</f>
        <v>Abrir facsímil</v>
      </c>
      <c r="K7152" s="15" t="s">
        <v>23</v>
      </c>
    </row>
    <row r="7153" spans="1:11" ht="42" customHeight="1">
      <c r="A7153" s="4" t="s">
        <v>17432</v>
      </c>
      <c r="B7153" s="5" t="s">
        <v>17432</v>
      </c>
      <c r="C7153" s="5" t="s">
        <v>35</v>
      </c>
      <c r="D7153" s="5" t="s">
        <v>36</v>
      </c>
      <c r="E7153" s="5" t="s">
        <v>332</v>
      </c>
      <c r="F7153" s="9">
        <v>24</v>
      </c>
      <c r="G7153" s="9">
        <v>270</v>
      </c>
      <c r="H7153" s="5" t="s">
        <v>21</v>
      </c>
      <c r="I7153" s="5" t="s">
        <v>17435</v>
      </c>
      <c r="J7153" s="12" t="str">
        <f>HYPERLINK("https://www.boe.es/gazeta/dias/1802/03/23/pdfs/GMD-1802-24.pdf#page=6","Abrir facsímil")</f>
        <v>Abrir facsímil</v>
      </c>
      <c r="K7153" s="15" t="s">
        <v>23</v>
      </c>
    </row>
    <row r="7154" spans="1:11" ht="42" customHeight="1">
      <c r="A7154" s="4" t="s">
        <v>17432</v>
      </c>
      <c r="B7154" s="5" t="s">
        <v>17432</v>
      </c>
      <c r="C7154" s="5" t="s">
        <v>35</v>
      </c>
      <c r="D7154" s="5" t="s">
        <v>36</v>
      </c>
      <c r="E7154" s="5" t="s">
        <v>86</v>
      </c>
      <c r="F7154" s="9">
        <v>26</v>
      </c>
      <c r="G7154" s="9">
        <v>295</v>
      </c>
      <c r="H7154" s="5" t="s">
        <v>21</v>
      </c>
      <c r="I7154" s="5" t="s">
        <v>17436</v>
      </c>
      <c r="J7154" s="12" t="str">
        <f>HYPERLINK("https://www.boe.es/gazeta/dias/1802/03/30/pdfs/GMD-1802-26.pdf#page=7","Abrir facsímil")</f>
        <v>Abrir facsímil</v>
      </c>
      <c r="K7154" s="15" t="s">
        <v>23</v>
      </c>
    </row>
    <row r="7155" spans="1:11" ht="42" customHeight="1">
      <c r="A7155" s="4" t="s">
        <v>17432</v>
      </c>
      <c r="B7155" s="5" t="s">
        <v>17432</v>
      </c>
      <c r="C7155" s="5" t="s">
        <v>35</v>
      </c>
      <c r="D7155" s="5" t="s">
        <v>36</v>
      </c>
      <c r="E7155" s="5" t="s">
        <v>1829</v>
      </c>
      <c r="F7155" s="9">
        <v>32</v>
      </c>
      <c r="G7155" s="9">
        <v>375</v>
      </c>
      <c r="H7155" s="5" t="s">
        <v>21</v>
      </c>
      <c r="I7155" s="5" t="s">
        <v>17437</v>
      </c>
      <c r="J7155" s="12" t="str">
        <f>HYPERLINK("https://www.boe.es/gazeta/dias/1802/04/20/pdfs/GMD-1802-32.pdf#page=7","Abrir facsímil")</f>
        <v>Abrir facsímil</v>
      </c>
      <c r="K7155" s="15" t="s">
        <v>23</v>
      </c>
    </row>
    <row r="7156" spans="1:11" ht="42" customHeight="1">
      <c r="A7156" s="4" t="s">
        <v>17432</v>
      </c>
      <c r="B7156" s="5" t="s">
        <v>17432</v>
      </c>
      <c r="C7156" s="5" t="s">
        <v>35</v>
      </c>
      <c r="D7156" s="5" t="s">
        <v>36</v>
      </c>
      <c r="E7156" s="5" t="s">
        <v>631</v>
      </c>
      <c r="F7156" s="9">
        <v>36</v>
      </c>
      <c r="G7156" s="9">
        <v>425</v>
      </c>
      <c r="H7156" s="5" t="s">
        <v>21</v>
      </c>
      <c r="I7156" s="5" t="s">
        <v>17438</v>
      </c>
      <c r="J7156" s="12" t="str">
        <f>HYPERLINK("https://www.boe.es/gazeta/dias/1802/05/04/pdfs/GMD-1802-36.pdf#page=5","Abrir facsímil")</f>
        <v>Abrir facsímil</v>
      </c>
      <c r="K7156" s="15" t="s">
        <v>23</v>
      </c>
    </row>
    <row r="7157" spans="1:11" ht="42" customHeight="1">
      <c r="A7157" s="4" t="s">
        <v>17439</v>
      </c>
      <c r="B7157" s="5" t="s">
        <v>17439</v>
      </c>
      <c r="C7157" s="5" t="s">
        <v>55</v>
      </c>
      <c r="D7157" s="5" t="s">
        <v>56</v>
      </c>
      <c r="E7157" s="5" t="s">
        <v>749</v>
      </c>
      <c r="F7157" s="9">
        <v>97</v>
      </c>
      <c r="G7157" s="9">
        <v>1197</v>
      </c>
      <c r="H7157" s="5" t="s">
        <v>21</v>
      </c>
      <c r="I7157" s="5" t="s">
        <v>17440</v>
      </c>
      <c r="J7157" s="12" t="str">
        <f>HYPERLINK("https://www.boe.es/gazeta/dias/1802/11/30/pdfs/GMD-1802-97.pdf#page=5","Abrir facsímil")</f>
        <v>Abrir facsímil</v>
      </c>
      <c r="K7157" s="15" t="s">
        <v>23</v>
      </c>
    </row>
    <row r="7158" spans="1:11" ht="42" customHeight="1">
      <c r="A7158" s="4" t="s">
        <v>17439</v>
      </c>
      <c r="B7158" s="5" t="s">
        <v>17439</v>
      </c>
      <c r="C7158" s="5" t="s">
        <v>35</v>
      </c>
      <c r="D7158" s="5" t="s">
        <v>36</v>
      </c>
      <c r="E7158" s="5" t="s">
        <v>604</v>
      </c>
      <c r="F7158" s="9">
        <v>100</v>
      </c>
      <c r="G7158" s="9">
        <v>1232</v>
      </c>
      <c r="H7158" s="5" t="s">
        <v>21</v>
      </c>
      <c r="I7158" s="5" t="s">
        <v>17441</v>
      </c>
      <c r="J7158" s="12" t="str">
        <f>HYPERLINK("https://www.boe.es/gazeta/dias/1802/12/10/pdfs/GMD-1802-100.pdf#page=4","Abrir facsímil")</f>
        <v>Abrir facsímil</v>
      </c>
      <c r="K7158" s="15" t="s">
        <v>23</v>
      </c>
    </row>
    <row r="7159" spans="1:11" ht="42" customHeight="1">
      <c r="A7159" s="4" t="s">
        <v>17442</v>
      </c>
      <c r="B7159" s="5" t="s">
        <v>17443</v>
      </c>
      <c r="C7159" s="5" t="s">
        <v>18</v>
      </c>
      <c r="D7159" s="5" t="s">
        <v>19</v>
      </c>
      <c r="E7159" s="5" t="s">
        <v>635</v>
      </c>
      <c r="F7159" s="9">
        <v>47</v>
      </c>
      <c r="G7159" s="9">
        <v>571</v>
      </c>
      <c r="H7159" s="5" t="s">
        <v>21</v>
      </c>
      <c r="I7159" s="5" t="s">
        <v>17444</v>
      </c>
      <c r="J7159" s="12" t="str">
        <f>HYPERLINK("https://www.boe.es/gazeta/dias/1802/06/11/pdfs/GMD-1802-47.pdf#page=7","Abrir facsímil")</f>
        <v>Abrir facsímil</v>
      </c>
      <c r="K7159" s="15" t="s">
        <v>23</v>
      </c>
    </row>
    <row r="7160" spans="1:11" ht="42" customHeight="1">
      <c r="A7160" s="4" t="s">
        <v>17445</v>
      </c>
      <c r="B7160" s="5" t="s">
        <v>17446</v>
      </c>
      <c r="C7160" s="5" t="s">
        <v>160</v>
      </c>
      <c r="D7160" s="5" t="s">
        <v>91</v>
      </c>
      <c r="E7160" s="5" t="s">
        <v>611</v>
      </c>
      <c r="F7160" s="9">
        <v>68</v>
      </c>
      <c r="G7160" s="9">
        <v>834</v>
      </c>
      <c r="H7160" s="5" t="s">
        <v>21</v>
      </c>
      <c r="I7160" s="5" t="s">
        <v>17447</v>
      </c>
      <c r="J7160" s="12" t="str">
        <f>HYPERLINK("https://www.boe.es/gazeta/dias/1802/08/20/pdfs/GMD-1802-68.pdf#page=10","Abrir facsímil")</f>
        <v>Abrir facsímil</v>
      </c>
      <c r="K7160" s="15" t="s">
        <v>23</v>
      </c>
    </row>
    <row r="7161" spans="1:11" ht="42" customHeight="1">
      <c r="A7161" s="4" t="s">
        <v>17448</v>
      </c>
      <c r="B7161" s="5" t="s">
        <v>17449</v>
      </c>
      <c r="C7161" s="5" t="s">
        <v>18</v>
      </c>
      <c r="D7161" s="5" t="s">
        <v>19</v>
      </c>
      <c r="E7161" s="5" t="s">
        <v>900</v>
      </c>
      <c r="F7161" s="9">
        <v>16</v>
      </c>
      <c r="G7161" s="9">
        <v>169</v>
      </c>
      <c r="H7161" s="5" t="s">
        <v>21</v>
      </c>
      <c r="I7161" s="5" t="s">
        <v>17450</v>
      </c>
      <c r="J7161" s="12" t="str">
        <f>HYPERLINK("https://www.boe.es/gazeta/dias/1802/02/23/pdfs/GMD-1802-16.pdf#page=9","Abrir facsímil")</f>
        <v>Abrir facsímil</v>
      </c>
      <c r="K7161" s="15" t="s">
        <v>23</v>
      </c>
    </row>
    <row r="7162" spans="1:11" ht="42" customHeight="1">
      <c r="A7162" s="4" t="s">
        <v>17451</v>
      </c>
      <c r="B7162" s="5" t="s">
        <v>17452</v>
      </c>
      <c r="C7162" s="5" t="s">
        <v>18</v>
      </c>
      <c r="D7162" s="5" t="s">
        <v>19</v>
      </c>
      <c r="E7162" s="5" t="s">
        <v>20</v>
      </c>
      <c r="F7162" s="9">
        <v>84</v>
      </c>
      <c r="G7162" s="9">
        <v>1043</v>
      </c>
      <c r="H7162" s="5" t="s">
        <v>21</v>
      </c>
      <c r="I7162" s="5" t="s">
        <v>17453</v>
      </c>
      <c r="J7162" s="12" t="str">
        <f>HYPERLINK("https://www.boe.es/gazeta/dias/1802/10/15/pdfs/GMD-1802-84.pdf#page=11","Abrir facsímil")</f>
        <v>Abrir facsímil</v>
      </c>
      <c r="K7162" s="15" t="s">
        <v>23</v>
      </c>
    </row>
    <row r="7163" spans="1:11" ht="42" customHeight="1">
      <c r="A7163" s="4" t="s">
        <v>17454</v>
      </c>
      <c r="B7163" s="5" t="s">
        <v>17455</v>
      </c>
      <c r="C7163" s="5" t="s">
        <v>29</v>
      </c>
      <c r="D7163" s="5" t="s">
        <v>30</v>
      </c>
      <c r="E7163" s="5" t="s">
        <v>900</v>
      </c>
      <c r="F7163" s="9">
        <v>16</v>
      </c>
      <c r="G7163" s="9">
        <v>169</v>
      </c>
      <c r="H7163" s="5" t="s">
        <v>21</v>
      </c>
      <c r="I7163" s="5" t="s">
        <v>17456</v>
      </c>
      <c r="J7163" s="12" t="str">
        <f>HYPERLINK("https://www.boe.es/gazeta/dias/1802/02/23/pdfs/GMD-1802-16.pdf#page=9","Abrir facsímil")</f>
        <v>Abrir facsímil</v>
      </c>
      <c r="K7163" s="15" t="s">
        <v>23</v>
      </c>
    </row>
    <row r="7164" spans="1:11" ht="42" customHeight="1">
      <c r="A7164" s="4" t="s">
        <v>17457</v>
      </c>
      <c r="B7164" s="5" t="s">
        <v>17458</v>
      </c>
      <c r="C7164" s="5" t="s">
        <v>18</v>
      </c>
      <c r="D7164" s="5" t="s">
        <v>19</v>
      </c>
      <c r="E7164" s="5" t="s">
        <v>1959</v>
      </c>
      <c r="F7164" s="9">
        <v>34</v>
      </c>
      <c r="G7164" s="9">
        <v>396</v>
      </c>
      <c r="H7164" s="5" t="s">
        <v>21</v>
      </c>
      <c r="I7164" s="5" t="s">
        <v>17459</v>
      </c>
      <c r="J7164" s="12" t="str">
        <f>HYPERLINK("https://www.boe.es/gazeta/dias/1802/04/27/pdfs/GMD-1802-34.pdf#page=8","Abrir facsímil")</f>
        <v>Abrir facsímil</v>
      </c>
      <c r="K7164" s="15" t="s">
        <v>23</v>
      </c>
    </row>
    <row r="7165" spans="1:11" ht="42" customHeight="1">
      <c r="A7165" s="4" t="s">
        <v>17460</v>
      </c>
      <c r="B7165" s="5" t="s">
        <v>17461</v>
      </c>
      <c r="C7165" s="5" t="s">
        <v>29</v>
      </c>
      <c r="D7165" s="5" t="s">
        <v>30</v>
      </c>
      <c r="E7165" s="5" t="s">
        <v>71</v>
      </c>
      <c r="F7165" s="9">
        <v>21</v>
      </c>
      <c r="G7165" s="9">
        <v>233</v>
      </c>
      <c r="H7165" s="5" t="s">
        <v>21</v>
      </c>
      <c r="I7165" s="5" t="s">
        <v>17462</v>
      </c>
      <c r="J7165" s="12" t="str">
        <f>HYPERLINK("https://www.boe.es/gazeta/dias/1802/03/12/pdfs/GMD-1802-21.pdf#page=9","Abrir facsímil")</f>
        <v>Abrir facsímil</v>
      </c>
      <c r="K7165" s="15" t="s">
        <v>23</v>
      </c>
    </row>
    <row r="7166" spans="1:11" ht="42" customHeight="1">
      <c r="A7166" s="4" t="s">
        <v>17463</v>
      </c>
      <c r="B7166" s="5" t="s">
        <v>17464</v>
      </c>
      <c r="C7166" s="5" t="s">
        <v>18</v>
      </c>
      <c r="D7166" s="5" t="s">
        <v>19</v>
      </c>
      <c r="E7166" s="5" t="s">
        <v>49</v>
      </c>
      <c r="F7166" s="9">
        <v>83</v>
      </c>
      <c r="G7166" s="9">
        <v>1025</v>
      </c>
      <c r="H7166" s="5" t="s">
        <v>21</v>
      </c>
      <c r="I7166" s="5" t="s">
        <v>17465</v>
      </c>
      <c r="J7166" s="12" t="str">
        <f>HYPERLINK("https://www.boe.es/gazeta/dias/1802/10/12/pdfs/GMD-1802-83.pdf#page=13","Abrir facsímil")</f>
        <v>Abrir facsímil</v>
      </c>
      <c r="K7166" s="15" t="s">
        <v>23</v>
      </c>
    </row>
    <row r="7167" spans="1:11" ht="42" customHeight="1">
      <c r="A7167" s="4" t="s">
        <v>17466</v>
      </c>
      <c r="B7167" s="5" t="s">
        <v>17467</v>
      </c>
      <c r="C7167" s="5" t="s">
        <v>29</v>
      </c>
      <c r="D7167" s="5" t="s">
        <v>30</v>
      </c>
      <c r="E7167" s="5" t="s">
        <v>86</v>
      </c>
      <c r="F7167" s="9">
        <v>26</v>
      </c>
      <c r="G7167" s="9">
        <v>298</v>
      </c>
      <c r="H7167" s="5" t="s">
        <v>21</v>
      </c>
      <c r="I7167" s="5" t="s">
        <v>17468</v>
      </c>
      <c r="J7167" s="12" t="str">
        <f>HYPERLINK("https://www.boe.es/gazeta/dias/1802/03/30/pdfs/GMD-1802-26.pdf#page=10","Abrir facsímil")</f>
        <v>Abrir facsímil</v>
      </c>
      <c r="K7167" s="15" t="s">
        <v>23</v>
      </c>
    </row>
    <row r="7168" spans="1:11" ht="42" customHeight="1">
      <c r="A7168" s="4" t="s">
        <v>17466</v>
      </c>
      <c r="B7168" s="5" t="s">
        <v>17467</v>
      </c>
      <c r="C7168" s="5" t="s">
        <v>29</v>
      </c>
      <c r="D7168" s="5" t="s">
        <v>30</v>
      </c>
      <c r="E7168" s="5" t="s">
        <v>530</v>
      </c>
      <c r="F7168" s="9">
        <v>48</v>
      </c>
      <c r="G7168" s="9">
        <v>586</v>
      </c>
      <c r="H7168" s="5" t="s">
        <v>21</v>
      </c>
      <c r="I7168" s="5" t="s">
        <v>17469</v>
      </c>
      <c r="J7168" s="12" t="str">
        <f>HYPERLINK("https://www.boe.es/gazeta/dias/1802/06/15/pdfs/GMD-1802-48.pdf#page=10","Abrir facsímil")</f>
        <v>Abrir facsímil</v>
      </c>
      <c r="K7168" s="15" t="s">
        <v>23</v>
      </c>
    </row>
    <row r="7169" spans="1:11" ht="42" customHeight="1">
      <c r="A7169" s="4" t="s">
        <v>17470</v>
      </c>
      <c r="B7169" s="5" t="s">
        <v>17471</v>
      </c>
      <c r="C7169" s="5" t="s">
        <v>90</v>
      </c>
      <c r="D7169" s="5" t="s">
        <v>91</v>
      </c>
      <c r="E7169" s="5" t="s">
        <v>128</v>
      </c>
      <c r="F7169" s="9">
        <v>9</v>
      </c>
      <c r="G7169" s="9">
        <v>89</v>
      </c>
      <c r="H7169" s="5" t="s">
        <v>21</v>
      </c>
      <c r="I7169" s="5" t="s">
        <v>17472</v>
      </c>
      <c r="J7169" s="12" t="str">
        <f>HYPERLINK("https://www.boe.es/gazeta/dias/1802/01/29/pdfs/GMD-1802-9.pdf#page=9","Abrir facsímil")</f>
        <v>Abrir facsímil</v>
      </c>
      <c r="K7169" s="15" t="s">
        <v>23</v>
      </c>
    </row>
    <row r="7170" spans="1:11" ht="42" customHeight="1">
      <c r="A7170" s="4" t="s">
        <v>17473</v>
      </c>
      <c r="B7170" s="5" t="s">
        <v>17474</v>
      </c>
      <c r="C7170" s="5" t="s">
        <v>29</v>
      </c>
      <c r="D7170" s="5" t="s">
        <v>30</v>
      </c>
      <c r="E7170" s="5" t="s">
        <v>1097</v>
      </c>
      <c r="F7170" s="9">
        <v>20</v>
      </c>
      <c r="G7170" s="9">
        <v>221</v>
      </c>
      <c r="H7170" s="5" t="s">
        <v>21</v>
      </c>
      <c r="I7170" s="5" t="s">
        <v>17475</v>
      </c>
      <c r="J7170" s="12" t="str">
        <f>HYPERLINK("https://www.boe.es/gazeta/dias/1802/03/09/pdfs/GMD-1802-20.pdf#page=9","Abrir facsímil")</f>
        <v>Abrir facsímil</v>
      </c>
      <c r="K7170" s="15" t="s">
        <v>23</v>
      </c>
    </row>
    <row r="7171" spans="1:11" ht="42" customHeight="1">
      <c r="A7171" s="4" t="s">
        <v>17476</v>
      </c>
      <c r="B7171" s="5" t="s">
        <v>17477</v>
      </c>
      <c r="C7171" s="5" t="s">
        <v>29</v>
      </c>
      <c r="D7171" s="5" t="s">
        <v>30</v>
      </c>
      <c r="E7171" s="5" t="s">
        <v>73</v>
      </c>
      <c r="F7171" s="9">
        <v>102</v>
      </c>
      <c r="G7171" s="9">
        <v>1254</v>
      </c>
      <c r="H7171" s="5" t="s">
        <v>21</v>
      </c>
      <c r="I7171" s="5" t="s">
        <v>17478</v>
      </c>
      <c r="J7171" s="12" t="str">
        <f>HYPERLINK("https://www.boe.es/gazeta/dias/1802/12/17/pdfs/GMD-1802-102.pdf#page=10","Abrir facsímil")</f>
        <v>Abrir facsímil</v>
      </c>
      <c r="K7171" s="15" t="s">
        <v>23</v>
      </c>
    </row>
    <row r="7172" spans="1:11" ht="42" customHeight="1">
      <c r="A7172" s="4" t="s">
        <v>17479</v>
      </c>
      <c r="B7172" s="5" t="s">
        <v>17480</v>
      </c>
      <c r="C7172" s="5" t="s">
        <v>29</v>
      </c>
      <c r="D7172" s="5" t="s">
        <v>30</v>
      </c>
      <c r="E7172" s="5" t="s">
        <v>299</v>
      </c>
      <c r="F7172" s="9">
        <v>19</v>
      </c>
      <c r="G7172" s="9">
        <v>211</v>
      </c>
      <c r="H7172" s="5" t="s">
        <v>21</v>
      </c>
      <c r="I7172" s="5" t="s">
        <v>17481</v>
      </c>
      <c r="J7172" s="12" t="str">
        <f>HYPERLINK("https://www.boe.es/gazeta/dias/1802/03/05/pdfs/GMD-1802-19.pdf#page=11","Abrir facsímil")</f>
        <v>Abrir facsímil</v>
      </c>
      <c r="K7172" s="15" t="s">
        <v>23</v>
      </c>
    </row>
    <row r="7173" spans="1:11" ht="42" customHeight="1">
      <c r="A7173" s="4" t="s">
        <v>17479</v>
      </c>
      <c r="B7173" s="5" t="s">
        <v>17480</v>
      </c>
      <c r="C7173" s="5" t="s">
        <v>42</v>
      </c>
      <c r="D7173" s="5" t="s">
        <v>43</v>
      </c>
      <c r="E7173" s="5" t="s">
        <v>44</v>
      </c>
      <c r="F7173" s="9">
        <v>99</v>
      </c>
      <c r="G7173" s="9" t="s">
        <v>322</v>
      </c>
      <c r="H7173" s="5" t="s">
        <v>21</v>
      </c>
      <c r="I7173" s="5" t="s">
        <v>17482</v>
      </c>
      <c r="J7173" s="12" t="str">
        <f>HYPERLINK("https://www.boe.es/gazeta/dias/1802/12/07/pdfs/GMD-D-1802-99.pdf#page=10","Abrir facsímil")</f>
        <v>Abrir facsímil</v>
      </c>
      <c r="K7173" s="15" t="s">
        <v>23</v>
      </c>
    </row>
    <row r="7174" spans="1:11" ht="42" customHeight="1">
      <c r="A7174" s="4" t="s">
        <v>17483</v>
      </c>
      <c r="B7174" s="5" t="s">
        <v>17484</v>
      </c>
      <c r="C7174" s="5" t="s">
        <v>29</v>
      </c>
      <c r="D7174" s="5" t="s">
        <v>30</v>
      </c>
      <c r="E7174" s="5" t="s">
        <v>299</v>
      </c>
      <c r="F7174" s="9">
        <v>19</v>
      </c>
      <c r="G7174" s="9">
        <v>210</v>
      </c>
      <c r="H7174" s="5" t="s">
        <v>21</v>
      </c>
      <c r="I7174" s="5" t="s">
        <v>17485</v>
      </c>
      <c r="J7174" s="12" t="str">
        <f>HYPERLINK("https://www.boe.es/gazeta/dias/1802/03/05/pdfs/GMD-1802-19.pdf#page=10","Abrir facsímil")</f>
        <v>Abrir facsímil</v>
      </c>
      <c r="K7174" s="15" t="s">
        <v>23</v>
      </c>
    </row>
    <row r="7175" spans="1:11" ht="42" customHeight="1">
      <c r="A7175" s="4" t="s">
        <v>17486</v>
      </c>
      <c r="B7175" s="5" t="s">
        <v>17487</v>
      </c>
      <c r="C7175" s="5" t="s">
        <v>29</v>
      </c>
      <c r="D7175" s="5" t="s">
        <v>30</v>
      </c>
      <c r="E7175" s="5" t="s">
        <v>131</v>
      </c>
      <c r="F7175" s="9">
        <v>11</v>
      </c>
      <c r="G7175" s="9">
        <v>114</v>
      </c>
      <c r="H7175" s="5" t="s">
        <v>21</v>
      </c>
      <c r="I7175" s="5" t="s">
        <v>17488</v>
      </c>
      <c r="J7175" s="12" t="str">
        <f>HYPERLINK("https://www.boe.es/gazeta/dias/1802/02/05/pdfs/GMD-1802-11.pdf#page=10","Abrir facsímil")</f>
        <v>Abrir facsímil</v>
      </c>
      <c r="K7175" s="15" t="s">
        <v>23</v>
      </c>
    </row>
    <row r="7176" spans="1:11" ht="42" customHeight="1">
      <c r="A7176" s="4" t="s">
        <v>17486</v>
      </c>
      <c r="B7176" s="5" t="s">
        <v>17487</v>
      </c>
      <c r="C7176" s="5" t="s">
        <v>29</v>
      </c>
      <c r="D7176" s="5" t="s">
        <v>30</v>
      </c>
      <c r="E7176" s="5" t="s">
        <v>299</v>
      </c>
      <c r="F7176" s="9">
        <v>19</v>
      </c>
      <c r="G7176" s="9">
        <v>209</v>
      </c>
      <c r="H7176" s="5" t="s">
        <v>21</v>
      </c>
      <c r="I7176" s="5" t="s">
        <v>17489</v>
      </c>
      <c r="J7176" s="12" t="str">
        <f>HYPERLINK("https://www.boe.es/gazeta/dias/1802/03/05/pdfs/GMD-1802-19.pdf#page=9","Abrir facsímil")</f>
        <v>Abrir facsímil</v>
      </c>
      <c r="K7176" s="15" t="s">
        <v>23</v>
      </c>
    </row>
    <row r="7177" spans="1:11" ht="42" customHeight="1">
      <c r="A7177" s="4" t="s">
        <v>17486</v>
      </c>
      <c r="B7177" s="5" t="s">
        <v>17487</v>
      </c>
      <c r="C7177" s="5" t="s">
        <v>29</v>
      </c>
      <c r="D7177" s="5" t="s">
        <v>30</v>
      </c>
      <c r="E7177" s="5" t="s">
        <v>328</v>
      </c>
      <c r="F7177" s="9">
        <v>45</v>
      </c>
      <c r="G7177" s="9">
        <v>545</v>
      </c>
      <c r="H7177" s="5" t="s">
        <v>21</v>
      </c>
      <c r="I7177" s="5" t="s">
        <v>17490</v>
      </c>
      <c r="J7177" s="12" t="str">
        <f>HYPERLINK("https://www.boe.es/gazeta/dias/1802/06/04/pdfs/GMD-1802-45.pdf#page=9","Abrir facsímil")</f>
        <v>Abrir facsímil</v>
      </c>
      <c r="K7177" s="15" t="s">
        <v>23</v>
      </c>
    </row>
    <row r="7178" spans="1:11" ht="42" customHeight="1">
      <c r="A7178" s="4" t="s">
        <v>17486</v>
      </c>
      <c r="B7178" s="5" t="s">
        <v>17487</v>
      </c>
      <c r="C7178" s="5" t="s">
        <v>18</v>
      </c>
      <c r="D7178" s="5" t="s">
        <v>19</v>
      </c>
      <c r="E7178" s="5" t="s">
        <v>49</v>
      </c>
      <c r="F7178" s="9">
        <v>83</v>
      </c>
      <c r="G7178" s="9">
        <v>1024</v>
      </c>
      <c r="H7178" s="5" t="s">
        <v>21</v>
      </c>
      <c r="I7178" s="5" t="s">
        <v>17491</v>
      </c>
      <c r="J7178" s="12" t="str">
        <f>HYPERLINK("https://www.boe.es/gazeta/dias/1802/10/12/pdfs/GMD-1802-83.pdf#page=12","Abrir facsímil")</f>
        <v>Abrir facsímil</v>
      </c>
      <c r="K7178" s="15" t="s">
        <v>23</v>
      </c>
    </row>
    <row r="7179" spans="1:11" ht="42" customHeight="1">
      <c r="A7179" s="4" t="s">
        <v>17492</v>
      </c>
      <c r="B7179" s="5" t="s">
        <v>17493</v>
      </c>
      <c r="C7179" s="5" t="s">
        <v>29</v>
      </c>
      <c r="D7179" s="5" t="s">
        <v>30</v>
      </c>
      <c r="E7179" s="5" t="s">
        <v>311</v>
      </c>
      <c r="F7179" s="9">
        <v>88</v>
      </c>
      <c r="G7179" s="9">
        <v>1093</v>
      </c>
      <c r="H7179" s="5" t="s">
        <v>21</v>
      </c>
      <c r="I7179" s="5" t="s">
        <v>17494</v>
      </c>
      <c r="J7179" s="12" t="str">
        <f>HYPERLINK("https://www.boe.es/gazeta/dias/1802/10/29/pdfs/GMD-1802-88.pdf#page=9","Abrir facsímil")</f>
        <v>Abrir facsímil</v>
      </c>
      <c r="K7179" s="15" t="s">
        <v>23</v>
      </c>
    </row>
    <row r="7180" spans="1:11" ht="42" customHeight="1">
      <c r="A7180" s="4" t="s">
        <v>17495</v>
      </c>
      <c r="B7180" s="5" t="s">
        <v>17496</v>
      </c>
      <c r="C7180" s="5" t="s">
        <v>29</v>
      </c>
      <c r="D7180" s="5" t="s">
        <v>30</v>
      </c>
      <c r="E7180" s="5" t="s">
        <v>49</v>
      </c>
      <c r="F7180" s="9">
        <v>83</v>
      </c>
      <c r="G7180" s="9">
        <v>1020</v>
      </c>
      <c r="H7180" s="5" t="s">
        <v>21</v>
      </c>
      <c r="I7180" s="5" t="s">
        <v>17497</v>
      </c>
      <c r="J7180" s="12" t="str">
        <f>HYPERLINK("https://www.boe.es/gazeta/dias/1802/10/12/pdfs/GMD-1802-83.pdf#page=8","Abrir facsímil")</f>
        <v>Abrir facsímil</v>
      </c>
      <c r="K7180" s="15" t="s">
        <v>23</v>
      </c>
    </row>
    <row r="7181" spans="1:11" ht="42" customHeight="1">
      <c r="A7181" s="4" t="s">
        <v>17498</v>
      </c>
      <c r="B7181" s="5" t="s">
        <v>17499</v>
      </c>
      <c r="C7181" s="5" t="s">
        <v>29</v>
      </c>
      <c r="D7181" s="5" t="s">
        <v>30</v>
      </c>
      <c r="E7181" s="5" t="s">
        <v>881</v>
      </c>
      <c r="F7181" s="9">
        <v>65</v>
      </c>
      <c r="G7181" s="9">
        <v>794</v>
      </c>
      <c r="H7181" s="5" t="s">
        <v>21</v>
      </c>
      <c r="I7181" s="5" t="s">
        <v>17500</v>
      </c>
      <c r="J7181" s="12" t="str">
        <f>HYPERLINK("https://www.boe.es/gazeta/dias/1802/08/10/pdfs/GMD-1802-65.pdf#page=10","Abrir facsímil")</f>
        <v>Abrir facsímil</v>
      </c>
      <c r="K7181" s="15" t="s">
        <v>23</v>
      </c>
    </row>
    <row r="7182" spans="1:11" ht="42" customHeight="1">
      <c r="A7182" s="4" t="s">
        <v>17501</v>
      </c>
      <c r="B7182" s="5" t="s">
        <v>17502</v>
      </c>
      <c r="C7182" s="5" t="s">
        <v>18</v>
      </c>
      <c r="D7182" s="5" t="s">
        <v>19</v>
      </c>
      <c r="E7182" s="5" t="s">
        <v>764</v>
      </c>
      <c r="F7182" s="9">
        <v>69</v>
      </c>
      <c r="G7182" s="9">
        <v>849</v>
      </c>
      <c r="H7182" s="5" t="s">
        <v>21</v>
      </c>
      <c r="I7182" s="5" t="s">
        <v>17503</v>
      </c>
      <c r="J7182" s="12" t="str">
        <f>HYPERLINK("https://www.boe.es/gazeta/dias/1802/08/24/pdfs/GMD-1802-69.pdf#page=9","Abrir facsímil")</f>
        <v>Abrir facsímil</v>
      </c>
      <c r="K7182" s="15" t="s">
        <v>23</v>
      </c>
    </row>
    <row r="7183" spans="1:11" ht="42" customHeight="1">
      <c r="A7183" s="4" t="s">
        <v>17504</v>
      </c>
      <c r="B7183" s="5" t="s">
        <v>17505</v>
      </c>
      <c r="C7183" s="5" t="s">
        <v>55</v>
      </c>
      <c r="D7183" s="5" t="s">
        <v>56</v>
      </c>
      <c r="E7183" s="5" t="s">
        <v>109</v>
      </c>
      <c r="F7183" s="9">
        <v>10</v>
      </c>
      <c r="G7183" s="9">
        <v>100</v>
      </c>
      <c r="H7183" s="5" t="s">
        <v>21</v>
      </c>
      <c r="I7183" s="5" t="s">
        <v>17506</v>
      </c>
      <c r="J7183" s="12" t="str">
        <f>HYPERLINK("https://www.boe.es/gazeta/dias/1802/02/02/pdfs/GMD-1802-10.pdf#page=8","Abrir facsímil")</f>
        <v>Abrir facsímil</v>
      </c>
      <c r="K7183" s="15" t="s">
        <v>23</v>
      </c>
    </row>
    <row r="7184" spans="1:11" ht="42" customHeight="1">
      <c r="A7184" s="4" t="s">
        <v>17504</v>
      </c>
      <c r="B7184" s="5" t="s">
        <v>17505</v>
      </c>
      <c r="C7184" s="5" t="s">
        <v>55</v>
      </c>
      <c r="D7184" s="5" t="s">
        <v>56</v>
      </c>
      <c r="E7184" s="5" t="s">
        <v>900</v>
      </c>
      <c r="F7184" s="9">
        <v>16</v>
      </c>
      <c r="G7184" s="9">
        <v>172</v>
      </c>
      <c r="H7184" s="5" t="s">
        <v>21</v>
      </c>
      <c r="I7184" s="5" t="s">
        <v>17507</v>
      </c>
      <c r="J7184" s="12" t="str">
        <f>HYPERLINK("https://www.boe.es/gazeta/dias/1802/02/23/pdfs/GMD-1802-16.pdf#page=12","Abrir facsímil")</f>
        <v>Abrir facsímil</v>
      </c>
      <c r="K7184" s="15" t="s">
        <v>23</v>
      </c>
    </row>
    <row r="7185" spans="1:11" ht="42" customHeight="1">
      <c r="A7185" s="4" t="s">
        <v>17508</v>
      </c>
      <c r="B7185" s="5" t="s">
        <v>17509</v>
      </c>
      <c r="C7185" s="5" t="s">
        <v>29</v>
      </c>
      <c r="D7185" s="5" t="s">
        <v>30</v>
      </c>
      <c r="E7185" s="5" t="s">
        <v>439</v>
      </c>
      <c r="F7185" s="9">
        <v>76</v>
      </c>
      <c r="G7185" s="9">
        <v>939</v>
      </c>
      <c r="H7185" s="5" t="s">
        <v>21</v>
      </c>
      <c r="I7185" s="5" t="s">
        <v>17510</v>
      </c>
      <c r="J7185" s="12" t="str">
        <f>HYPERLINK("https://www.boe.es/gazeta/dias/1802/09/17/pdfs/GMD-1802-76.pdf#page=11","Abrir facsímil")</f>
        <v>Abrir facsímil</v>
      </c>
      <c r="K7185" s="15" t="s">
        <v>23</v>
      </c>
    </row>
    <row r="7186" spans="1:11" ht="42" customHeight="1">
      <c r="A7186" s="4" t="s">
        <v>17511</v>
      </c>
      <c r="B7186" s="5" t="s">
        <v>17511</v>
      </c>
      <c r="C7186" s="5" t="s">
        <v>55</v>
      </c>
      <c r="D7186" s="5" t="s">
        <v>56</v>
      </c>
      <c r="E7186" s="5" t="s">
        <v>921</v>
      </c>
      <c r="F7186" s="9">
        <v>50</v>
      </c>
      <c r="G7186" s="9">
        <v>611</v>
      </c>
      <c r="H7186" s="5" t="s">
        <v>21</v>
      </c>
      <c r="I7186" s="5" t="s">
        <v>17512</v>
      </c>
      <c r="J7186" s="12" t="str">
        <f>HYPERLINK("https://www.boe.es/gazeta/dias/1802/06/22/pdfs/GMD-1802-50.pdf#page=11","Abrir facsímil")</f>
        <v>Abrir facsímil</v>
      </c>
      <c r="K7186" s="15" t="s">
        <v>23</v>
      </c>
    </row>
    <row r="7187" spans="1:11" ht="42" customHeight="1">
      <c r="A7187" s="4" t="s">
        <v>17513</v>
      </c>
      <c r="B7187" s="5" t="s">
        <v>17514</v>
      </c>
      <c r="C7187" s="5" t="s">
        <v>160</v>
      </c>
      <c r="D7187" s="5" t="s">
        <v>91</v>
      </c>
      <c r="E7187" s="5" t="s">
        <v>381</v>
      </c>
      <c r="F7187" s="9">
        <v>13</v>
      </c>
      <c r="G7187" s="9">
        <v>131</v>
      </c>
      <c r="H7187" s="5" t="s">
        <v>21</v>
      </c>
      <c r="I7187" s="5" t="s">
        <v>17515</v>
      </c>
      <c r="J7187" s="12" t="str">
        <f>HYPERLINK("https://www.boe.es/gazeta/dias/1802/02/12/pdfs/GMD-1802-13.pdf#page=7","Abrir facsímil")</f>
        <v>Abrir facsímil</v>
      </c>
      <c r="K7187" s="15" t="s">
        <v>23</v>
      </c>
    </row>
    <row r="7188" spans="1:11" ht="42" customHeight="1">
      <c r="A7188" s="4" t="s">
        <v>17516</v>
      </c>
      <c r="B7188" s="5" t="s">
        <v>17517</v>
      </c>
      <c r="C7188" s="5" t="s">
        <v>29</v>
      </c>
      <c r="D7188" s="5" t="s">
        <v>30</v>
      </c>
      <c r="E7188" s="5" t="s">
        <v>86</v>
      </c>
      <c r="F7188" s="9">
        <v>26</v>
      </c>
      <c r="G7188" s="9">
        <v>297</v>
      </c>
      <c r="H7188" s="5" t="s">
        <v>21</v>
      </c>
      <c r="I7188" s="5" t="s">
        <v>17518</v>
      </c>
      <c r="J7188" s="12" t="str">
        <f>HYPERLINK("https://www.boe.es/gazeta/dias/1802/03/30/pdfs/GMD-1802-26.pdf#page=9","Abrir facsímil")</f>
        <v>Abrir facsímil</v>
      </c>
      <c r="K7188" s="15" t="s">
        <v>23</v>
      </c>
    </row>
    <row r="7189" spans="1:11" ht="42" customHeight="1">
      <c r="A7189" s="4" t="s">
        <v>17519</v>
      </c>
      <c r="B7189" s="5" t="s">
        <v>17520</v>
      </c>
      <c r="C7189" s="5" t="s">
        <v>55</v>
      </c>
      <c r="D7189" s="5" t="s">
        <v>56</v>
      </c>
      <c r="E7189" s="5" t="s">
        <v>1113</v>
      </c>
      <c r="F7189" s="9">
        <v>6</v>
      </c>
      <c r="G7189" s="9">
        <v>60</v>
      </c>
      <c r="H7189" s="5" t="s">
        <v>21</v>
      </c>
      <c r="I7189" s="5" t="s">
        <v>17521</v>
      </c>
      <c r="J7189" s="12" t="str">
        <f>HYPERLINK("https://www.boe.es/gazeta/dias/1802/01/19/pdfs/GMD-1802-6.pdf#page=8","Abrir facsímil")</f>
        <v>Abrir facsímil</v>
      </c>
      <c r="K7189" s="15" t="s">
        <v>23</v>
      </c>
    </row>
    <row r="7190" spans="1:11" ht="42" customHeight="1">
      <c r="A7190" s="4" t="s">
        <v>17522</v>
      </c>
      <c r="B7190" s="5" t="s">
        <v>17523</v>
      </c>
      <c r="C7190" s="5" t="s">
        <v>55</v>
      </c>
      <c r="D7190" s="5" t="s">
        <v>56</v>
      </c>
      <c r="E7190" s="5" t="s">
        <v>292</v>
      </c>
      <c r="F7190" s="9">
        <v>62</v>
      </c>
      <c r="G7190" s="9">
        <v>756</v>
      </c>
      <c r="H7190" s="5" t="s">
        <v>21</v>
      </c>
      <c r="I7190" s="5" t="s">
        <v>17524</v>
      </c>
      <c r="J7190" s="12" t="str">
        <f>HYPERLINK("https://www.boe.es/gazeta/dias/1802/07/30/pdfs/GMD-1802-62.pdf#page=12","Abrir facsímil")</f>
        <v>Abrir facsímil</v>
      </c>
      <c r="K7190" s="15" t="s">
        <v>23</v>
      </c>
    </row>
    <row r="7191" spans="1:11" ht="42" customHeight="1">
      <c r="A7191" s="4" t="s">
        <v>17525</v>
      </c>
      <c r="B7191" s="5" t="s">
        <v>17526</v>
      </c>
      <c r="C7191" s="5" t="s">
        <v>18</v>
      </c>
      <c r="D7191" s="5" t="s">
        <v>19</v>
      </c>
      <c r="E7191" s="5" t="s">
        <v>20</v>
      </c>
      <c r="F7191" s="9">
        <v>84</v>
      </c>
      <c r="G7191" s="9">
        <v>1044</v>
      </c>
      <c r="H7191" s="5" t="s">
        <v>21</v>
      </c>
      <c r="I7191" s="5" t="s">
        <v>17527</v>
      </c>
      <c r="J7191" s="12" t="str">
        <f>HYPERLINK("https://www.boe.es/gazeta/dias/1802/10/15/pdfs/GMD-1802-84.pdf#page=12","Abrir facsímil")</f>
        <v>Abrir facsímil</v>
      </c>
      <c r="K7191" s="15" t="s">
        <v>23</v>
      </c>
    </row>
    <row r="7192" spans="1:11" ht="42" customHeight="1">
      <c r="A7192" s="4" t="s">
        <v>17528</v>
      </c>
      <c r="B7192" s="5" t="s">
        <v>17529</v>
      </c>
      <c r="C7192" s="5" t="s">
        <v>29</v>
      </c>
      <c r="D7192" s="5" t="s">
        <v>30</v>
      </c>
      <c r="E7192" s="5" t="s">
        <v>611</v>
      </c>
      <c r="F7192" s="9">
        <v>68</v>
      </c>
      <c r="G7192" s="9">
        <v>834</v>
      </c>
      <c r="H7192" s="5" t="s">
        <v>21</v>
      </c>
      <c r="I7192" s="5" t="s">
        <v>17530</v>
      </c>
      <c r="J7192" s="12" t="str">
        <f>HYPERLINK("https://www.boe.es/gazeta/dias/1802/08/20/pdfs/GMD-1802-68.pdf#page=10","Abrir facsímil")</f>
        <v>Abrir facsímil</v>
      </c>
      <c r="K7192" s="15" t="s">
        <v>23</v>
      </c>
    </row>
    <row r="7193" spans="1:11" ht="42" customHeight="1">
      <c r="A7193" s="4" t="s">
        <v>17531</v>
      </c>
      <c r="B7193" s="5" t="s">
        <v>17532</v>
      </c>
      <c r="C7193" s="5" t="s">
        <v>35</v>
      </c>
      <c r="D7193" s="5" t="s">
        <v>36</v>
      </c>
      <c r="E7193" s="5" t="s">
        <v>185</v>
      </c>
      <c r="F7193" s="9">
        <v>95</v>
      </c>
      <c r="G7193" s="9">
        <v>1174</v>
      </c>
      <c r="H7193" s="5" t="s">
        <v>21</v>
      </c>
      <c r="I7193" s="5" t="s">
        <v>17533</v>
      </c>
      <c r="J7193" s="12" t="str">
        <f>HYPERLINK("https://www.boe.es/gazeta/dias/1802/11/23/pdfs/GMD-1802-95.pdf#page=10","Abrir facsímil")</f>
        <v>Abrir facsímil</v>
      </c>
      <c r="K7193" s="15" t="s">
        <v>23</v>
      </c>
    </row>
    <row r="7194" spans="1:11" ht="42" customHeight="1">
      <c r="A7194" s="4" t="s">
        <v>17534</v>
      </c>
      <c r="B7194" s="5" t="s">
        <v>17535</v>
      </c>
      <c r="C7194" s="5" t="s">
        <v>2417</v>
      </c>
      <c r="D7194" s="5" t="s">
        <v>2418</v>
      </c>
      <c r="E7194" s="5" t="s">
        <v>206</v>
      </c>
      <c r="F7194" s="9">
        <v>22</v>
      </c>
      <c r="G7194" s="9">
        <v>246</v>
      </c>
      <c r="H7194" s="5" t="s">
        <v>21</v>
      </c>
      <c r="I7194" s="5" t="s">
        <v>17536</v>
      </c>
      <c r="J7194" s="12" t="str">
        <f>HYPERLINK("https://www.boe.es/gazeta/dias/1802/03/16/pdfs/GMD-C-1802-22.pdf#page=2","Abrir facsímil")</f>
        <v>Abrir facsímil</v>
      </c>
      <c r="K7194" s="15" t="s">
        <v>23</v>
      </c>
    </row>
    <row r="7195" spans="1:11" ht="42" customHeight="1">
      <c r="A7195" s="4" t="s">
        <v>17534</v>
      </c>
      <c r="B7195" s="5" t="s">
        <v>17535</v>
      </c>
      <c r="C7195" s="5" t="s">
        <v>18</v>
      </c>
      <c r="D7195" s="5" t="s">
        <v>19</v>
      </c>
      <c r="E7195" s="5" t="s">
        <v>332</v>
      </c>
      <c r="F7195" s="9">
        <v>24</v>
      </c>
      <c r="G7195" s="9">
        <v>273</v>
      </c>
      <c r="H7195" s="5" t="s">
        <v>21</v>
      </c>
      <c r="I7195" s="5" t="s">
        <v>17537</v>
      </c>
      <c r="J7195" s="12" t="str">
        <f>HYPERLINK("https://www.boe.es/gazeta/dias/1802/03/23/pdfs/GMD-1802-24.pdf#page=9","Abrir facsímil")</f>
        <v>Abrir facsímil</v>
      </c>
      <c r="K7195" s="15" t="s">
        <v>23</v>
      </c>
    </row>
    <row r="7196" spans="1:11" ht="42" customHeight="1">
      <c r="A7196" s="4" t="s">
        <v>17534</v>
      </c>
      <c r="B7196" s="5" t="s">
        <v>17535</v>
      </c>
      <c r="C7196" s="5" t="s">
        <v>18</v>
      </c>
      <c r="D7196" s="5" t="s">
        <v>19</v>
      </c>
      <c r="E7196" s="5" t="s">
        <v>1749</v>
      </c>
      <c r="F7196" s="9">
        <v>60</v>
      </c>
      <c r="G7196" s="9">
        <v>730</v>
      </c>
      <c r="H7196" s="5" t="s">
        <v>21</v>
      </c>
      <c r="I7196" s="5" t="s">
        <v>17538</v>
      </c>
      <c r="J7196" s="12" t="str">
        <f>HYPERLINK("https://www.boe.es/gazeta/dias/1802/07/23/pdfs/GMD-1802-60.pdf#page=14","Abrir facsímil")</f>
        <v>Abrir facsímil</v>
      </c>
      <c r="K7196" s="15" t="s">
        <v>23</v>
      </c>
    </row>
    <row r="7197" spans="1:11" ht="42" customHeight="1">
      <c r="A7197" s="4" t="s">
        <v>17534</v>
      </c>
      <c r="B7197" s="5" t="s">
        <v>17535</v>
      </c>
      <c r="C7197" s="5" t="s">
        <v>18</v>
      </c>
      <c r="D7197" s="5" t="s">
        <v>19</v>
      </c>
      <c r="E7197" s="5" t="s">
        <v>517</v>
      </c>
      <c r="F7197" s="9">
        <v>61</v>
      </c>
      <c r="G7197" s="9">
        <v>742</v>
      </c>
      <c r="H7197" s="5" t="s">
        <v>21</v>
      </c>
      <c r="I7197" s="5" t="s">
        <v>17539</v>
      </c>
      <c r="J7197" s="12" t="str">
        <f>HYPERLINK("https://www.boe.es/gazeta/dias/1802/07/27/pdfs/GMD-1802-61.pdf#page=10","Abrir facsímil")</f>
        <v>Abrir facsímil</v>
      </c>
      <c r="K7197" s="15" t="s">
        <v>23</v>
      </c>
    </row>
    <row r="7198" spans="1:11" ht="42" customHeight="1">
      <c r="A7198" s="4" t="s">
        <v>17534</v>
      </c>
      <c r="B7198" s="5" t="s">
        <v>17535</v>
      </c>
      <c r="C7198" s="5" t="s">
        <v>18</v>
      </c>
      <c r="D7198" s="5" t="s">
        <v>19</v>
      </c>
      <c r="E7198" s="5" t="s">
        <v>292</v>
      </c>
      <c r="F7198" s="9">
        <v>62</v>
      </c>
      <c r="G7198" s="9">
        <v>754</v>
      </c>
      <c r="H7198" s="5" t="s">
        <v>21</v>
      </c>
      <c r="I7198" s="5" t="s">
        <v>17540</v>
      </c>
      <c r="J7198" s="12" t="str">
        <f>HYPERLINK("https://www.boe.es/gazeta/dias/1802/07/30/pdfs/GMD-1802-62.pdf#page=10","Abrir facsímil")</f>
        <v>Abrir facsímil</v>
      </c>
      <c r="K7198" s="15" t="s">
        <v>23</v>
      </c>
    </row>
    <row r="7199" spans="1:11" ht="42" customHeight="1">
      <c r="A7199" s="4" t="s">
        <v>17534</v>
      </c>
      <c r="B7199" s="5" t="s">
        <v>17535</v>
      </c>
      <c r="C7199" s="5" t="s">
        <v>18</v>
      </c>
      <c r="D7199" s="5" t="s">
        <v>19</v>
      </c>
      <c r="E7199" s="5" t="s">
        <v>1185</v>
      </c>
      <c r="F7199" s="9">
        <v>93</v>
      </c>
      <c r="G7199" s="9">
        <v>1151</v>
      </c>
      <c r="H7199" s="5" t="s">
        <v>21</v>
      </c>
      <c r="I7199" s="5" t="s">
        <v>17541</v>
      </c>
      <c r="J7199" s="12" t="str">
        <f>HYPERLINK("https://www.boe.es/gazeta/dias/1802/11/16/pdfs/GMD-1802-93.pdf#page=11","Abrir facsímil")</f>
        <v>Abrir facsímil</v>
      </c>
      <c r="K7199" s="15" t="s">
        <v>23</v>
      </c>
    </row>
    <row r="7200" spans="1:11" ht="42" customHeight="1">
      <c r="A7200" s="4" t="s">
        <v>17534</v>
      </c>
      <c r="B7200" s="5" t="s">
        <v>17535</v>
      </c>
      <c r="C7200" s="5" t="s">
        <v>35</v>
      </c>
      <c r="D7200" s="5" t="s">
        <v>36</v>
      </c>
      <c r="E7200" s="5" t="s">
        <v>823</v>
      </c>
      <c r="F7200" s="9">
        <v>94</v>
      </c>
      <c r="G7200" s="9">
        <v>1163</v>
      </c>
      <c r="H7200" s="5" t="s">
        <v>21</v>
      </c>
      <c r="I7200" s="5" t="s">
        <v>17542</v>
      </c>
      <c r="J7200" s="12" t="str">
        <f>HYPERLINK("https://www.boe.es/gazeta/dias/1802/11/19/pdfs/GMD-1802-94.pdf#page=11","Abrir facsímil")</f>
        <v>Abrir facsímil</v>
      </c>
      <c r="K7200" s="15" t="s">
        <v>23</v>
      </c>
    </row>
    <row r="7201" spans="1:11" ht="42" customHeight="1">
      <c r="A7201" s="4" t="s">
        <v>17543</v>
      </c>
      <c r="B7201" s="5" t="s">
        <v>17544</v>
      </c>
      <c r="C7201" s="5" t="s">
        <v>29</v>
      </c>
      <c r="D7201" s="5" t="s">
        <v>30</v>
      </c>
      <c r="E7201" s="5" t="s">
        <v>1407</v>
      </c>
      <c r="F7201" s="9">
        <v>8</v>
      </c>
      <c r="G7201" s="9">
        <v>78</v>
      </c>
      <c r="H7201" s="5" t="s">
        <v>21</v>
      </c>
      <c r="I7201" s="5" t="s">
        <v>17545</v>
      </c>
      <c r="J7201" s="12" t="str">
        <f>HYPERLINK("https://www.boe.es/gazeta/dias/1802/01/26/pdfs/GMD-1802-8.pdf#page=6","Abrir facsímil")</f>
        <v>Abrir facsímil</v>
      </c>
      <c r="K7201" s="15" t="s">
        <v>23</v>
      </c>
    </row>
    <row r="7202" spans="1:11" ht="42" customHeight="1">
      <c r="A7202" s="4" t="s">
        <v>17546</v>
      </c>
      <c r="B7202" s="5" t="s">
        <v>17547</v>
      </c>
      <c r="C7202" s="5" t="s">
        <v>572</v>
      </c>
      <c r="D7202" s="5" t="s">
        <v>573</v>
      </c>
      <c r="E7202" s="5" t="s">
        <v>574</v>
      </c>
      <c r="F7202" s="9" t="s">
        <v>575</v>
      </c>
      <c r="G7202" s="9">
        <v>713</v>
      </c>
      <c r="H7202" s="5" t="s">
        <v>21</v>
      </c>
      <c r="I7202" s="5" t="s">
        <v>17548</v>
      </c>
      <c r="J7202" s="12" t="str">
        <f>HYPERLINK("https://www.boe.es/gazeta/dias/1802/07/21/pdfs/GMD-1802-59E.pdf#page=9","Abrir facsímil")</f>
        <v>Abrir facsímil</v>
      </c>
      <c r="K7202" s="15" t="s">
        <v>23</v>
      </c>
    </row>
    <row r="7203" spans="1:11" ht="42" customHeight="1">
      <c r="A7203" s="4" t="s">
        <v>17549</v>
      </c>
      <c r="B7203" s="5" t="s">
        <v>17550</v>
      </c>
      <c r="C7203" s="5" t="s">
        <v>29</v>
      </c>
      <c r="D7203" s="5" t="s">
        <v>30</v>
      </c>
      <c r="E7203" s="5" t="s">
        <v>128</v>
      </c>
      <c r="F7203" s="9">
        <v>9</v>
      </c>
      <c r="G7203" s="9">
        <v>90</v>
      </c>
      <c r="H7203" s="5" t="s">
        <v>21</v>
      </c>
      <c r="I7203" s="5" t="s">
        <v>17551</v>
      </c>
      <c r="J7203" s="12" t="str">
        <f>HYPERLINK("https://www.boe.es/gazeta/dias/1802/01/29/pdfs/GMD-1802-9.pdf#page=10","Abrir facsímil")</f>
        <v>Abrir facsímil</v>
      </c>
      <c r="K7203" s="15" t="s">
        <v>23</v>
      </c>
    </row>
    <row r="7204" spans="1:11" ht="42" customHeight="1">
      <c r="A7204" s="4" t="s">
        <v>17552</v>
      </c>
      <c r="B7204" s="5" t="s">
        <v>17553</v>
      </c>
      <c r="C7204" s="5" t="s">
        <v>35</v>
      </c>
      <c r="D7204" s="5" t="s">
        <v>36</v>
      </c>
      <c r="E7204" s="5" t="s">
        <v>865</v>
      </c>
      <c r="F7204" s="9">
        <v>12</v>
      </c>
      <c r="G7204" s="9">
        <v>123</v>
      </c>
      <c r="H7204" s="5" t="s">
        <v>21</v>
      </c>
      <c r="I7204" s="5" t="s">
        <v>17554</v>
      </c>
      <c r="J7204" s="12" t="str">
        <f>HYPERLINK("https://www.boe.es/gazeta/dias/1802/02/09/pdfs/GMD-1802-12.pdf#page=7","Abrir facsímil")</f>
        <v>Abrir facsímil</v>
      </c>
      <c r="K7204" s="15" t="s">
        <v>23</v>
      </c>
    </row>
    <row r="7205" spans="1:11" ht="42" customHeight="1">
      <c r="A7205" s="4" t="s">
        <v>17555</v>
      </c>
      <c r="B7205" s="5" t="s">
        <v>17556</v>
      </c>
      <c r="C7205" s="5" t="s">
        <v>18</v>
      </c>
      <c r="D7205" s="5" t="s">
        <v>19</v>
      </c>
      <c r="E7205" s="5" t="s">
        <v>1959</v>
      </c>
      <c r="F7205" s="9">
        <v>34</v>
      </c>
      <c r="G7205" s="9">
        <v>399</v>
      </c>
      <c r="H7205" s="5" t="s">
        <v>21</v>
      </c>
      <c r="I7205" s="5" t="s">
        <v>17557</v>
      </c>
      <c r="J7205" s="12" t="str">
        <f>HYPERLINK("https://www.boe.es/gazeta/dias/1802/04/27/pdfs/GMD-1802-34.pdf#page=11","Abrir facsímil")</f>
        <v>Abrir facsímil</v>
      </c>
      <c r="K7205" s="15" t="s">
        <v>23</v>
      </c>
    </row>
    <row r="7206" spans="1:11" ht="42" customHeight="1">
      <c r="A7206" s="4" t="s">
        <v>17558</v>
      </c>
      <c r="B7206" s="5" t="s">
        <v>17559</v>
      </c>
      <c r="C7206" s="5" t="s">
        <v>29</v>
      </c>
      <c r="D7206" s="5" t="s">
        <v>30</v>
      </c>
      <c r="E7206" s="5" t="s">
        <v>165</v>
      </c>
      <c r="F7206" s="9">
        <v>3</v>
      </c>
      <c r="G7206" s="9">
        <v>23</v>
      </c>
      <c r="H7206" s="5" t="s">
        <v>21</v>
      </c>
      <c r="I7206" s="5" t="s">
        <v>17560</v>
      </c>
      <c r="J7206" s="12" t="str">
        <f>HYPERLINK("https://www.boe.es/gazeta/dias/1802/01/08/pdfs/GMD-1802-3.pdf#page=3","Abrir facsímil")</f>
        <v>Abrir facsímil</v>
      </c>
      <c r="K7206" s="15" t="s">
        <v>23</v>
      </c>
    </row>
    <row r="7207" spans="1:11" ht="42" customHeight="1">
      <c r="A7207" s="4" t="s">
        <v>17561</v>
      </c>
      <c r="B7207" s="5" t="s">
        <v>17562</v>
      </c>
      <c r="C7207" s="5" t="s">
        <v>29</v>
      </c>
      <c r="D7207" s="5" t="s">
        <v>30</v>
      </c>
      <c r="E7207" s="5" t="s">
        <v>82</v>
      </c>
      <c r="F7207" s="9">
        <v>74</v>
      </c>
      <c r="G7207" s="9">
        <v>915</v>
      </c>
      <c r="H7207" s="5" t="s">
        <v>21</v>
      </c>
      <c r="I7207" s="5" t="s">
        <v>17563</v>
      </c>
      <c r="J7207" s="12" t="str">
        <f>HYPERLINK("https://www.boe.es/gazeta/dias/1802/09/10/pdfs/GMD-1802-74.pdf#page=11","Abrir facsímil")</f>
        <v>Abrir facsímil</v>
      </c>
      <c r="K7207" s="15" t="s">
        <v>23</v>
      </c>
    </row>
    <row r="7208" spans="1:11" ht="42" customHeight="1">
      <c r="A7208" s="4" t="s">
        <v>17564</v>
      </c>
      <c r="B7208" s="5" t="s">
        <v>17565</v>
      </c>
      <c r="C7208" s="5" t="s">
        <v>18</v>
      </c>
      <c r="D7208" s="5" t="s">
        <v>19</v>
      </c>
      <c r="E7208" s="5" t="s">
        <v>20</v>
      </c>
      <c r="F7208" s="9">
        <v>84</v>
      </c>
      <c r="G7208" s="9">
        <v>1041</v>
      </c>
      <c r="H7208" s="5" t="s">
        <v>21</v>
      </c>
      <c r="I7208" s="5" t="s">
        <v>17566</v>
      </c>
      <c r="J7208" s="12" t="str">
        <f>HYPERLINK("https://www.boe.es/gazeta/dias/1802/10/15/pdfs/GMD-1802-84.pdf#page=9","Abrir facsímil")</f>
        <v>Abrir facsímil</v>
      </c>
      <c r="K7208" s="15" t="s">
        <v>23</v>
      </c>
    </row>
    <row r="7209" spans="1:11" ht="42" customHeight="1">
      <c r="A7209" s="4" t="s">
        <v>17567</v>
      </c>
      <c r="B7209" s="5" t="s">
        <v>17568</v>
      </c>
      <c r="C7209" s="5" t="s">
        <v>160</v>
      </c>
      <c r="D7209" s="5" t="s">
        <v>91</v>
      </c>
      <c r="E7209" s="5" t="s">
        <v>20</v>
      </c>
      <c r="F7209" s="9">
        <v>84</v>
      </c>
      <c r="G7209" s="9">
        <v>1043</v>
      </c>
      <c r="H7209" s="5" t="s">
        <v>21</v>
      </c>
      <c r="I7209" s="5" t="s">
        <v>17569</v>
      </c>
      <c r="J7209" s="12" t="str">
        <f>HYPERLINK("https://www.boe.es/gazeta/dias/1802/10/15/pdfs/GMD-1802-84.pdf#page=11","Abrir facsímil")</f>
        <v>Abrir facsímil</v>
      </c>
      <c r="K7209" s="15" t="s">
        <v>23</v>
      </c>
    </row>
    <row r="7210" spans="1:11" ht="42" customHeight="1">
      <c r="A7210" s="4" t="s">
        <v>17570</v>
      </c>
      <c r="B7210" s="5" t="s">
        <v>17571</v>
      </c>
      <c r="C7210" s="5" t="s">
        <v>42</v>
      </c>
      <c r="D7210" s="5" t="s">
        <v>43</v>
      </c>
      <c r="E7210" s="5" t="s">
        <v>44</v>
      </c>
      <c r="F7210" s="9">
        <v>99</v>
      </c>
      <c r="G7210" s="9" t="s">
        <v>537</v>
      </c>
      <c r="H7210" s="5" t="s">
        <v>21</v>
      </c>
      <c r="I7210" s="5" t="s">
        <v>17572</v>
      </c>
      <c r="J7210" s="12" t="str">
        <f>HYPERLINK("https://www.boe.es/gazeta/dias/1802/12/07/pdfs/GMD-D-1802-99.pdf#page=9","Abrir facsímil")</f>
        <v>Abrir facsímil</v>
      </c>
      <c r="K7210" s="15" t="s">
        <v>23</v>
      </c>
    </row>
    <row r="7211" spans="1:11" ht="42" customHeight="1">
      <c r="A7211" s="4" t="s">
        <v>17573</v>
      </c>
      <c r="B7211" s="5" t="s">
        <v>17574</v>
      </c>
      <c r="C7211" s="5" t="s">
        <v>18</v>
      </c>
      <c r="D7211" s="5" t="s">
        <v>19</v>
      </c>
      <c r="E7211" s="5" t="s">
        <v>20</v>
      </c>
      <c r="F7211" s="9">
        <v>84</v>
      </c>
      <c r="G7211" s="9">
        <v>1044</v>
      </c>
      <c r="H7211" s="5" t="s">
        <v>21</v>
      </c>
      <c r="I7211" s="5" t="s">
        <v>17575</v>
      </c>
      <c r="J7211" s="12" t="str">
        <f>HYPERLINK("https://www.boe.es/gazeta/dias/1802/10/15/pdfs/GMD-1802-84.pdf#page=12","Abrir facsímil")</f>
        <v>Abrir facsímil</v>
      </c>
      <c r="K7211" s="15" t="s">
        <v>23</v>
      </c>
    </row>
    <row r="7212" spans="1:11" ht="42" customHeight="1">
      <c r="A7212" s="4" t="s">
        <v>17576</v>
      </c>
      <c r="B7212" s="5" t="s">
        <v>17576</v>
      </c>
      <c r="C7212" s="5" t="s">
        <v>35</v>
      </c>
      <c r="D7212" s="5" t="s">
        <v>36</v>
      </c>
      <c r="E7212" s="5" t="s">
        <v>247</v>
      </c>
      <c r="F7212" s="9">
        <v>14</v>
      </c>
      <c r="G7212" s="9">
        <v>141</v>
      </c>
      <c r="H7212" s="5" t="s">
        <v>21</v>
      </c>
      <c r="I7212" s="5" t="s">
        <v>17577</v>
      </c>
      <c r="J7212" s="12" t="str">
        <f>HYPERLINK("https://www.boe.es/gazeta/dias/1802/02/16/pdfs/GMD-1802-14.pdf#page=5","Abrir facsímil")</f>
        <v>Abrir facsímil</v>
      </c>
      <c r="K7212" s="15" t="s">
        <v>23</v>
      </c>
    </row>
    <row r="7213" spans="1:11" ht="42" customHeight="1">
      <c r="A7213" s="4" t="s">
        <v>17578</v>
      </c>
      <c r="B7213" s="5" t="s">
        <v>17579</v>
      </c>
      <c r="C7213" s="5" t="s">
        <v>18</v>
      </c>
      <c r="D7213" s="5" t="s">
        <v>19</v>
      </c>
      <c r="E7213" s="5" t="s">
        <v>20</v>
      </c>
      <c r="F7213" s="9">
        <v>84</v>
      </c>
      <c r="G7213" s="9">
        <v>1041</v>
      </c>
      <c r="H7213" s="5" t="s">
        <v>21</v>
      </c>
      <c r="I7213" s="5" t="s">
        <v>17580</v>
      </c>
      <c r="J7213" s="12" t="str">
        <f>HYPERLINK("https://www.boe.es/gazeta/dias/1802/10/15/pdfs/GMD-1802-84.pdf#page=9","Abrir facsímil")</f>
        <v>Abrir facsímil</v>
      </c>
      <c r="K7213" s="15" t="s">
        <v>23</v>
      </c>
    </row>
    <row r="7214" spans="1:11" ht="42" customHeight="1">
      <c r="A7214" s="4" t="s">
        <v>17581</v>
      </c>
      <c r="B7214" s="5" t="s">
        <v>17582</v>
      </c>
      <c r="C7214" s="5" t="s">
        <v>90</v>
      </c>
      <c r="D7214" s="5" t="s">
        <v>91</v>
      </c>
      <c r="E7214" s="5" t="s">
        <v>152</v>
      </c>
      <c r="F7214" s="9">
        <v>25</v>
      </c>
      <c r="G7214" s="9">
        <v>285</v>
      </c>
      <c r="H7214" s="5" t="s">
        <v>21</v>
      </c>
      <c r="I7214" s="5" t="s">
        <v>17583</v>
      </c>
      <c r="J7214" s="12" t="str">
        <f>HYPERLINK("https://www.boe.es/gazeta/dias/1802/03/26/pdfs/GMD-1802-25.pdf#page=9","Abrir facsímil")</f>
        <v>Abrir facsímil</v>
      </c>
      <c r="K7214" s="15" t="s">
        <v>23</v>
      </c>
    </row>
    <row r="7215" spans="1:11" ht="42" customHeight="1">
      <c r="A7215" s="4" t="s">
        <v>17584</v>
      </c>
      <c r="B7215" s="5" t="s">
        <v>17585</v>
      </c>
      <c r="C7215" s="5" t="s">
        <v>42</v>
      </c>
      <c r="D7215" s="5" t="s">
        <v>43</v>
      </c>
      <c r="E7215" s="5" t="s">
        <v>44</v>
      </c>
      <c r="F7215" s="9">
        <v>99</v>
      </c>
      <c r="G7215" s="9" t="s">
        <v>314</v>
      </c>
      <c r="H7215" s="5" t="s">
        <v>21</v>
      </c>
      <c r="I7215" s="5" t="s">
        <v>17586</v>
      </c>
      <c r="J7215" s="12" t="str">
        <f>HYPERLINK("https://www.boe.es/gazeta/dias/1802/12/07/pdfs/GMD-D-1802-99.pdf#page=2","Abrir facsímil")</f>
        <v>Abrir facsímil</v>
      </c>
      <c r="K7215" s="15" t="s">
        <v>23</v>
      </c>
    </row>
    <row r="7216" spans="1:11" ht="42" customHeight="1">
      <c r="A7216" s="4" t="s">
        <v>17587</v>
      </c>
      <c r="B7216" s="5" t="s">
        <v>17588</v>
      </c>
      <c r="C7216" s="5" t="s">
        <v>42</v>
      </c>
      <c r="D7216" s="5" t="s">
        <v>43</v>
      </c>
      <c r="E7216" s="5" t="s">
        <v>44</v>
      </c>
      <c r="F7216" s="9">
        <v>99</v>
      </c>
      <c r="G7216" s="9" t="s">
        <v>548</v>
      </c>
      <c r="H7216" s="5" t="s">
        <v>21</v>
      </c>
      <c r="I7216" s="5" t="s">
        <v>17589</v>
      </c>
      <c r="J7216" s="12" t="str">
        <f>HYPERLINK("https://www.boe.es/gazeta/dias/1802/12/07/pdfs/GMD-D-1802-99.pdf#page=12","Abrir facsímil")</f>
        <v>Abrir facsímil</v>
      </c>
      <c r="K7216" s="15" t="s">
        <v>23</v>
      </c>
    </row>
    <row r="7217" spans="1:11" ht="42" customHeight="1">
      <c r="A7217" s="4" t="s">
        <v>17590</v>
      </c>
      <c r="B7217" s="5" t="s">
        <v>17591</v>
      </c>
      <c r="C7217" s="5" t="s">
        <v>90</v>
      </c>
      <c r="D7217" s="5" t="s">
        <v>91</v>
      </c>
      <c r="E7217" s="5" t="s">
        <v>642</v>
      </c>
      <c r="F7217" s="9">
        <v>51</v>
      </c>
      <c r="G7217" s="9">
        <v>623</v>
      </c>
      <c r="H7217" s="5" t="s">
        <v>21</v>
      </c>
      <c r="I7217" s="5" t="s">
        <v>17592</v>
      </c>
      <c r="J7217" s="12" t="str">
        <f>HYPERLINK("https://www.boe.es/gazeta/dias/1802/06/25/pdfs/GMD-1802-51.pdf#page=11","Abrir facsímil")</f>
        <v>Abrir facsímil</v>
      </c>
      <c r="K7217" s="15" t="s">
        <v>23</v>
      </c>
    </row>
    <row r="7218" spans="1:11" ht="42" customHeight="1">
      <c r="A7218" s="4" t="s">
        <v>17590</v>
      </c>
      <c r="B7218" s="5" t="s">
        <v>17591</v>
      </c>
      <c r="C7218" s="5" t="s">
        <v>90</v>
      </c>
      <c r="D7218" s="5" t="s">
        <v>91</v>
      </c>
      <c r="E7218" s="5" t="s">
        <v>749</v>
      </c>
      <c r="F7218" s="9">
        <v>97</v>
      </c>
      <c r="G7218" s="9">
        <v>1203</v>
      </c>
      <c r="H7218" s="5" t="s">
        <v>21</v>
      </c>
      <c r="I7218" s="5" t="s">
        <v>17593</v>
      </c>
      <c r="J7218" s="12" t="str">
        <f>HYPERLINK("https://www.boe.es/gazeta/dias/1802/11/30/pdfs/GMD-1802-97.pdf#page=11","Abrir facsímil")</f>
        <v>Abrir facsímil</v>
      </c>
      <c r="K7218" s="15" t="s">
        <v>23</v>
      </c>
    </row>
    <row r="7219" spans="1:11" ht="42" customHeight="1">
      <c r="A7219" s="4" t="s">
        <v>17590</v>
      </c>
      <c r="B7219" s="5" t="s">
        <v>17591</v>
      </c>
      <c r="C7219" s="5" t="s">
        <v>90</v>
      </c>
      <c r="D7219" s="5" t="s">
        <v>91</v>
      </c>
      <c r="E7219" s="5" t="s">
        <v>749</v>
      </c>
      <c r="F7219" s="9">
        <v>97</v>
      </c>
      <c r="G7219" s="9">
        <v>1204</v>
      </c>
      <c r="H7219" s="5" t="s">
        <v>21</v>
      </c>
      <c r="I7219" s="5" t="s">
        <v>17594</v>
      </c>
      <c r="J7219" s="12" t="str">
        <f>HYPERLINK("https://www.boe.es/gazeta/dias/1802/11/30/pdfs/GMD-1802-97.pdf#page=12","Abrir facsímil")</f>
        <v>Abrir facsímil</v>
      </c>
      <c r="K7219" s="15" t="s">
        <v>23</v>
      </c>
    </row>
    <row r="7220" spans="1:11" ht="42" customHeight="1">
      <c r="A7220" s="4" t="s">
        <v>17595</v>
      </c>
      <c r="B7220" s="5" t="s">
        <v>17596</v>
      </c>
      <c r="C7220" s="5" t="s">
        <v>18</v>
      </c>
      <c r="D7220" s="5" t="s">
        <v>19</v>
      </c>
      <c r="E7220" s="5" t="s">
        <v>1051</v>
      </c>
      <c r="F7220" s="9">
        <v>43</v>
      </c>
      <c r="G7220" s="9">
        <v>517</v>
      </c>
      <c r="H7220" s="5" t="s">
        <v>21</v>
      </c>
      <c r="I7220" s="5" t="s">
        <v>17597</v>
      </c>
      <c r="J7220" s="12" t="str">
        <f>HYPERLINK("https://www.boe.es/gazeta/dias/1802/05/28/pdfs/GMD-1802-43.pdf#page=9","Abrir facsímil")</f>
        <v>Abrir facsímil</v>
      </c>
      <c r="K7220" s="15" t="s">
        <v>23</v>
      </c>
    </row>
    <row r="7221" spans="1:11" ht="42" customHeight="1">
      <c r="A7221" s="4" t="s">
        <v>17598</v>
      </c>
      <c r="B7221" s="5" t="s">
        <v>17599</v>
      </c>
      <c r="C7221" s="5" t="s">
        <v>29</v>
      </c>
      <c r="D7221" s="5" t="s">
        <v>30</v>
      </c>
      <c r="E7221" s="5" t="s">
        <v>192</v>
      </c>
      <c r="F7221" s="9">
        <v>53</v>
      </c>
      <c r="G7221" s="9">
        <v>642</v>
      </c>
      <c r="H7221" s="5" t="s">
        <v>21</v>
      </c>
      <c r="I7221" s="5" t="s">
        <v>17600</v>
      </c>
      <c r="J7221" s="12" t="str">
        <f>HYPERLINK("https://www.boe.es/gazeta/dias/1802/07/02/pdfs/GMD-1802-53.pdf#page=10","Abrir facsímil")</f>
        <v>Abrir facsímil</v>
      </c>
      <c r="K7221" s="15" t="s">
        <v>23</v>
      </c>
    </row>
    <row r="7222" spans="1:11" ht="42" customHeight="1">
      <c r="A7222" s="4" t="s">
        <v>17601</v>
      </c>
      <c r="B7222" s="5" t="s">
        <v>17602</v>
      </c>
      <c r="C7222" s="5" t="s">
        <v>90</v>
      </c>
      <c r="D7222" s="5" t="s">
        <v>91</v>
      </c>
      <c r="E7222" s="5" t="s">
        <v>1407</v>
      </c>
      <c r="F7222" s="9">
        <v>8</v>
      </c>
      <c r="G7222" s="9">
        <v>78</v>
      </c>
      <c r="H7222" s="5" t="s">
        <v>21</v>
      </c>
      <c r="I7222" s="5" t="s">
        <v>17603</v>
      </c>
      <c r="J7222" s="12" t="str">
        <f>HYPERLINK("https://www.boe.es/gazeta/dias/1802/01/26/pdfs/GMD-1802-8.pdf#page=6","Abrir facsímil")</f>
        <v>Abrir facsímil</v>
      </c>
      <c r="K7222" s="15" t="s">
        <v>23</v>
      </c>
    </row>
    <row r="7223" spans="1:11" ht="42" customHeight="1">
      <c r="A7223" s="4" t="s">
        <v>17604</v>
      </c>
      <c r="B7223" s="5" t="s">
        <v>17605</v>
      </c>
      <c r="C7223" s="5" t="s">
        <v>29</v>
      </c>
      <c r="D7223" s="5" t="s">
        <v>30</v>
      </c>
      <c r="E7223" s="5" t="s">
        <v>20</v>
      </c>
      <c r="F7223" s="9">
        <v>84</v>
      </c>
      <c r="G7223" s="9">
        <v>1040</v>
      </c>
      <c r="H7223" s="5" t="s">
        <v>21</v>
      </c>
      <c r="I7223" s="5" t="s">
        <v>17606</v>
      </c>
      <c r="J7223" s="12" t="str">
        <f>HYPERLINK("https://www.boe.es/gazeta/dias/1802/10/15/pdfs/GMD-1802-84.pdf#page=8","Abrir facsímil")</f>
        <v>Abrir facsímil</v>
      </c>
      <c r="K7223" s="15" t="s">
        <v>23</v>
      </c>
    </row>
    <row r="7224" spans="1:11" ht="42" customHeight="1">
      <c r="A7224" s="4" t="s">
        <v>17607</v>
      </c>
      <c r="B7224" s="5" t="s">
        <v>17608</v>
      </c>
      <c r="C7224" s="5" t="s">
        <v>18</v>
      </c>
      <c r="D7224" s="5" t="s">
        <v>19</v>
      </c>
      <c r="E7224" s="5" t="s">
        <v>49</v>
      </c>
      <c r="F7224" s="9">
        <v>83</v>
      </c>
      <c r="G7224" s="9">
        <v>1022</v>
      </c>
      <c r="H7224" s="5" t="s">
        <v>21</v>
      </c>
      <c r="I7224" s="5" t="s">
        <v>17609</v>
      </c>
      <c r="J7224" s="12" t="str">
        <f>HYPERLINK("https://www.boe.es/gazeta/dias/1802/10/12/pdfs/GMD-1802-83.pdf#page=10","Abrir facsímil")</f>
        <v>Abrir facsímil</v>
      </c>
      <c r="K7224" s="15" t="s">
        <v>23</v>
      </c>
    </row>
    <row r="7225" spans="1:11" ht="42" customHeight="1">
      <c r="A7225" s="4" t="s">
        <v>17610</v>
      </c>
      <c r="B7225" s="5" t="s">
        <v>17611</v>
      </c>
      <c r="C7225" s="5" t="s">
        <v>29</v>
      </c>
      <c r="D7225" s="5" t="s">
        <v>30</v>
      </c>
      <c r="E7225" s="5" t="s">
        <v>491</v>
      </c>
      <c r="F7225" s="9">
        <v>57</v>
      </c>
      <c r="G7225" s="9">
        <v>689</v>
      </c>
      <c r="H7225" s="5" t="s">
        <v>21</v>
      </c>
      <c r="I7225" s="5" t="s">
        <v>17612</v>
      </c>
      <c r="J7225" s="12" t="str">
        <f>HYPERLINK("https://www.boe.es/gazeta/dias/1802/07/16/pdfs/GMD-1802-57.pdf#page=9","Abrir facsímil")</f>
        <v>Abrir facsímil</v>
      </c>
      <c r="K7225" s="15" t="s">
        <v>23</v>
      </c>
    </row>
    <row r="7226" spans="1:11" ht="42" customHeight="1">
      <c r="A7226" s="4" t="s">
        <v>17613</v>
      </c>
      <c r="B7226" s="5" t="s">
        <v>17614</v>
      </c>
      <c r="C7226" s="5" t="s">
        <v>35</v>
      </c>
      <c r="D7226" s="5" t="s">
        <v>36</v>
      </c>
      <c r="E7226" s="5" t="s">
        <v>311</v>
      </c>
      <c r="F7226" s="9">
        <v>88</v>
      </c>
      <c r="G7226" s="9">
        <v>1093</v>
      </c>
      <c r="H7226" s="5" t="s">
        <v>21</v>
      </c>
      <c r="I7226" s="5" t="s">
        <v>17615</v>
      </c>
      <c r="J7226" s="12" t="str">
        <f>HYPERLINK("https://www.boe.es/gazeta/dias/1802/10/29/pdfs/GMD-1802-88.pdf#page=9","Abrir facsímil")</f>
        <v>Abrir facsímil</v>
      </c>
      <c r="K7226" s="15" t="s">
        <v>23</v>
      </c>
    </row>
    <row r="7227" spans="1:11" ht="42" customHeight="1">
      <c r="A7227" s="4" t="s">
        <v>17616</v>
      </c>
      <c r="B7227" s="5" t="s">
        <v>17616</v>
      </c>
      <c r="C7227" s="5" t="s">
        <v>55</v>
      </c>
      <c r="D7227" s="5" t="s">
        <v>56</v>
      </c>
      <c r="E7227" s="5" t="s">
        <v>389</v>
      </c>
      <c r="F7227" s="9">
        <v>96</v>
      </c>
      <c r="G7227" s="9">
        <v>1192</v>
      </c>
      <c r="H7227" s="5" t="s">
        <v>21</v>
      </c>
      <c r="I7227" s="5" t="s">
        <v>17617</v>
      </c>
      <c r="J7227" s="12" t="str">
        <f>HYPERLINK("https://www.boe.es/gazeta/dias/1802/11/26/pdfs/GMD-1802-96.pdf#page=12","Abrir facsímil")</f>
        <v>Abrir facsímil</v>
      </c>
      <c r="K7227" s="15" t="s">
        <v>23</v>
      </c>
    </row>
    <row r="7228" spans="1:11" ht="42" customHeight="1">
      <c r="A7228" s="4" t="s">
        <v>17618</v>
      </c>
      <c r="B7228" s="5" t="s">
        <v>17619</v>
      </c>
      <c r="C7228" s="5" t="s">
        <v>55</v>
      </c>
      <c r="D7228" s="5" t="s">
        <v>56</v>
      </c>
      <c r="E7228" s="5" t="s">
        <v>881</v>
      </c>
      <c r="F7228" s="9">
        <v>65</v>
      </c>
      <c r="G7228" s="9">
        <v>795</v>
      </c>
      <c r="H7228" s="5" t="s">
        <v>21</v>
      </c>
      <c r="I7228" s="5" t="s">
        <v>17620</v>
      </c>
      <c r="J7228" s="12" t="str">
        <f>HYPERLINK("https://www.boe.es/gazeta/dias/1802/08/10/pdfs/GMD-1802-65.pdf#page=11","Abrir facsímil")</f>
        <v>Abrir facsímil</v>
      </c>
      <c r="K7228" s="15" t="s">
        <v>23</v>
      </c>
    </row>
    <row r="7229" spans="1:11" ht="42" customHeight="1">
      <c r="A7229" s="4" t="s">
        <v>17621</v>
      </c>
      <c r="B7229" s="5" t="s">
        <v>17622</v>
      </c>
      <c r="C7229" s="5" t="s">
        <v>55</v>
      </c>
      <c r="D7229" s="5" t="s">
        <v>56</v>
      </c>
      <c r="E7229" s="5" t="s">
        <v>185</v>
      </c>
      <c r="F7229" s="9">
        <v>95</v>
      </c>
      <c r="G7229" s="9">
        <v>1176</v>
      </c>
      <c r="H7229" s="5" t="s">
        <v>21</v>
      </c>
      <c r="I7229" s="5" t="s">
        <v>17623</v>
      </c>
      <c r="J7229" s="12" t="str">
        <f>HYPERLINK("https://www.boe.es/gazeta/dias/1802/11/23/pdfs/GMD-1802-95.pdf#page=12","Abrir facsímil")</f>
        <v>Abrir facsímil</v>
      </c>
      <c r="K7229" s="15" t="s">
        <v>23</v>
      </c>
    </row>
    <row r="7230" spans="1:11" ht="42" customHeight="1">
      <c r="A7230" s="4" t="s">
        <v>17624</v>
      </c>
      <c r="B7230" s="5" t="s">
        <v>17624</v>
      </c>
      <c r="C7230" s="5" t="s">
        <v>35</v>
      </c>
      <c r="D7230" s="5" t="s">
        <v>36</v>
      </c>
      <c r="E7230" s="5" t="s">
        <v>206</v>
      </c>
      <c r="F7230" s="9">
        <v>22</v>
      </c>
      <c r="G7230" s="9">
        <v>237</v>
      </c>
      <c r="H7230" s="5" t="s">
        <v>21</v>
      </c>
      <c r="I7230" s="5" t="s">
        <v>17625</v>
      </c>
      <c r="J7230" s="12" t="str">
        <f>HYPERLINK("https://www.boe.es/gazeta/dias/1802/03/16/pdfs/GMD-1802-22.pdf#page=5","Abrir facsímil")</f>
        <v>Abrir facsímil</v>
      </c>
      <c r="K7230" s="15" t="s">
        <v>23</v>
      </c>
    </row>
    <row r="7231" spans="1:11" ht="42" customHeight="1">
      <c r="A7231" s="4" t="s">
        <v>17626</v>
      </c>
      <c r="B7231" s="5" t="s">
        <v>17626</v>
      </c>
      <c r="C7231" s="5" t="s">
        <v>55</v>
      </c>
      <c r="D7231" s="5" t="s">
        <v>56</v>
      </c>
      <c r="E7231" s="5" t="s">
        <v>73</v>
      </c>
      <c r="F7231" s="9">
        <v>102</v>
      </c>
      <c r="G7231" s="9">
        <v>1251</v>
      </c>
      <c r="H7231" s="5" t="s">
        <v>21</v>
      </c>
      <c r="I7231" s="5" t="s">
        <v>17627</v>
      </c>
      <c r="J7231" s="12" t="str">
        <f>HYPERLINK("https://www.boe.es/gazeta/dias/1802/12/17/pdfs/GMD-1802-102.pdf#page=7","Abrir facsímil")</f>
        <v>Abrir facsímil</v>
      </c>
      <c r="K7231" s="15" t="s">
        <v>23</v>
      </c>
    </row>
    <row r="7232" spans="1:11" ht="42" customHeight="1">
      <c r="A7232" s="4" t="s">
        <v>17628</v>
      </c>
      <c r="B7232" s="5" t="s">
        <v>17629</v>
      </c>
      <c r="C7232" s="5" t="s">
        <v>35</v>
      </c>
      <c r="D7232" s="5" t="s">
        <v>36</v>
      </c>
      <c r="E7232" s="5" t="s">
        <v>109</v>
      </c>
      <c r="F7232" s="9">
        <v>10</v>
      </c>
      <c r="G7232" s="9">
        <v>96</v>
      </c>
      <c r="H7232" s="5" t="s">
        <v>21</v>
      </c>
      <c r="I7232" s="5" t="s">
        <v>17630</v>
      </c>
      <c r="J7232" s="12" t="str">
        <f>HYPERLINK("https://www.boe.es/gazeta/dias/1802/02/02/pdfs/GMD-1802-10.pdf#page=4","Abrir facsímil")</f>
        <v>Abrir facsímil</v>
      </c>
      <c r="K7232" s="15" t="s">
        <v>23</v>
      </c>
    </row>
    <row r="7233" spans="1:11" ht="42" customHeight="1">
      <c r="A7233" s="4" t="s">
        <v>17628</v>
      </c>
      <c r="B7233" s="5" t="s">
        <v>17629</v>
      </c>
      <c r="C7233" s="5" t="s">
        <v>29</v>
      </c>
      <c r="D7233" s="5" t="s">
        <v>30</v>
      </c>
      <c r="E7233" s="5" t="s">
        <v>1097</v>
      </c>
      <c r="F7233" s="9">
        <v>20</v>
      </c>
      <c r="G7233" s="9">
        <v>221</v>
      </c>
      <c r="H7233" s="5" t="s">
        <v>21</v>
      </c>
      <c r="I7233" s="5" t="s">
        <v>17631</v>
      </c>
      <c r="J7233" s="12" t="str">
        <f>HYPERLINK("https://www.boe.es/gazeta/dias/1802/03/09/pdfs/GMD-1802-20.pdf#page=9","Abrir facsímil")</f>
        <v>Abrir facsímil</v>
      </c>
      <c r="K7233" s="15" t="s">
        <v>23</v>
      </c>
    </row>
    <row r="7234" spans="1:11" ht="42" customHeight="1">
      <c r="A7234" s="4" t="s">
        <v>17628</v>
      </c>
      <c r="B7234" s="5" t="s">
        <v>17629</v>
      </c>
      <c r="C7234" s="5" t="s">
        <v>90</v>
      </c>
      <c r="D7234" s="5" t="s">
        <v>91</v>
      </c>
      <c r="E7234" s="5" t="s">
        <v>152</v>
      </c>
      <c r="F7234" s="9">
        <v>25</v>
      </c>
      <c r="G7234" s="9">
        <v>285</v>
      </c>
      <c r="H7234" s="5" t="s">
        <v>21</v>
      </c>
      <c r="I7234" s="5" t="s">
        <v>17632</v>
      </c>
      <c r="J7234" s="12" t="str">
        <f>HYPERLINK("https://www.boe.es/gazeta/dias/1802/03/26/pdfs/GMD-1802-25.pdf#page=9","Abrir facsímil")</f>
        <v>Abrir facsímil</v>
      </c>
      <c r="K7234" s="15" t="s">
        <v>23</v>
      </c>
    </row>
    <row r="7235" spans="1:11" ht="42" customHeight="1">
      <c r="A7235" s="4" t="s">
        <v>17628</v>
      </c>
      <c r="B7235" s="5" t="s">
        <v>17629</v>
      </c>
      <c r="C7235" s="5" t="s">
        <v>90</v>
      </c>
      <c r="D7235" s="5" t="s">
        <v>91</v>
      </c>
      <c r="E7235" s="5" t="s">
        <v>86</v>
      </c>
      <c r="F7235" s="9">
        <v>26</v>
      </c>
      <c r="G7235" s="9">
        <v>297</v>
      </c>
      <c r="H7235" s="5" t="s">
        <v>21</v>
      </c>
      <c r="I7235" s="5" t="s">
        <v>17633</v>
      </c>
      <c r="J7235" s="12" t="str">
        <f>HYPERLINK("https://www.boe.es/gazeta/dias/1802/03/30/pdfs/GMD-1802-26.pdf#page=9","Abrir facsímil")</f>
        <v>Abrir facsímil</v>
      </c>
      <c r="K7235" s="15" t="s">
        <v>23</v>
      </c>
    </row>
    <row r="7236" spans="1:11" ht="42" customHeight="1">
      <c r="A7236" s="4" t="s">
        <v>17634</v>
      </c>
      <c r="B7236" s="5" t="s">
        <v>17635</v>
      </c>
      <c r="C7236" s="5" t="s">
        <v>18</v>
      </c>
      <c r="D7236" s="5" t="s">
        <v>19</v>
      </c>
      <c r="E7236" s="5" t="s">
        <v>49</v>
      </c>
      <c r="F7236" s="9">
        <v>83</v>
      </c>
      <c r="G7236" s="9">
        <v>1024</v>
      </c>
      <c r="H7236" s="5" t="s">
        <v>21</v>
      </c>
      <c r="I7236" s="5" t="s">
        <v>17636</v>
      </c>
      <c r="J7236" s="12" t="str">
        <f>HYPERLINK("https://www.boe.es/gazeta/dias/1802/10/12/pdfs/GMD-1802-83.pdf#page=12","Abrir facsímil")</f>
        <v>Abrir facsímil</v>
      </c>
      <c r="K7236" s="15" t="s">
        <v>23</v>
      </c>
    </row>
    <row r="7237" spans="1:11" ht="42" customHeight="1">
      <c r="A7237" s="4" t="s">
        <v>17637</v>
      </c>
      <c r="B7237" s="5" t="s">
        <v>17638</v>
      </c>
      <c r="C7237" s="5" t="s">
        <v>29</v>
      </c>
      <c r="D7237" s="5" t="s">
        <v>30</v>
      </c>
      <c r="E7237" s="5" t="s">
        <v>1289</v>
      </c>
      <c r="F7237" s="9">
        <v>72</v>
      </c>
      <c r="G7237" s="9">
        <v>882</v>
      </c>
      <c r="H7237" s="5" t="s">
        <v>21</v>
      </c>
      <c r="I7237" s="5" t="s">
        <v>17639</v>
      </c>
      <c r="J7237" s="12" t="str">
        <f>HYPERLINK("https://www.boe.es/gazeta/dias/1802/09/03/pdfs/GMD-1802-72.pdf#page=2","Abrir facsímil")</f>
        <v>Abrir facsímil</v>
      </c>
      <c r="K7237" s="15" t="s">
        <v>23</v>
      </c>
    </row>
    <row r="7238" spans="1:11" ht="42" customHeight="1">
      <c r="A7238" s="4" t="s">
        <v>17640</v>
      </c>
      <c r="B7238" s="5" t="s">
        <v>17640</v>
      </c>
      <c r="C7238" s="5" t="s">
        <v>55</v>
      </c>
      <c r="D7238" s="5" t="s">
        <v>56</v>
      </c>
      <c r="E7238" s="5" t="s">
        <v>175</v>
      </c>
      <c r="F7238" s="9">
        <v>37</v>
      </c>
      <c r="G7238" s="9">
        <v>443</v>
      </c>
      <c r="H7238" s="5" t="s">
        <v>21</v>
      </c>
      <c r="I7238" s="5" t="s">
        <v>17641</v>
      </c>
      <c r="J7238" s="12" t="str">
        <f>HYPERLINK("https://www.boe.es/gazeta/dias/1802/05/07/pdfs/GMD-1802-37.pdf#page=11","Abrir facsímil")</f>
        <v>Abrir facsímil</v>
      </c>
      <c r="K7238" s="15" t="s">
        <v>23</v>
      </c>
    </row>
    <row r="7239" spans="1:11" ht="42" customHeight="1">
      <c r="A7239" s="4" t="s">
        <v>17640</v>
      </c>
      <c r="B7239" s="5" t="s">
        <v>17640</v>
      </c>
      <c r="C7239" s="5" t="s">
        <v>18</v>
      </c>
      <c r="D7239" s="5" t="s">
        <v>19</v>
      </c>
      <c r="E7239" s="5" t="s">
        <v>175</v>
      </c>
      <c r="F7239" s="9">
        <v>37</v>
      </c>
      <c r="G7239" s="9">
        <v>444</v>
      </c>
      <c r="H7239" s="5" t="s">
        <v>21</v>
      </c>
      <c r="I7239" s="5" t="s">
        <v>17642</v>
      </c>
      <c r="J7239" s="12" t="str">
        <f>HYPERLINK("https://www.boe.es/gazeta/dias/1802/05/07/pdfs/GMD-1802-37.pdf#page=12","Abrir facsímil")</f>
        <v>Abrir facsímil</v>
      </c>
      <c r="K7239" s="15" t="s">
        <v>23</v>
      </c>
    </row>
    <row r="7240" spans="1:11" ht="42" customHeight="1">
      <c r="A7240" s="4" t="s">
        <v>17643</v>
      </c>
      <c r="B7240" s="5" t="s">
        <v>17644</v>
      </c>
      <c r="C7240" s="5" t="s">
        <v>42</v>
      </c>
      <c r="D7240" s="5" t="s">
        <v>43</v>
      </c>
      <c r="E7240" s="5" t="s">
        <v>44</v>
      </c>
      <c r="F7240" s="9">
        <v>99</v>
      </c>
      <c r="G7240" s="9" t="s">
        <v>45</v>
      </c>
      <c r="H7240" s="5" t="s">
        <v>21</v>
      </c>
      <c r="I7240" s="5" t="s">
        <v>17645</v>
      </c>
      <c r="J7240" s="12" t="str">
        <f>HYPERLINK("https://www.boe.es/gazeta/dias/1802/12/07/pdfs/GMD-D-1802-99.pdf#page=14","Abrir facsímil")</f>
        <v>Abrir facsímil</v>
      </c>
      <c r="K7240" s="15" t="s">
        <v>23</v>
      </c>
    </row>
    <row r="7241" spans="1:11" ht="42" customHeight="1">
      <c r="A7241" s="4" t="s">
        <v>17646</v>
      </c>
      <c r="B7241" s="5" t="s">
        <v>17647</v>
      </c>
      <c r="C7241" s="5" t="s">
        <v>42</v>
      </c>
      <c r="D7241" s="5" t="s">
        <v>43</v>
      </c>
      <c r="E7241" s="5" t="s">
        <v>44</v>
      </c>
      <c r="F7241" s="9">
        <v>99</v>
      </c>
      <c r="G7241" s="9" t="s">
        <v>251</v>
      </c>
      <c r="H7241" s="5" t="s">
        <v>21</v>
      </c>
      <c r="I7241" s="5" t="s">
        <v>17648</v>
      </c>
      <c r="J7241" s="12" t="str">
        <f>HYPERLINK("https://www.boe.es/gazeta/dias/1802/12/07/pdfs/GMD-D-1802-99.pdf#page=6","Abrir facsímil")</f>
        <v>Abrir facsímil</v>
      </c>
      <c r="K7241" s="15" t="s">
        <v>23</v>
      </c>
    </row>
    <row r="7242" spans="1:11" ht="42" customHeight="1">
      <c r="A7242" s="4" t="s">
        <v>17649</v>
      </c>
      <c r="B7242" s="5" t="s">
        <v>17650</v>
      </c>
      <c r="C7242" s="5" t="s">
        <v>160</v>
      </c>
      <c r="D7242" s="5" t="s">
        <v>91</v>
      </c>
      <c r="E7242" s="5" t="s">
        <v>20</v>
      </c>
      <c r="F7242" s="9">
        <v>84</v>
      </c>
      <c r="G7242" s="9">
        <v>1040</v>
      </c>
      <c r="H7242" s="5" t="s">
        <v>21</v>
      </c>
      <c r="I7242" s="5" t="s">
        <v>17651</v>
      </c>
      <c r="J7242" s="12" t="str">
        <f>HYPERLINK("https://www.boe.es/gazeta/dias/1802/10/15/pdfs/GMD-1802-84.pdf#page=8","Abrir facsímil")</f>
        <v>Abrir facsímil</v>
      </c>
      <c r="K7242" s="15" t="s">
        <v>23</v>
      </c>
    </row>
    <row r="7243" spans="1:11" ht="42" customHeight="1">
      <c r="A7243" s="4" t="s">
        <v>17652</v>
      </c>
      <c r="B7243" s="5" t="s">
        <v>17653</v>
      </c>
      <c r="C7243" s="5" t="s">
        <v>18</v>
      </c>
      <c r="D7243" s="5" t="s">
        <v>19</v>
      </c>
      <c r="E7243" s="5" t="s">
        <v>25</v>
      </c>
      <c r="F7243" s="9">
        <v>44</v>
      </c>
      <c r="G7243" s="9">
        <v>532</v>
      </c>
      <c r="H7243" s="5" t="s">
        <v>21</v>
      </c>
      <c r="I7243" s="5" t="s">
        <v>17654</v>
      </c>
      <c r="J7243" s="12" t="str">
        <f>HYPERLINK("https://www.boe.es/gazeta/dias/1802/06/01/pdfs/GMD-1802-44.pdf#page=8","Abrir facsímil")</f>
        <v>Abrir facsímil</v>
      </c>
      <c r="K7243" s="15" t="s">
        <v>23</v>
      </c>
    </row>
    <row r="7244" spans="1:11" ht="42" customHeight="1">
      <c r="A7244" s="4" t="s">
        <v>17655</v>
      </c>
      <c r="B7244" s="5" t="s">
        <v>17655</v>
      </c>
      <c r="C7244" s="5" t="s">
        <v>35</v>
      </c>
      <c r="D7244" s="5" t="s">
        <v>36</v>
      </c>
      <c r="E7244" s="5" t="s">
        <v>642</v>
      </c>
      <c r="F7244" s="9">
        <v>51</v>
      </c>
      <c r="G7244" s="9">
        <v>619</v>
      </c>
      <c r="H7244" s="5" t="s">
        <v>21</v>
      </c>
      <c r="I7244" s="5" t="s">
        <v>15780</v>
      </c>
      <c r="J7244" s="12" t="str">
        <f>HYPERLINK("https://www.boe.es/gazeta/dias/1802/06/25/pdfs/GMD-1802-51.pdf#page=7","Abrir facsímil")</f>
        <v>Abrir facsímil</v>
      </c>
      <c r="K7244" s="15" t="s">
        <v>23</v>
      </c>
    </row>
    <row r="7245" spans="1:11" ht="42" customHeight="1">
      <c r="A7245" s="4" t="s">
        <v>17656</v>
      </c>
      <c r="B7245" s="5" t="s">
        <v>17657</v>
      </c>
      <c r="C7245" s="5" t="s">
        <v>18</v>
      </c>
      <c r="D7245" s="5" t="s">
        <v>19</v>
      </c>
      <c r="E7245" s="5" t="s">
        <v>152</v>
      </c>
      <c r="F7245" s="9">
        <v>25</v>
      </c>
      <c r="G7245" s="9">
        <v>284</v>
      </c>
      <c r="H7245" s="5" t="s">
        <v>21</v>
      </c>
      <c r="I7245" s="5" t="s">
        <v>17658</v>
      </c>
      <c r="J7245" s="12" t="str">
        <f>HYPERLINK("https://www.boe.es/gazeta/dias/1802/03/26/pdfs/GMD-1802-25.pdf#page=8","Abrir facsímil")</f>
        <v>Abrir facsímil</v>
      </c>
      <c r="K7245" s="15" t="s">
        <v>23</v>
      </c>
    </row>
    <row r="7246" spans="1:11" ht="42" customHeight="1">
      <c r="A7246" s="4" t="s">
        <v>17656</v>
      </c>
      <c r="B7246" s="5" t="s">
        <v>17657</v>
      </c>
      <c r="C7246" s="5" t="s">
        <v>35</v>
      </c>
      <c r="D7246" s="5" t="s">
        <v>36</v>
      </c>
      <c r="E7246" s="5" t="s">
        <v>148</v>
      </c>
      <c r="F7246" s="9">
        <v>66</v>
      </c>
      <c r="G7246" s="9">
        <v>808</v>
      </c>
      <c r="H7246" s="5" t="s">
        <v>21</v>
      </c>
      <c r="I7246" s="5" t="s">
        <v>17659</v>
      </c>
      <c r="J7246" s="12" t="str">
        <f>HYPERLINK("https://www.boe.es/gazeta/dias/1802/08/13/pdfs/GMD-1802-66.pdf#page=12","Abrir facsímil")</f>
        <v>Abrir facsímil</v>
      </c>
      <c r="K7246" s="15" t="s">
        <v>23</v>
      </c>
    </row>
    <row r="7247" spans="1:11" ht="42" customHeight="1">
      <c r="A7247" s="6" t="s">
        <v>17660</v>
      </c>
      <c r="B7247" s="7" t="s">
        <v>17661</v>
      </c>
      <c r="C7247" s="7" t="s">
        <v>18</v>
      </c>
      <c r="D7247" s="7" t="s">
        <v>19</v>
      </c>
      <c r="E7247" s="7" t="s">
        <v>49</v>
      </c>
      <c r="F7247" s="10">
        <v>83</v>
      </c>
      <c r="G7247" s="10">
        <v>1024</v>
      </c>
      <c r="H7247" s="7" t="s">
        <v>21</v>
      </c>
      <c r="I7247" s="7" t="s">
        <v>17662</v>
      </c>
      <c r="J7247" s="13" t="str">
        <f>HYPERLINK("https://www.boe.es/gazeta/dias/1802/10/12/pdfs/GMD-1802-83.pdf#page=12","Abrir facsímil")</f>
        <v>Abrir facsímil</v>
      </c>
      <c r="K7247" s="16" t="s">
        <v>23</v>
      </c>
    </row>
  </sheetData>
  <mergeCells count="5">
    <mergeCell ref="A1:K1"/>
    <mergeCell ref="A2:K2"/>
    <mergeCell ref="A3:C3"/>
    <mergeCell ref="D3:K3"/>
    <mergeCell ref="A4:K4"/>
  </mergeCells>
  <conditionalFormatting sqref="K7:K7247">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140"/>
  <sheetViews>
    <sheetView showGridLines="0" workbookViewId="0">
      <pane ySplit="3" topLeftCell="A4" activePane="bottomLeft" state="frozen"/>
      <selection pane="bottomLeft"/>
    </sheetView>
  </sheetViews>
  <sheetFormatPr baseColWidth="10" defaultColWidth="9" defaultRowHeight="14.25"/>
  <cols>
    <col min="1" max="1" width="18" customWidth="1"/>
    <col min="2" max="2" width="28" customWidth="1"/>
    <col min="3" max="3" width="26" customWidth="1"/>
    <col min="4" max="4" width="13" customWidth="1"/>
    <col min="5" max="5" width="22" customWidth="1"/>
  </cols>
  <sheetData>
    <row r="1" spans="1:5" ht="32.1" customHeight="1">
      <c r="A1" s="30" t="s">
        <v>17663</v>
      </c>
      <c r="B1" s="30"/>
      <c r="C1" s="30"/>
      <c r="D1" s="30"/>
      <c r="E1" s="30"/>
    </row>
    <row r="3" spans="1:5">
      <c r="A3" s="1" t="s">
        <v>10</v>
      </c>
      <c r="B3" s="1" t="s">
        <v>9</v>
      </c>
      <c r="C3" s="1" t="s">
        <v>17664</v>
      </c>
      <c r="D3" s="1" t="s">
        <v>17665</v>
      </c>
      <c r="E3" s="1" t="s">
        <v>17666</v>
      </c>
    </row>
    <row r="4" spans="1:5">
      <c r="A4" s="20">
        <v>1</v>
      </c>
      <c r="B4" s="17" t="s">
        <v>163</v>
      </c>
      <c r="C4" s="23" t="s">
        <v>17667</v>
      </c>
      <c r="D4" s="23">
        <v>42</v>
      </c>
      <c r="E4" s="26" t="str">
        <f>HYPERLINK("https://www.boe.es/gazeta/dias/1802/01/01/pdfs/GMD-1802-1.pdf","Abrir fascículo")</f>
        <v>Abrir fascículo</v>
      </c>
    </row>
    <row r="5" spans="1:5">
      <c r="A5" s="21">
        <v>2</v>
      </c>
      <c r="B5" s="18" t="s">
        <v>196</v>
      </c>
      <c r="C5" s="24" t="s">
        <v>17668</v>
      </c>
      <c r="D5" s="24">
        <v>51</v>
      </c>
      <c r="E5" s="27" t="str">
        <f>HYPERLINK("https://www.boe.es/gazeta/dias/1802/01/05/pdfs/GMD-1802-2.pdf","Abrir fascículo")</f>
        <v>Abrir fascículo</v>
      </c>
    </row>
    <row r="6" spans="1:5">
      <c r="A6" s="21">
        <v>3</v>
      </c>
      <c r="B6" s="18" t="s">
        <v>165</v>
      </c>
      <c r="C6" s="24" t="s">
        <v>17669</v>
      </c>
      <c r="D6" s="24">
        <v>33</v>
      </c>
      <c r="E6" s="27" t="str">
        <f>HYPERLINK("https://www.boe.es/gazeta/dias/1802/01/08/pdfs/GMD-1802-3.pdf","Abrir fascículo")</f>
        <v>Abrir fascículo</v>
      </c>
    </row>
    <row r="7" spans="1:5">
      <c r="A7" s="21">
        <v>4</v>
      </c>
      <c r="B7" s="18" t="s">
        <v>1332</v>
      </c>
      <c r="C7" s="24" t="s">
        <v>17670</v>
      </c>
      <c r="D7" s="24">
        <v>46</v>
      </c>
      <c r="E7" s="27" t="str">
        <f>HYPERLINK("https://www.boe.es/gazeta/dias/1802/01/12/pdfs/GMD-1802-4.pdf","Abrir fascículo")</f>
        <v>Abrir fascículo</v>
      </c>
    </row>
    <row r="8" spans="1:5">
      <c r="A8" s="21" t="s">
        <v>17671</v>
      </c>
      <c r="B8" s="18" t="s">
        <v>1332</v>
      </c>
      <c r="C8" s="24" t="s">
        <v>17672</v>
      </c>
      <c r="D8" s="24">
        <v>0</v>
      </c>
      <c r="E8" s="27" t="str">
        <f>HYPERLINK("https://www.boe.es/gazeta/dias/1802/01/12/pdfs/GMD-C-1802-4.pdf","Abrir suplemento")</f>
        <v>Abrir suplemento</v>
      </c>
    </row>
    <row r="9" spans="1:5">
      <c r="A9" s="21">
        <v>5</v>
      </c>
      <c r="B9" s="18" t="s">
        <v>60</v>
      </c>
      <c r="C9" s="24" t="s">
        <v>17673</v>
      </c>
      <c r="D9" s="24">
        <v>55</v>
      </c>
      <c r="E9" s="27" t="str">
        <f>HYPERLINK("https://www.boe.es/gazeta/dias/1802/01/15/pdfs/GMD-1802-5.pdf","Abrir fascículo")</f>
        <v>Abrir fascículo</v>
      </c>
    </row>
    <row r="10" spans="1:5">
      <c r="A10" s="21">
        <v>6</v>
      </c>
      <c r="B10" s="18" t="s">
        <v>1113</v>
      </c>
      <c r="C10" s="24" t="s">
        <v>17674</v>
      </c>
      <c r="D10" s="24">
        <v>34</v>
      </c>
      <c r="E10" s="27" t="str">
        <f>HYPERLINK("https://www.boe.es/gazeta/dias/1802/01/19/pdfs/GMD-1802-6.pdf","Abrir fascículo")</f>
        <v>Abrir fascículo</v>
      </c>
    </row>
    <row r="11" spans="1:5">
      <c r="A11" s="21">
        <v>7</v>
      </c>
      <c r="B11" s="18" t="s">
        <v>886</v>
      </c>
      <c r="C11" s="24" t="s">
        <v>17675</v>
      </c>
      <c r="D11" s="24">
        <v>26</v>
      </c>
      <c r="E11" s="27" t="str">
        <f>HYPERLINK("https://www.boe.es/gazeta/dias/1802/01/22/pdfs/GMD-1802-7.pdf","Abrir fascículo")</f>
        <v>Abrir fascículo</v>
      </c>
    </row>
    <row r="12" spans="1:5">
      <c r="A12" s="21" t="s">
        <v>17676</v>
      </c>
      <c r="B12" s="18" t="s">
        <v>886</v>
      </c>
      <c r="C12" s="24" t="s">
        <v>17677</v>
      </c>
      <c r="D12" s="24">
        <v>0</v>
      </c>
      <c r="E12" s="27" t="str">
        <f>HYPERLINK("https://www.boe.es/gazeta/dias/1802/01/22/pdfs/GMD-C-1802-7.pdf","Abrir suplemento")</f>
        <v>Abrir suplemento</v>
      </c>
    </row>
    <row r="13" spans="1:5">
      <c r="A13" s="21">
        <v>8</v>
      </c>
      <c r="B13" s="18" t="s">
        <v>1407</v>
      </c>
      <c r="C13" s="24" t="s">
        <v>17678</v>
      </c>
      <c r="D13" s="24">
        <v>33</v>
      </c>
      <c r="E13" s="27" t="str">
        <f>HYPERLINK("https://www.boe.es/gazeta/dias/1802/01/26/pdfs/GMD-1802-8.pdf","Abrir fascículo")</f>
        <v>Abrir fascículo</v>
      </c>
    </row>
    <row r="14" spans="1:5">
      <c r="A14" s="21">
        <v>9</v>
      </c>
      <c r="B14" s="18" t="s">
        <v>128</v>
      </c>
      <c r="C14" s="24" t="s">
        <v>17679</v>
      </c>
      <c r="D14" s="24">
        <v>84</v>
      </c>
      <c r="E14" s="27" t="str">
        <f>HYPERLINK("https://www.boe.es/gazeta/dias/1802/01/29/pdfs/GMD-1802-9.pdf","Abrir fascículo")</f>
        <v>Abrir fascículo</v>
      </c>
    </row>
    <row r="15" spans="1:5">
      <c r="A15" s="21">
        <v>10</v>
      </c>
      <c r="B15" s="18" t="s">
        <v>109</v>
      </c>
      <c r="C15" s="24" t="s">
        <v>17680</v>
      </c>
      <c r="D15" s="24">
        <v>69</v>
      </c>
      <c r="E15" s="27" t="str">
        <f>HYPERLINK("https://www.boe.es/gazeta/dias/1802/02/02/pdfs/GMD-1802-10.pdf","Abrir fascículo")</f>
        <v>Abrir fascículo</v>
      </c>
    </row>
    <row r="16" spans="1:5">
      <c r="A16" s="21" t="s">
        <v>17681</v>
      </c>
      <c r="B16" s="18" t="s">
        <v>109</v>
      </c>
      <c r="C16" s="24" t="s">
        <v>17682</v>
      </c>
      <c r="D16" s="24">
        <v>0</v>
      </c>
      <c r="E16" s="27" t="str">
        <f>HYPERLINK("https://www.boe.es/gazeta/dias/1802/02/02/pdfs/GMD-C-1802-10.pdf","Abrir suplemento")</f>
        <v>Abrir suplemento</v>
      </c>
    </row>
    <row r="17" spans="1:5">
      <c r="A17" s="21">
        <v>11</v>
      </c>
      <c r="B17" s="18" t="s">
        <v>131</v>
      </c>
      <c r="C17" s="24" t="s">
        <v>17683</v>
      </c>
      <c r="D17" s="24">
        <v>52</v>
      </c>
      <c r="E17" s="27" t="str">
        <f>HYPERLINK("https://www.boe.es/gazeta/dias/1802/02/05/pdfs/GMD-1802-11.pdf","Abrir fascículo")</f>
        <v>Abrir fascículo</v>
      </c>
    </row>
    <row r="18" spans="1:5">
      <c r="A18" s="21">
        <v>12</v>
      </c>
      <c r="B18" s="18" t="s">
        <v>865</v>
      </c>
      <c r="C18" s="24" t="s">
        <v>17684</v>
      </c>
      <c r="D18" s="24">
        <v>36</v>
      </c>
      <c r="E18" s="27" t="str">
        <f>HYPERLINK("https://www.boe.es/gazeta/dias/1802/02/09/pdfs/GMD-1802-12.pdf","Abrir fascículo")</f>
        <v>Abrir fascículo</v>
      </c>
    </row>
    <row r="19" spans="1:5">
      <c r="A19" s="21">
        <v>13</v>
      </c>
      <c r="B19" s="18" t="s">
        <v>381</v>
      </c>
      <c r="C19" s="24" t="s">
        <v>17685</v>
      </c>
      <c r="D19" s="24">
        <v>53</v>
      </c>
      <c r="E19" s="27" t="str">
        <f>HYPERLINK("https://www.boe.es/gazeta/dias/1802/02/12/pdfs/GMD-1802-13.pdf","Abrir fascículo")</f>
        <v>Abrir fascículo</v>
      </c>
    </row>
    <row r="20" spans="1:5">
      <c r="A20" s="21" t="s">
        <v>17686</v>
      </c>
      <c r="B20" s="18" t="s">
        <v>381</v>
      </c>
      <c r="C20" s="24" t="s">
        <v>17687</v>
      </c>
      <c r="D20" s="24">
        <v>0</v>
      </c>
      <c r="E20" s="27" t="str">
        <f>HYPERLINK("https://www.boe.es/gazeta/dias/1802/02/12/pdfs/GMD-C-1802-13.pdf","Abrir suplemento")</f>
        <v>Abrir suplemento</v>
      </c>
    </row>
    <row r="21" spans="1:5">
      <c r="A21" s="21">
        <v>14</v>
      </c>
      <c r="B21" s="18" t="s">
        <v>247</v>
      </c>
      <c r="C21" s="24" t="s">
        <v>17688</v>
      </c>
      <c r="D21" s="24">
        <v>56</v>
      </c>
      <c r="E21" s="27" t="str">
        <f>HYPERLINK("https://www.boe.es/gazeta/dias/1802/02/16/pdfs/GMD-1802-14.pdf","Abrir fascículo")</f>
        <v>Abrir fascículo</v>
      </c>
    </row>
    <row r="22" spans="1:5">
      <c r="A22" s="21">
        <v>15</v>
      </c>
      <c r="B22" s="18" t="s">
        <v>678</v>
      </c>
      <c r="C22" s="24" t="s">
        <v>17689</v>
      </c>
      <c r="D22" s="24">
        <v>88</v>
      </c>
      <c r="E22" s="27" t="str">
        <f>HYPERLINK("https://www.boe.es/gazeta/dias/1802/02/19/pdfs/GMD-1802-15.pdf","Abrir fascículo")</f>
        <v>Abrir fascículo</v>
      </c>
    </row>
    <row r="23" spans="1:5">
      <c r="A23" s="21">
        <v>16</v>
      </c>
      <c r="B23" s="18" t="s">
        <v>900</v>
      </c>
      <c r="C23" s="24" t="s">
        <v>17690</v>
      </c>
      <c r="D23" s="24">
        <v>66</v>
      </c>
      <c r="E23" s="27" t="str">
        <f>HYPERLINK("https://www.boe.es/gazeta/dias/1802/02/23/pdfs/GMD-1802-16.pdf","Abrir fascículo")</f>
        <v>Abrir fascículo</v>
      </c>
    </row>
    <row r="24" spans="1:5">
      <c r="A24" s="21" t="s">
        <v>17691</v>
      </c>
      <c r="B24" s="18" t="s">
        <v>900</v>
      </c>
      <c r="C24" s="24" t="s">
        <v>17692</v>
      </c>
      <c r="D24" s="24">
        <v>0</v>
      </c>
      <c r="E24" s="27" t="str">
        <f>HYPERLINK("https://www.boe.es/gazeta/dias/1802/02/23/pdfs/GMD-C-1802-16.pdf","Abrir suplemento")</f>
        <v>Abrir suplemento</v>
      </c>
    </row>
    <row r="25" spans="1:5">
      <c r="A25" s="21">
        <v>17</v>
      </c>
      <c r="B25" s="18" t="s">
        <v>1381</v>
      </c>
      <c r="C25" s="24" t="s">
        <v>17693</v>
      </c>
      <c r="D25" s="24">
        <v>69</v>
      </c>
      <c r="E25" s="27" t="str">
        <f>HYPERLINK("https://www.boe.es/gazeta/dias/1802/02/26/pdfs/GMD-1802-17.pdf","Abrir fascículo")</f>
        <v>Abrir fascículo</v>
      </c>
    </row>
    <row r="26" spans="1:5">
      <c r="A26" s="21">
        <v>18</v>
      </c>
      <c r="B26" s="18" t="s">
        <v>1588</v>
      </c>
      <c r="C26" s="24" t="s">
        <v>17694</v>
      </c>
      <c r="D26" s="24">
        <v>36</v>
      </c>
      <c r="E26" s="27" t="str">
        <f>HYPERLINK("https://www.boe.es/gazeta/dias/1802/03/02/pdfs/GMD-1802-18.pdf","Abrir fascículo")</f>
        <v>Abrir fascículo</v>
      </c>
    </row>
    <row r="27" spans="1:5">
      <c r="A27" s="21">
        <v>19</v>
      </c>
      <c r="B27" s="18" t="s">
        <v>299</v>
      </c>
      <c r="C27" s="24" t="s">
        <v>17695</v>
      </c>
      <c r="D27" s="24">
        <v>99</v>
      </c>
      <c r="E27" s="27" t="str">
        <f>HYPERLINK("https://www.boe.es/gazeta/dias/1802/03/05/pdfs/GMD-1802-19.pdf","Abrir fascículo")</f>
        <v>Abrir fascículo</v>
      </c>
    </row>
    <row r="28" spans="1:5">
      <c r="A28" s="21">
        <v>20</v>
      </c>
      <c r="B28" s="18" t="s">
        <v>1097</v>
      </c>
      <c r="C28" s="24" t="s">
        <v>17696</v>
      </c>
      <c r="D28" s="24">
        <v>72</v>
      </c>
      <c r="E28" s="27" t="str">
        <f>HYPERLINK("https://www.boe.es/gazeta/dias/1802/03/09/pdfs/GMD-1802-20.pdf","Abrir fascículo")</f>
        <v>Abrir fascículo</v>
      </c>
    </row>
    <row r="29" spans="1:5">
      <c r="A29" s="21">
        <v>21</v>
      </c>
      <c r="B29" s="18" t="s">
        <v>71</v>
      </c>
      <c r="C29" s="24" t="s">
        <v>17697</v>
      </c>
      <c r="D29" s="24">
        <v>74</v>
      </c>
      <c r="E29" s="27" t="str">
        <f>HYPERLINK("https://www.boe.es/gazeta/dias/1802/03/12/pdfs/GMD-1802-21.pdf","Abrir fascículo")</f>
        <v>Abrir fascículo</v>
      </c>
    </row>
    <row r="30" spans="1:5">
      <c r="A30" s="21">
        <v>22</v>
      </c>
      <c r="B30" s="18" t="s">
        <v>206</v>
      </c>
      <c r="C30" s="24" t="s">
        <v>17698</v>
      </c>
      <c r="D30" s="24">
        <v>97</v>
      </c>
      <c r="E30" s="27" t="str">
        <f>HYPERLINK("https://www.boe.es/gazeta/dias/1802/03/16/pdfs/GMD-1802-22.pdf","Abrir fascículo")</f>
        <v>Abrir fascículo</v>
      </c>
    </row>
    <row r="31" spans="1:5">
      <c r="A31" s="21" t="s">
        <v>17699</v>
      </c>
      <c r="B31" s="18" t="s">
        <v>206</v>
      </c>
      <c r="C31" s="24" t="s">
        <v>17700</v>
      </c>
      <c r="D31" s="24">
        <v>39</v>
      </c>
      <c r="E31" s="27" t="str">
        <f>HYPERLINK("https://www.boe.es/gazeta/dias/1802/03/16/pdfs/GMD-C-1802-22.pdf","Abrir suplemento")</f>
        <v>Abrir suplemento</v>
      </c>
    </row>
    <row r="32" spans="1:5">
      <c r="A32" s="21">
        <v>23</v>
      </c>
      <c r="B32" s="18" t="s">
        <v>167</v>
      </c>
      <c r="C32" s="24" t="s">
        <v>17701</v>
      </c>
      <c r="D32" s="24">
        <v>62</v>
      </c>
      <c r="E32" s="27" t="str">
        <f>HYPERLINK("https://www.boe.es/gazeta/dias/1802/03/19/pdfs/GMD-1802-23.pdf","Abrir fascículo")</f>
        <v>Abrir fascículo</v>
      </c>
    </row>
    <row r="33" spans="1:5">
      <c r="A33" s="21">
        <v>24</v>
      </c>
      <c r="B33" s="18" t="s">
        <v>332</v>
      </c>
      <c r="C33" s="24" t="s">
        <v>17702</v>
      </c>
      <c r="D33" s="24">
        <v>67</v>
      </c>
      <c r="E33" s="27" t="str">
        <f>HYPERLINK("https://www.boe.es/gazeta/dias/1802/03/23/pdfs/GMD-1802-24.pdf","Abrir fascículo")</f>
        <v>Abrir fascículo</v>
      </c>
    </row>
    <row r="34" spans="1:5">
      <c r="A34" s="21">
        <v>25</v>
      </c>
      <c r="B34" s="18" t="s">
        <v>152</v>
      </c>
      <c r="C34" s="24" t="s">
        <v>17703</v>
      </c>
      <c r="D34" s="24">
        <v>174</v>
      </c>
      <c r="E34" s="27" t="str">
        <f>HYPERLINK("https://www.boe.es/gazeta/dias/1802/03/26/pdfs/GMD-1802-25.pdf","Abrir fascículo")</f>
        <v>Abrir fascículo</v>
      </c>
    </row>
    <row r="35" spans="1:5">
      <c r="A35" s="21">
        <v>26</v>
      </c>
      <c r="B35" s="18" t="s">
        <v>86</v>
      </c>
      <c r="C35" s="24" t="s">
        <v>17704</v>
      </c>
      <c r="D35" s="24">
        <v>93</v>
      </c>
      <c r="E35" s="27" t="str">
        <f>HYPERLINK("https://www.boe.es/gazeta/dias/1802/03/30/pdfs/GMD-1802-26.pdf","Abrir fascículo")</f>
        <v>Abrir fascículo</v>
      </c>
    </row>
    <row r="36" spans="1:5">
      <c r="A36" s="21" t="s">
        <v>17705</v>
      </c>
      <c r="B36" s="18" t="s">
        <v>86</v>
      </c>
      <c r="C36" s="24" t="s">
        <v>17706</v>
      </c>
      <c r="D36" s="24">
        <v>0</v>
      </c>
      <c r="E36" s="27" t="str">
        <f>HYPERLINK("https://www.boe.es/gazeta/dias/1802/03/30/pdfs/GMD-C-1802-26.pdf","Abrir suplemento")</f>
        <v>Abrir suplemento</v>
      </c>
    </row>
    <row r="37" spans="1:5">
      <c r="A37" s="21">
        <v>27</v>
      </c>
      <c r="B37" s="18" t="s">
        <v>31</v>
      </c>
      <c r="C37" s="24" t="s">
        <v>17707</v>
      </c>
      <c r="D37" s="24">
        <v>130</v>
      </c>
      <c r="E37" s="27" t="str">
        <f>HYPERLINK("https://www.boe.es/gazeta/dias/1802/04/02/pdfs/GMD-1802-27.pdf","Abrir fascículo")</f>
        <v>Abrir fascículo</v>
      </c>
    </row>
    <row r="38" spans="1:5">
      <c r="A38" s="21">
        <v>28</v>
      </c>
      <c r="B38" s="18" t="s">
        <v>170</v>
      </c>
      <c r="C38" s="24" t="s">
        <v>17708</v>
      </c>
      <c r="D38" s="24">
        <v>67</v>
      </c>
      <c r="E38" s="27" t="str">
        <f>HYPERLINK("https://www.boe.es/gazeta/dias/1802/04/06/pdfs/GMD-1802-28.pdf","Abrir fascículo")</f>
        <v>Abrir fascículo</v>
      </c>
    </row>
    <row r="39" spans="1:5">
      <c r="A39" s="21">
        <v>29</v>
      </c>
      <c r="B39" s="18" t="s">
        <v>92</v>
      </c>
      <c r="C39" s="24" t="s">
        <v>17709</v>
      </c>
      <c r="D39" s="24">
        <v>68</v>
      </c>
      <c r="E39" s="27" t="str">
        <f>HYPERLINK("https://www.boe.es/gazeta/dias/1802/04/09/pdfs/GMD-1802-29.pdf","Abrir fascículo")</f>
        <v>Abrir fascículo</v>
      </c>
    </row>
    <row r="40" spans="1:5">
      <c r="A40" s="21">
        <v>30</v>
      </c>
      <c r="B40" s="18" t="s">
        <v>232</v>
      </c>
      <c r="C40" s="24" t="s">
        <v>17710</v>
      </c>
      <c r="D40" s="24">
        <v>56</v>
      </c>
      <c r="E40" s="27" t="str">
        <f>HYPERLINK("https://www.boe.es/gazeta/dias/1802/04/13/pdfs/GMD-1802-30.pdf","Abrir fascículo")</f>
        <v>Abrir fascículo</v>
      </c>
    </row>
    <row r="41" spans="1:5">
      <c r="A41" s="21" t="s">
        <v>17711</v>
      </c>
      <c r="B41" s="18" t="s">
        <v>232</v>
      </c>
      <c r="C41" s="24" t="s">
        <v>17712</v>
      </c>
      <c r="D41" s="24">
        <v>0</v>
      </c>
      <c r="E41" s="27" t="str">
        <f>HYPERLINK("https://www.boe.es/gazeta/dias/1802/04/13/pdfs/GMD-C-1802-30.pdf","Abrir suplemento")</f>
        <v>Abrir suplemento</v>
      </c>
    </row>
    <row r="42" spans="1:5">
      <c r="A42" s="21">
        <v>31</v>
      </c>
      <c r="B42" s="18" t="s">
        <v>1618</v>
      </c>
      <c r="C42" s="24" t="s">
        <v>17713</v>
      </c>
      <c r="D42" s="24">
        <v>48</v>
      </c>
      <c r="E42" s="27" t="str">
        <f>HYPERLINK("https://www.boe.es/gazeta/dias/1802/04/16/pdfs/GMD-1802-31.pdf","Abrir fascículo")</f>
        <v>Abrir fascículo</v>
      </c>
    </row>
    <row r="43" spans="1:5">
      <c r="A43" s="21">
        <v>32</v>
      </c>
      <c r="B43" s="18" t="s">
        <v>1829</v>
      </c>
      <c r="C43" s="24" t="s">
        <v>17714</v>
      </c>
      <c r="D43" s="24">
        <v>35</v>
      </c>
      <c r="E43" s="27" t="str">
        <f>HYPERLINK("https://www.boe.es/gazeta/dias/1802/04/20/pdfs/GMD-1802-32.pdf","Abrir fascículo")</f>
        <v>Abrir fascículo</v>
      </c>
    </row>
    <row r="44" spans="1:5">
      <c r="A44" s="21">
        <v>33</v>
      </c>
      <c r="B44" s="18" t="s">
        <v>133</v>
      </c>
      <c r="C44" s="24" t="s">
        <v>17715</v>
      </c>
      <c r="D44" s="24">
        <v>38</v>
      </c>
      <c r="E44" s="27" t="str">
        <f>HYPERLINK("https://www.boe.es/gazeta/dias/1802/04/23/pdfs/GMD-1802-33.pdf","Abrir fascículo")</f>
        <v>Abrir fascículo</v>
      </c>
    </row>
    <row r="45" spans="1:5">
      <c r="A45" s="21">
        <v>34</v>
      </c>
      <c r="B45" s="18" t="s">
        <v>1959</v>
      </c>
      <c r="C45" s="24" t="s">
        <v>17716</v>
      </c>
      <c r="D45" s="24">
        <v>24</v>
      </c>
      <c r="E45" s="27" t="str">
        <f>HYPERLINK("https://www.boe.es/gazeta/dias/1802/04/27/pdfs/GMD-1802-34.pdf","Abrir fascículo")</f>
        <v>Abrir fascículo</v>
      </c>
    </row>
    <row r="46" spans="1:5">
      <c r="A46" s="21">
        <v>35</v>
      </c>
      <c r="B46" s="18" t="s">
        <v>172</v>
      </c>
      <c r="C46" s="24" t="s">
        <v>17717</v>
      </c>
      <c r="D46" s="24">
        <v>63</v>
      </c>
      <c r="E46" s="27" t="str">
        <f>HYPERLINK("https://www.boe.es/gazeta/dias/1802/04/30/pdfs/GMD-1802-35.pdf","Abrir fascículo")</f>
        <v>Abrir fascículo</v>
      </c>
    </row>
    <row r="47" spans="1:5">
      <c r="A47" s="21" t="s">
        <v>17718</v>
      </c>
      <c r="B47" s="18" t="s">
        <v>172</v>
      </c>
      <c r="C47" s="24" t="s">
        <v>17719</v>
      </c>
      <c r="D47" s="24">
        <v>0</v>
      </c>
      <c r="E47" s="27" t="str">
        <f>HYPERLINK("https://www.boe.es/gazeta/dias/1802/04/30/pdfs/GMD-C-1802-35.pdf","Abrir suplemento")</f>
        <v>Abrir suplemento</v>
      </c>
    </row>
    <row r="48" spans="1:5">
      <c r="A48" s="21">
        <v>36</v>
      </c>
      <c r="B48" s="18" t="s">
        <v>631</v>
      </c>
      <c r="C48" s="24" t="s">
        <v>17720</v>
      </c>
      <c r="D48" s="24">
        <v>36</v>
      </c>
      <c r="E48" s="27" t="str">
        <f>HYPERLINK("https://www.boe.es/gazeta/dias/1802/05/04/pdfs/GMD-1802-36.pdf","Abrir fascículo")</f>
        <v>Abrir fascículo</v>
      </c>
    </row>
    <row r="49" spans="1:5">
      <c r="A49" s="21">
        <v>37</v>
      </c>
      <c r="B49" s="18" t="s">
        <v>175</v>
      </c>
      <c r="C49" s="24" t="s">
        <v>17721</v>
      </c>
      <c r="D49" s="24">
        <v>61</v>
      </c>
      <c r="E49" s="27" t="str">
        <f>HYPERLINK("https://www.boe.es/gazeta/dias/1802/05/07/pdfs/GMD-1802-37.pdf","Abrir fascículo")</f>
        <v>Abrir fascículo</v>
      </c>
    </row>
    <row r="50" spans="1:5">
      <c r="A50" s="21">
        <v>38</v>
      </c>
      <c r="B50" s="18" t="s">
        <v>590</v>
      </c>
      <c r="C50" s="24" t="s">
        <v>17722</v>
      </c>
      <c r="D50" s="24">
        <v>40</v>
      </c>
      <c r="E50" s="27" t="str">
        <f>HYPERLINK("https://www.boe.es/gazeta/dias/1802/05/11/pdfs/GMD-1802-38.pdf","Abrir fascículo")</f>
        <v>Abrir fascículo</v>
      </c>
    </row>
    <row r="51" spans="1:5">
      <c r="A51" s="21">
        <v>39</v>
      </c>
      <c r="B51" s="18" t="s">
        <v>339</v>
      </c>
      <c r="C51" s="24" t="s">
        <v>17723</v>
      </c>
      <c r="D51" s="24">
        <v>58</v>
      </c>
      <c r="E51" s="27" t="str">
        <f>HYPERLINK("https://www.boe.es/gazeta/dias/1802/05/14/pdfs/GMD-1802-39.pdf","Abrir fascículo")</f>
        <v>Abrir fascículo</v>
      </c>
    </row>
    <row r="52" spans="1:5">
      <c r="A52" s="21">
        <v>40</v>
      </c>
      <c r="B52" s="18" t="s">
        <v>670</v>
      </c>
      <c r="C52" s="24" t="s">
        <v>17724</v>
      </c>
      <c r="D52" s="24">
        <v>80</v>
      </c>
      <c r="E52" s="27" t="str">
        <f>HYPERLINK("https://www.boe.es/gazeta/dias/1802/05/18/pdfs/GMD-1802-40.pdf","Abrir fascículo")</f>
        <v>Abrir fascículo</v>
      </c>
    </row>
    <row r="53" spans="1:5">
      <c r="A53" s="21">
        <v>41</v>
      </c>
      <c r="B53" s="18" t="s">
        <v>814</v>
      </c>
      <c r="C53" s="24" t="s">
        <v>17725</v>
      </c>
      <c r="D53" s="24">
        <v>52</v>
      </c>
      <c r="E53" s="27" t="str">
        <f>HYPERLINK("https://www.boe.es/gazeta/dias/1802/05/21/pdfs/GMD-1802-41.pdf","Abrir fascículo")</f>
        <v>Abrir fascículo</v>
      </c>
    </row>
    <row r="54" spans="1:5">
      <c r="A54" s="21">
        <v>42</v>
      </c>
      <c r="B54" s="18" t="s">
        <v>146</v>
      </c>
      <c r="C54" s="24" t="s">
        <v>17726</v>
      </c>
      <c r="D54" s="24">
        <v>87</v>
      </c>
      <c r="E54" s="27" t="str">
        <f>HYPERLINK("https://www.boe.es/gazeta/dias/1802/05/25/pdfs/GMD-1802-42.pdf","Abrir fascículo")</f>
        <v>Abrir fascículo</v>
      </c>
    </row>
    <row r="55" spans="1:5">
      <c r="A55" s="21">
        <v>43</v>
      </c>
      <c r="B55" s="18" t="s">
        <v>1051</v>
      </c>
      <c r="C55" s="24" t="s">
        <v>17727</v>
      </c>
      <c r="D55" s="24">
        <v>59</v>
      </c>
      <c r="E55" s="27" t="str">
        <f>HYPERLINK("https://www.boe.es/gazeta/dias/1802/05/28/pdfs/GMD-1802-43.pdf","Abrir fascículo")</f>
        <v>Abrir fascículo</v>
      </c>
    </row>
    <row r="56" spans="1:5">
      <c r="A56" s="21" t="s">
        <v>17728</v>
      </c>
      <c r="B56" s="18" t="s">
        <v>1051</v>
      </c>
      <c r="C56" s="24" t="s">
        <v>17729</v>
      </c>
      <c r="D56" s="24">
        <v>0</v>
      </c>
      <c r="E56" s="27" t="str">
        <f>HYPERLINK("https://www.boe.es/gazeta/dias/1802/05/28/pdfs/GMD-C-1802-43.pdf","Abrir suplemento")</f>
        <v>Abrir suplemento</v>
      </c>
    </row>
    <row r="57" spans="1:5">
      <c r="A57" s="21">
        <v>44</v>
      </c>
      <c r="B57" s="18" t="s">
        <v>25</v>
      </c>
      <c r="C57" s="24" t="s">
        <v>17730</v>
      </c>
      <c r="D57" s="24">
        <v>57</v>
      </c>
      <c r="E57" s="27" t="str">
        <f>HYPERLINK("https://www.boe.es/gazeta/dias/1802/06/01/pdfs/GMD-1802-44.pdf","Abrir fascículo")</f>
        <v>Abrir fascículo</v>
      </c>
    </row>
    <row r="58" spans="1:5">
      <c r="A58" s="21">
        <v>45</v>
      </c>
      <c r="B58" s="18" t="s">
        <v>328</v>
      </c>
      <c r="C58" s="24" t="s">
        <v>17731</v>
      </c>
      <c r="D58" s="24">
        <v>59</v>
      </c>
      <c r="E58" s="27" t="str">
        <f>HYPERLINK("https://www.boe.es/gazeta/dias/1802/06/04/pdfs/GMD-1802-45.pdf","Abrir fascículo")</f>
        <v>Abrir fascículo</v>
      </c>
    </row>
    <row r="59" spans="1:5">
      <c r="A59" s="21">
        <v>46</v>
      </c>
      <c r="B59" s="18" t="s">
        <v>655</v>
      </c>
      <c r="C59" s="24" t="s">
        <v>17732</v>
      </c>
      <c r="D59" s="24">
        <v>57</v>
      </c>
      <c r="E59" s="27" t="str">
        <f>HYPERLINK("https://www.boe.es/gazeta/dias/1802/06/08/pdfs/GMD-1802-46.pdf","Abrir fascículo")</f>
        <v>Abrir fascículo</v>
      </c>
    </row>
    <row r="60" spans="1:5">
      <c r="A60" s="21">
        <v>47</v>
      </c>
      <c r="B60" s="18" t="s">
        <v>635</v>
      </c>
      <c r="C60" s="24" t="s">
        <v>17733</v>
      </c>
      <c r="D60" s="24">
        <v>59</v>
      </c>
      <c r="E60" s="27" t="str">
        <f>HYPERLINK("https://www.boe.es/gazeta/dias/1802/06/11/pdfs/GMD-1802-47.pdf","Abrir fascículo")</f>
        <v>Abrir fascículo</v>
      </c>
    </row>
    <row r="61" spans="1:5">
      <c r="A61" s="21">
        <v>48</v>
      </c>
      <c r="B61" s="18" t="s">
        <v>530</v>
      </c>
      <c r="C61" s="24" t="s">
        <v>17734</v>
      </c>
      <c r="D61" s="24">
        <v>50</v>
      </c>
      <c r="E61" s="27" t="str">
        <f>HYPERLINK("https://www.boe.es/gazeta/dias/1802/06/15/pdfs/GMD-1802-48.pdf","Abrir fascículo")</f>
        <v>Abrir fascículo</v>
      </c>
    </row>
    <row r="62" spans="1:5">
      <c r="A62" s="21">
        <v>49</v>
      </c>
      <c r="B62" s="18" t="s">
        <v>188</v>
      </c>
      <c r="C62" s="24" t="s">
        <v>17735</v>
      </c>
      <c r="D62" s="24">
        <v>47</v>
      </c>
      <c r="E62" s="27" t="str">
        <f>HYPERLINK("https://www.boe.es/gazeta/dias/1802/06/18/pdfs/GMD-1802-49.pdf","Abrir fascículo")</f>
        <v>Abrir fascículo</v>
      </c>
    </row>
    <row r="63" spans="1:5">
      <c r="A63" s="21">
        <v>50</v>
      </c>
      <c r="B63" s="18" t="s">
        <v>921</v>
      </c>
      <c r="C63" s="24" t="s">
        <v>17736</v>
      </c>
      <c r="D63" s="24">
        <v>38</v>
      </c>
      <c r="E63" s="27" t="str">
        <f>HYPERLINK("https://www.boe.es/gazeta/dias/1802/06/22/pdfs/GMD-1802-50.pdf","Abrir fascículo")</f>
        <v>Abrir fascículo</v>
      </c>
    </row>
    <row r="64" spans="1:5">
      <c r="A64" s="21">
        <v>51</v>
      </c>
      <c r="B64" s="18" t="s">
        <v>642</v>
      </c>
      <c r="C64" s="24" t="s">
        <v>17737</v>
      </c>
      <c r="D64" s="24">
        <v>40</v>
      </c>
      <c r="E64" s="27" t="str">
        <f>HYPERLINK("https://www.boe.es/gazeta/dias/1802/06/25/pdfs/GMD-1802-51.pdf","Abrir fascículo")</f>
        <v>Abrir fascículo</v>
      </c>
    </row>
    <row r="65" spans="1:5">
      <c r="A65" s="21">
        <v>52</v>
      </c>
      <c r="B65" s="18" t="s">
        <v>453</v>
      </c>
      <c r="C65" s="24" t="s">
        <v>17738</v>
      </c>
      <c r="D65" s="24">
        <v>33</v>
      </c>
      <c r="E65" s="27" t="str">
        <f>HYPERLINK("https://www.boe.es/gazeta/dias/1802/06/29/pdfs/GMD-1802-52.pdf","Abrir fascículo")</f>
        <v>Abrir fascículo</v>
      </c>
    </row>
    <row r="66" spans="1:5">
      <c r="A66" s="21">
        <v>53</v>
      </c>
      <c r="B66" s="18" t="s">
        <v>192</v>
      </c>
      <c r="C66" s="24" t="s">
        <v>17739</v>
      </c>
      <c r="D66" s="24">
        <v>59</v>
      </c>
      <c r="E66" s="27" t="str">
        <f>HYPERLINK("https://www.boe.es/gazeta/dias/1802/07/02/pdfs/GMD-1802-53.pdf","Abrir fascículo")</f>
        <v>Abrir fascículo</v>
      </c>
    </row>
    <row r="67" spans="1:5">
      <c r="A67" s="21">
        <v>54</v>
      </c>
      <c r="B67" s="18" t="s">
        <v>57</v>
      </c>
      <c r="C67" s="24" t="s">
        <v>17740</v>
      </c>
      <c r="D67" s="24">
        <v>34</v>
      </c>
      <c r="E67" s="27" t="str">
        <f>HYPERLINK("https://www.boe.es/gazeta/dias/1802/07/06/pdfs/GMD-1802-54.pdf","Abrir fascículo")</f>
        <v>Abrir fascículo</v>
      </c>
    </row>
    <row r="68" spans="1:5">
      <c r="A68" s="21">
        <v>55</v>
      </c>
      <c r="B68" s="18" t="s">
        <v>181</v>
      </c>
      <c r="C68" s="24" t="s">
        <v>17741</v>
      </c>
      <c r="D68" s="24">
        <v>58</v>
      </c>
      <c r="E68" s="27" t="str">
        <f>HYPERLINK("https://www.boe.es/gazeta/dias/1802/07/09/pdfs/GMD-1802-55.pdf","Abrir fascículo")</f>
        <v>Abrir fascículo</v>
      </c>
    </row>
    <row r="69" spans="1:5">
      <c r="A69" s="21">
        <v>56</v>
      </c>
      <c r="B69" s="18" t="s">
        <v>183</v>
      </c>
      <c r="C69" s="24" t="s">
        <v>17742</v>
      </c>
      <c r="D69" s="24">
        <v>40</v>
      </c>
      <c r="E69" s="27" t="str">
        <f>HYPERLINK("https://www.boe.es/gazeta/dias/1802/07/13/pdfs/GMD-1802-56.pdf","Abrir fascículo")</f>
        <v>Abrir fascículo</v>
      </c>
    </row>
    <row r="70" spans="1:5">
      <c r="A70" s="21">
        <v>57</v>
      </c>
      <c r="B70" s="18" t="s">
        <v>491</v>
      </c>
      <c r="C70" s="24" t="s">
        <v>17743</v>
      </c>
      <c r="D70" s="24">
        <v>56</v>
      </c>
      <c r="E70" s="27" t="str">
        <f>HYPERLINK("https://www.boe.es/gazeta/dias/1802/07/16/pdfs/GMD-1802-57.pdf","Abrir fascículo")</f>
        <v>Abrir fascículo</v>
      </c>
    </row>
    <row r="71" spans="1:5">
      <c r="A71" s="21">
        <v>58</v>
      </c>
      <c r="B71" s="18" t="s">
        <v>436</v>
      </c>
      <c r="C71" s="24" t="s">
        <v>17744</v>
      </c>
      <c r="D71" s="24">
        <v>55</v>
      </c>
      <c r="E71" s="27" t="str">
        <f>HYPERLINK("https://www.boe.es/gazeta/dias/1802/07/20/pdfs/GMD-1802-58.pdf","Abrir fascículo")</f>
        <v>Abrir fascículo</v>
      </c>
    </row>
    <row r="72" spans="1:5">
      <c r="A72" s="21" t="s">
        <v>575</v>
      </c>
      <c r="B72" s="18" t="s">
        <v>574</v>
      </c>
      <c r="C72" s="24" t="s">
        <v>17745</v>
      </c>
      <c r="D72" s="24">
        <v>57</v>
      </c>
      <c r="E72" s="27" t="str">
        <f>HYPERLINK("https://www.boe.es/gazeta/dias/1802/07/21/pdfs/GMD-1802-59E.pdf","Abrir extraordinaria")</f>
        <v>Abrir extraordinaria</v>
      </c>
    </row>
    <row r="73" spans="1:5">
      <c r="A73" s="21">
        <v>60</v>
      </c>
      <c r="B73" s="18" t="s">
        <v>1749</v>
      </c>
      <c r="C73" s="24" t="s">
        <v>17746</v>
      </c>
      <c r="D73" s="24">
        <v>82</v>
      </c>
      <c r="E73" s="27" t="str">
        <f>HYPERLINK("https://www.boe.es/gazeta/dias/1802/07/23/pdfs/GMD-1802-60.pdf","Abrir fascículo")</f>
        <v>Abrir fascículo</v>
      </c>
    </row>
    <row r="74" spans="1:5">
      <c r="A74" s="21">
        <v>61</v>
      </c>
      <c r="B74" s="18" t="s">
        <v>517</v>
      </c>
      <c r="C74" s="24" t="s">
        <v>17747</v>
      </c>
      <c r="D74" s="24">
        <v>81</v>
      </c>
      <c r="E74" s="27" t="str">
        <f>HYPERLINK("https://www.boe.es/gazeta/dias/1802/07/27/pdfs/GMD-1802-61.pdf","Abrir fascículo")</f>
        <v>Abrir fascículo</v>
      </c>
    </row>
    <row r="75" spans="1:5">
      <c r="A75" s="21">
        <v>62</v>
      </c>
      <c r="B75" s="18" t="s">
        <v>292</v>
      </c>
      <c r="C75" s="24" t="s">
        <v>17748</v>
      </c>
      <c r="D75" s="24">
        <v>56</v>
      </c>
      <c r="E75" s="27" t="str">
        <f>HYPERLINK("https://www.boe.es/gazeta/dias/1802/07/30/pdfs/GMD-1802-62.pdf","Abrir fascículo")</f>
        <v>Abrir fascículo</v>
      </c>
    </row>
    <row r="76" spans="1:5">
      <c r="A76" s="21" t="s">
        <v>17749</v>
      </c>
      <c r="B76" s="18" t="s">
        <v>292</v>
      </c>
      <c r="C76" s="24" t="s">
        <v>17750</v>
      </c>
      <c r="D76" s="24">
        <v>0</v>
      </c>
      <c r="E76" s="27" t="str">
        <f>HYPERLINK("https://www.boe.es/gazeta/dias/1802/07/30/pdfs/GMD-C-1802-62.pdf","Abrir suplemento")</f>
        <v>Abrir suplemento</v>
      </c>
    </row>
    <row r="77" spans="1:5">
      <c r="A77" s="21">
        <v>63</v>
      </c>
      <c r="B77" s="18" t="s">
        <v>258</v>
      </c>
      <c r="C77" s="24" t="s">
        <v>17751</v>
      </c>
      <c r="D77" s="24">
        <v>43</v>
      </c>
      <c r="E77" s="27" t="str">
        <f>HYPERLINK("https://www.boe.es/gazeta/dias/1802/08/03/pdfs/GMD-1802-63.pdf","Abrir fascículo")</f>
        <v>Abrir fascículo</v>
      </c>
    </row>
    <row r="78" spans="1:5">
      <c r="A78" s="21">
        <v>64</v>
      </c>
      <c r="B78" s="18" t="s">
        <v>142</v>
      </c>
      <c r="C78" s="24" t="s">
        <v>17752</v>
      </c>
      <c r="D78" s="24">
        <v>25</v>
      </c>
      <c r="E78" s="27" t="str">
        <f>HYPERLINK("https://www.boe.es/gazeta/dias/1802/08/06/pdfs/GMD-1802-64.pdf","Abrir fascículo")</f>
        <v>Abrir fascículo</v>
      </c>
    </row>
    <row r="79" spans="1:5">
      <c r="A79" s="21">
        <v>65</v>
      </c>
      <c r="B79" s="18" t="s">
        <v>881</v>
      </c>
      <c r="C79" s="24" t="s">
        <v>17753</v>
      </c>
      <c r="D79" s="24">
        <v>32</v>
      </c>
      <c r="E79" s="27" t="str">
        <f>HYPERLINK("https://www.boe.es/gazeta/dias/1802/08/10/pdfs/GMD-1802-65.pdf","Abrir fascículo")</f>
        <v>Abrir fascículo</v>
      </c>
    </row>
    <row r="80" spans="1:5">
      <c r="A80" s="21">
        <v>66</v>
      </c>
      <c r="B80" s="18" t="s">
        <v>148</v>
      </c>
      <c r="C80" s="24" t="s">
        <v>17754</v>
      </c>
      <c r="D80" s="24">
        <v>93</v>
      </c>
      <c r="E80" s="27" t="str">
        <f>HYPERLINK("https://www.boe.es/gazeta/dias/1802/08/13/pdfs/GMD-1802-66.pdf","Abrir fascículo")</f>
        <v>Abrir fascículo</v>
      </c>
    </row>
    <row r="81" spans="1:5">
      <c r="A81" s="21">
        <v>67</v>
      </c>
      <c r="B81" s="18" t="s">
        <v>826</v>
      </c>
      <c r="C81" s="24" t="s">
        <v>17755</v>
      </c>
      <c r="D81" s="24">
        <v>39</v>
      </c>
      <c r="E81" s="27" t="str">
        <f>HYPERLINK("https://www.boe.es/gazeta/dias/1802/08/17/pdfs/GMD-1802-67.pdf","Abrir fascículo")</f>
        <v>Abrir fascículo</v>
      </c>
    </row>
    <row r="82" spans="1:5">
      <c r="A82" s="21">
        <v>68</v>
      </c>
      <c r="B82" s="18" t="s">
        <v>611</v>
      </c>
      <c r="C82" s="24" t="s">
        <v>17756</v>
      </c>
      <c r="D82" s="24">
        <v>36</v>
      </c>
      <c r="E82" s="27" t="str">
        <f>HYPERLINK("https://www.boe.es/gazeta/dias/1802/08/20/pdfs/GMD-1802-68.pdf","Abrir fascículo")</f>
        <v>Abrir fascículo</v>
      </c>
    </row>
    <row r="83" spans="1:5">
      <c r="A83" s="21" t="s">
        <v>17757</v>
      </c>
      <c r="B83" s="18" t="s">
        <v>611</v>
      </c>
      <c r="C83" s="24" t="s">
        <v>17758</v>
      </c>
      <c r="D83" s="24">
        <v>0</v>
      </c>
      <c r="E83" s="27" t="str">
        <f>HYPERLINK("https://www.boe.es/gazeta/dias/1802/08/20/pdfs/GMD-C-1802-68.pdf","Abrir suplemento")</f>
        <v>Abrir suplemento</v>
      </c>
    </row>
    <row r="84" spans="1:5">
      <c r="A84" s="21">
        <v>69</v>
      </c>
      <c r="B84" s="18" t="s">
        <v>764</v>
      </c>
      <c r="C84" s="24" t="s">
        <v>17759</v>
      </c>
      <c r="D84" s="24">
        <v>36</v>
      </c>
      <c r="E84" s="27" t="str">
        <f>HYPERLINK("https://www.boe.es/gazeta/dias/1802/08/24/pdfs/GMD-1802-69.pdf","Abrir fascículo")</f>
        <v>Abrir fascículo</v>
      </c>
    </row>
    <row r="85" spans="1:5">
      <c r="A85" s="21">
        <v>70</v>
      </c>
      <c r="B85" s="18" t="s">
        <v>385</v>
      </c>
      <c r="C85" s="24" t="s">
        <v>17760</v>
      </c>
      <c r="D85" s="24">
        <v>47</v>
      </c>
      <c r="E85" s="27" t="str">
        <f>HYPERLINK("https://www.boe.es/gazeta/dias/1802/08/27/pdfs/GMD-1802-70.pdf","Abrir fascículo")</f>
        <v>Abrir fascículo</v>
      </c>
    </row>
    <row r="86" spans="1:5">
      <c r="A86" s="21">
        <v>71</v>
      </c>
      <c r="B86" s="18" t="s">
        <v>1374</v>
      </c>
      <c r="C86" s="24" t="s">
        <v>17761</v>
      </c>
      <c r="D86" s="24">
        <v>36</v>
      </c>
      <c r="E86" s="27" t="str">
        <f>HYPERLINK("https://www.boe.es/gazeta/dias/1802/08/31/pdfs/GMD-1802-71.pdf","Abrir fascículo")</f>
        <v>Abrir fascículo</v>
      </c>
    </row>
    <row r="87" spans="1:5">
      <c r="A87" s="21" t="s">
        <v>17762</v>
      </c>
      <c r="B87" s="18" t="s">
        <v>1374</v>
      </c>
      <c r="C87" s="24" t="s">
        <v>17763</v>
      </c>
      <c r="D87" s="24">
        <v>0</v>
      </c>
      <c r="E87" s="27" t="str">
        <f>HYPERLINK("https://www.boe.es/gazeta/dias/1802/08/31/pdfs/GMD-C-1802-71.pdf","Abrir suplemento")</f>
        <v>Abrir suplemento</v>
      </c>
    </row>
    <row r="88" spans="1:5">
      <c r="A88" s="21">
        <v>72</v>
      </c>
      <c r="B88" s="18" t="s">
        <v>1289</v>
      </c>
      <c r="C88" s="24" t="s">
        <v>17764</v>
      </c>
      <c r="D88" s="24">
        <v>30</v>
      </c>
      <c r="E88" s="27" t="str">
        <f>HYPERLINK("https://www.boe.es/gazeta/dias/1802/09/03/pdfs/GMD-1802-72.pdf","Abrir fascículo")</f>
        <v>Abrir fascículo</v>
      </c>
    </row>
    <row r="89" spans="1:5">
      <c r="A89" s="21">
        <v>73</v>
      </c>
      <c r="B89" s="18" t="s">
        <v>102</v>
      </c>
      <c r="C89" s="24" t="s">
        <v>17765</v>
      </c>
      <c r="D89" s="24">
        <v>28</v>
      </c>
      <c r="E89" s="27" t="str">
        <f>HYPERLINK("https://www.boe.es/gazeta/dias/1802/09/07/pdfs/GMD-1802-73.pdf","Abrir fascículo")</f>
        <v>Abrir fascículo</v>
      </c>
    </row>
    <row r="90" spans="1:5">
      <c r="A90" s="21">
        <v>74</v>
      </c>
      <c r="B90" s="18" t="s">
        <v>82</v>
      </c>
      <c r="C90" s="24" t="s">
        <v>17766</v>
      </c>
      <c r="D90" s="24">
        <v>44</v>
      </c>
      <c r="E90" s="27" t="str">
        <f>HYPERLINK("https://www.boe.es/gazeta/dias/1802/09/10/pdfs/GMD-1802-74.pdf","Abrir fascículo")</f>
        <v>Abrir fascículo</v>
      </c>
    </row>
    <row r="91" spans="1:5">
      <c r="A91" s="21">
        <v>75</v>
      </c>
      <c r="B91" s="18" t="s">
        <v>276</v>
      </c>
      <c r="C91" s="24" t="s">
        <v>17767</v>
      </c>
      <c r="D91" s="24">
        <v>28</v>
      </c>
      <c r="E91" s="27" t="str">
        <f>HYPERLINK("https://www.boe.es/gazeta/dias/1802/09/14/pdfs/GMD-1802-75.pdf","Abrir fascículo")</f>
        <v>Abrir fascículo</v>
      </c>
    </row>
    <row r="92" spans="1:5">
      <c r="A92" s="21">
        <v>76</v>
      </c>
      <c r="B92" s="18" t="s">
        <v>439</v>
      </c>
      <c r="C92" s="24" t="s">
        <v>17768</v>
      </c>
      <c r="D92" s="24">
        <v>53</v>
      </c>
      <c r="E92" s="27" t="str">
        <f>HYPERLINK("https://www.boe.es/gazeta/dias/1802/09/17/pdfs/GMD-1802-76.pdf","Abrir fascículo")</f>
        <v>Abrir fascículo</v>
      </c>
    </row>
    <row r="93" spans="1:5">
      <c r="A93" s="21">
        <v>77</v>
      </c>
      <c r="B93" s="18" t="s">
        <v>907</v>
      </c>
      <c r="C93" s="24" t="s">
        <v>17769</v>
      </c>
      <c r="D93" s="24">
        <v>31</v>
      </c>
      <c r="E93" s="27" t="str">
        <f>HYPERLINK("https://www.boe.es/gazeta/dias/1802/09/21/pdfs/GMD-1802-77.pdf","Abrir fascículo")</f>
        <v>Abrir fascículo</v>
      </c>
    </row>
    <row r="94" spans="1:5">
      <c r="A94" s="21">
        <v>78</v>
      </c>
      <c r="B94" s="18" t="s">
        <v>443</v>
      </c>
      <c r="C94" s="24" t="s">
        <v>17770</v>
      </c>
      <c r="D94" s="24">
        <v>28</v>
      </c>
      <c r="E94" s="27" t="str">
        <f>HYPERLINK("https://www.boe.es/gazeta/dias/1802/09/24/pdfs/GMD-1802-78.pdf","Abrir fascículo")</f>
        <v>Abrir fascículo</v>
      </c>
    </row>
    <row r="95" spans="1:5">
      <c r="A95" s="21" t="s">
        <v>17771</v>
      </c>
      <c r="B95" s="18" t="s">
        <v>443</v>
      </c>
      <c r="C95" s="24" t="s">
        <v>17772</v>
      </c>
      <c r="D95" s="24">
        <v>1</v>
      </c>
      <c r="E95" s="27" t="str">
        <f>HYPERLINK("https://www.boe.es/gazeta/dias/1802/09/24/pdfs/GMD-C-1802-78.pdf","Abrir suplemento")</f>
        <v>Abrir suplemento</v>
      </c>
    </row>
    <row r="96" spans="1:5">
      <c r="A96" s="21">
        <v>79</v>
      </c>
      <c r="B96" s="18" t="s">
        <v>481</v>
      </c>
      <c r="C96" s="24" t="s">
        <v>17773</v>
      </c>
      <c r="D96" s="24">
        <v>49</v>
      </c>
      <c r="E96" s="27" t="str">
        <f>HYPERLINK("https://www.boe.es/gazeta/dias/1802/09/28/pdfs/GMD-1802-79.pdf","Abrir fascículo")</f>
        <v>Abrir fascículo</v>
      </c>
    </row>
    <row r="97" spans="1:5">
      <c r="A97" s="21">
        <v>80</v>
      </c>
      <c r="B97" s="18" t="s">
        <v>706</v>
      </c>
      <c r="C97" s="24" t="s">
        <v>17774</v>
      </c>
      <c r="D97" s="24">
        <v>25</v>
      </c>
      <c r="E97" s="27" t="str">
        <f>HYPERLINK("https://www.boe.es/gazeta/dias/1802/10/01/pdfs/GMD-1802-80.pdf","Abrir fascículo")</f>
        <v>Abrir fascículo</v>
      </c>
    </row>
    <row r="98" spans="1:5">
      <c r="A98" s="21">
        <v>81</v>
      </c>
      <c r="B98" s="18" t="s">
        <v>219</v>
      </c>
      <c r="C98" s="24" t="s">
        <v>17775</v>
      </c>
      <c r="D98" s="24">
        <v>52</v>
      </c>
      <c r="E98" s="27" t="str">
        <f>HYPERLINK("https://www.boe.es/gazeta/dias/1802/10/05/pdfs/GMD-1802-81.pdf","Abrir fascículo")</f>
        <v>Abrir fascículo</v>
      </c>
    </row>
    <row r="99" spans="1:5">
      <c r="A99" s="21">
        <v>82</v>
      </c>
      <c r="B99" s="18" t="s">
        <v>114</v>
      </c>
      <c r="C99" s="24" t="s">
        <v>17776</v>
      </c>
      <c r="D99" s="24">
        <v>40</v>
      </c>
      <c r="E99" s="27" t="str">
        <f>HYPERLINK("https://www.boe.es/gazeta/dias/1802/10/08/pdfs/GMD-1802-82.pdf","Abrir fascículo")</f>
        <v>Abrir fascículo</v>
      </c>
    </row>
    <row r="100" spans="1:5">
      <c r="A100" s="21">
        <v>83</v>
      </c>
      <c r="B100" s="18" t="s">
        <v>49</v>
      </c>
      <c r="C100" s="24" t="s">
        <v>17777</v>
      </c>
      <c r="D100" s="24">
        <v>600</v>
      </c>
      <c r="E100" s="27" t="str">
        <f>HYPERLINK("https://www.boe.es/gazeta/dias/1802/10/12/pdfs/GMD-1802-83.pdf","Abrir fascículo")</f>
        <v>Abrir fascículo</v>
      </c>
    </row>
    <row r="101" spans="1:5">
      <c r="A101" s="21" t="s">
        <v>17778</v>
      </c>
      <c r="B101" s="18" t="s">
        <v>49</v>
      </c>
      <c r="C101" s="24" t="s">
        <v>17779</v>
      </c>
      <c r="D101" s="24">
        <v>0</v>
      </c>
      <c r="E101" s="27" t="str">
        <f>HYPERLINK("https://www.boe.es/gazeta/dias/1802/10/12/pdfs/GMD-C-1802-83.pdf","Abrir suplemento")</f>
        <v>Abrir suplemento</v>
      </c>
    </row>
    <row r="102" spans="1:5">
      <c r="A102" s="21">
        <v>84</v>
      </c>
      <c r="B102" s="18" t="s">
        <v>20</v>
      </c>
      <c r="C102" s="24" t="s">
        <v>17780</v>
      </c>
      <c r="D102" s="24">
        <v>570</v>
      </c>
      <c r="E102" s="27" t="str">
        <f>HYPERLINK("https://www.boe.es/gazeta/dias/1802/10/15/pdfs/GMD-1802-84.pdf","Abrir fascículo")</f>
        <v>Abrir fascículo</v>
      </c>
    </row>
    <row r="103" spans="1:5">
      <c r="A103" s="21">
        <v>85</v>
      </c>
      <c r="B103" s="18" t="s">
        <v>710</v>
      </c>
      <c r="C103" s="24" t="s">
        <v>17781</v>
      </c>
      <c r="D103" s="24">
        <v>40</v>
      </c>
      <c r="E103" s="27" t="str">
        <f>HYPERLINK("https://www.boe.es/gazeta/dias/1802/10/19/pdfs/GMD-1802-85.pdf","Abrir fascículo")</f>
        <v>Abrir fascículo</v>
      </c>
    </row>
    <row r="104" spans="1:5">
      <c r="A104" s="21">
        <v>86</v>
      </c>
      <c r="B104" s="18" t="s">
        <v>99</v>
      </c>
      <c r="C104" s="24" t="s">
        <v>17782</v>
      </c>
      <c r="D104" s="24">
        <v>25</v>
      </c>
      <c r="E104" s="27" t="str">
        <f>HYPERLINK("https://www.boe.es/gazeta/dias/1802/10/22/pdfs/GMD-1802-86.pdf","Abrir fascículo")</f>
        <v>Abrir fascículo</v>
      </c>
    </row>
    <row r="105" spans="1:5">
      <c r="A105" s="21">
        <v>87</v>
      </c>
      <c r="B105" s="18" t="s">
        <v>121</v>
      </c>
      <c r="C105" s="24" t="s">
        <v>17783</v>
      </c>
      <c r="D105" s="24">
        <v>34</v>
      </c>
      <c r="E105" s="27" t="str">
        <f>HYPERLINK("https://www.boe.es/gazeta/dias/1802/10/26/pdfs/GMD-1802-87.pdf","Abrir fascículo")</f>
        <v>Abrir fascículo</v>
      </c>
    </row>
    <row r="106" spans="1:5">
      <c r="A106" s="21">
        <v>88</v>
      </c>
      <c r="B106" s="18" t="s">
        <v>311</v>
      </c>
      <c r="C106" s="24" t="s">
        <v>17784</v>
      </c>
      <c r="D106" s="24">
        <v>58</v>
      </c>
      <c r="E106" s="27" t="str">
        <f>HYPERLINK("https://www.boe.es/gazeta/dias/1802/10/29/pdfs/GMD-1802-88.pdf","Abrir fascículo")</f>
        <v>Abrir fascículo</v>
      </c>
    </row>
    <row r="107" spans="1:5">
      <c r="A107" s="21">
        <v>89</v>
      </c>
      <c r="B107" s="18" t="s">
        <v>714</v>
      </c>
      <c r="C107" s="24" t="s">
        <v>17785</v>
      </c>
      <c r="D107" s="24">
        <v>32</v>
      </c>
      <c r="E107" s="27" t="str">
        <f>HYPERLINK("https://www.boe.es/gazeta/dias/1802/11/02/pdfs/GMD-1802-89.pdf","Abrir fascículo")</f>
        <v>Abrir fascículo</v>
      </c>
    </row>
    <row r="108" spans="1:5">
      <c r="A108" s="21">
        <v>90</v>
      </c>
      <c r="B108" s="18" t="s">
        <v>325</v>
      </c>
      <c r="C108" s="24" t="s">
        <v>17786</v>
      </c>
      <c r="D108" s="24">
        <v>25</v>
      </c>
      <c r="E108" s="27" t="str">
        <f>HYPERLINK("https://www.boe.es/gazeta/dias/1802/11/05/pdfs/GMD-1802-90.pdf","Abrir fascículo")</f>
        <v>Abrir fascículo</v>
      </c>
    </row>
    <row r="109" spans="1:5">
      <c r="A109" s="21">
        <v>91</v>
      </c>
      <c r="B109" s="18" t="s">
        <v>429</v>
      </c>
      <c r="C109" s="24" t="s">
        <v>17787</v>
      </c>
      <c r="D109" s="24">
        <v>26</v>
      </c>
      <c r="E109" s="27" t="str">
        <f>HYPERLINK("https://www.boe.es/gazeta/dias/1802/11/09/pdfs/GMD-1802-91.pdf","Abrir fascículo")</f>
        <v>Abrir fascículo</v>
      </c>
    </row>
    <row r="110" spans="1:5">
      <c r="A110" s="21">
        <v>92</v>
      </c>
      <c r="B110" s="18" t="s">
        <v>745</v>
      </c>
      <c r="C110" s="24" t="s">
        <v>17788</v>
      </c>
      <c r="D110" s="24">
        <v>36</v>
      </c>
      <c r="E110" s="27" t="str">
        <f>HYPERLINK("https://www.boe.es/gazeta/dias/1802/11/12/pdfs/GMD-1802-92.pdf","Abrir fascículo")</f>
        <v>Abrir fascículo</v>
      </c>
    </row>
    <row r="111" spans="1:5">
      <c r="A111" s="21">
        <v>93</v>
      </c>
      <c r="B111" s="18" t="s">
        <v>1185</v>
      </c>
      <c r="C111" s="24" t="s">
        <v>17789</v>
      </c>
      <c r="D111" s="24">
        <v>63</v>
      </c>
      <c r="E111" s="27" t="str">
        <f>HYPERLINK("https://www.boe.es/gazeta/dias/1802/11/16/pdfs/GMD-1802-93.pdf","Abrir fascículo")</f>
        <v>Abrir fascículo</v>
      </c>
    </row>
    <row r="112" spans="1:5">
      <c r="A112" s="21">
        <v>94</v>
      </c>
      <c r="B112" s="18" t="s">
        <v>823</v>
      </c>
      <c r="C112" s="24" t="s">
        <v>17790</v>
      </c>
      <c r="D112" s="24">
        <v>52</v>
      </c>
      <c r="E112" s="27" t="str">
        <f>HYPERLINK("https://www.boe.es/gazeta/dias/1802/11/19/pdfs/GMD-1802-94.pdf","Abrir fascículo")</f>
        <v>Abrir fascículo</v>
      </c>
    </row>
    <row r="113" spans="1:5">
      <c r="A113" s="21">
        <v>95</v>
      </c>
      <c r="B113" s="18" t="s">
        <v>185</v>
      </c>
      <c r="C113" s="24" t="s">
        <v>17791</v>
      </c>
      <c r="D113" s="24">
        <v>43</v>
      </c>
      <c r="E113" s="27" t="str">
        <f>HYPERLINK("https://www.boe.es/gazeta/dias/1802/11/23/pdfs/GMD-1802-95.pdf","Abrir fascículo")</f>
        <v>Abrir fascículo</v>
      </c>
    </row>
    <row r="114" spans="1:5">
      <c r="A114" s="21" t="s">
        <v>17792</v>
      </c>
      <c r="B114" s="18" t="s">
        <v>185</v>
      </c>
      <c r="C114" s="24" t="s">
        <v>17793</v>
      </c>
      <c r="D114" s="24">
        <v>0</v>
      </c>
      <c r="E114" s="27" t="str">
        <f>HYPERLINK("https://www.boe.es/gazeta/dias/1802/11/23/pdfs/GMD-C-1802-95.pdf","Abrir suplemento")</f>
        <v>Abrir suplemento</v>
      </c>
    </row>
    <row r="115" spans="1:5">
      <c r="A115" s="21">
        <v>96</v>
      </c>
      <c r="B115" s="18" t="s">
        <v>389</v>
      </c>
      <c r="C115" s="24" t="s">
        <v>17794</v>
      </c>
      <c r="D115" s="24">
        <v>51</v>
      </c>
      <c r="E115" s="27" t="str">
        <f>HYPERLINK("https://www.boe.es/gazeta/dias/1802/11/26/pdfs/GMD-1802-96.pdf","Abrir fascículo")</f>
        <v>Abrir fascículo</v>
      </c>
    </row>
    <row r="116" spans="1:5">
      <c r="A116" s="21">
        <v>97</v>
      </c>
      <c r="B116" s="18" t="s">
        <v>749</v>
      </c>
      <c r="C116" s="24" t="s">
        <v>17795</v>
      </c>
      <c r="D116" s="24">
        <v>48</v>
      </c>
      <c r="E116" s="27" t="str">
        <f>HYPERLINK("https://www.boe.es/gazeta/dias/1802/11/30/pdfs/GMD-1802-97.pdf","Abrir fascículo")</f>
        <v>Abrir fascículo</v>
      </c>
    </row>
    <row r="117" spans="1:5">
      <c r="A117" s="21">
        <v>98</v>
      </c>
      <c r="B117" s="18" t="s">
        <v>751</v>
      </c>
      <c r="C117" s="24" t="s">
        <v>17796</v>
      </c>
      <c r="D117" s="24">
        <v>44</v>
      </c>
      <c r="E117" s="27" t="str">
        <f>HYPERLINK("https://www.boe.es/gazeta/dias/1802/12/03/pdfs/GMD-1802-98.pdf","Abrir fascículo")</f>
        <v>Abrir fascículo</v>
      </c>
    </row>
    <row r="118" spans="1:5">
      <c r="A118" s="21">
        <v>99</v>
      </c>
      <c r="B118" s="18" t="s">
        <v>44</v>
      </c>
      <c r="C118" s="24" t="s">
        <v>17797</v>
      </c>
      <c r="D118" s="24">
        <v>36</v>
      </c>
      <c r="E118" s="27" t="str">
        <f>HYPERLINK("https://www.boe.es/gazeta/dias/1802/12/07/pdfs/GMD-1802-99.pdf","Abrir fascículo")</f>
        <v>Abrir fascículo</v>
      </c>
    </row>
    <row r="119" spans="1:5">
      <c r="A119" s="21" t="s">
        <v>17798</v>
      </c>
      <c r="B119" s="18" t="s">
        <v>44</v>
      </c>
      <c r="C119" s="24" t="s">
        <v>17799</v>
      </c>
      <c r="D119" s="24">
        <v>0</v>
      </c>
      <c r="E119" s="27" t="str">
        <f>HYPERLINK("https://www.boe.es/gazeta/dias/1802/12/07/pdfs/GMD-C-1802-99.pdf","Abrir suplemento")</f>
        <v>Abrir suplemento</v>
      </c>
    </row>
    <row r="120" spans="1:5">
      <c r="A120" s="21" t="s">
        <v>17800</v>
      </c>
      <c r="B120" s="18" t="s">
        <v>44</v>
      </c>
      <c r="C120" s="24" t="s">
        <v>17801</v>
      </c>
      <c r="D120" s="24">
        <v>672</v>
      </c>
      <c r="E120" s="27" t="str">
        <f>HYPERLINK("https://www.boe.es/gazeta/dias/1802/12/07/pdfs/GMD-D-1802-99.pdf","Abrir relación")</f>
        <v>Abrir relación</v>
      </c>
    </row>
    <row r="121" spans="1:5">
      <c r="A121" s="21">
        <v>100</v>
      </c>
      <c r="B121" s="18" t="s">
        <v>604</v>
      </c>
      <c r="C121" s="24" t="s">
        <v>17802</v>
      </c>
      <c r="D121" s="24">
        <v>30</v>
      </c>
      <c r="E121" s="27" t="str">
        <f>HYPERLINK("https://www.boe.es/gazeta/dias/1802/12/10/pdfs/GMD-1802-100.pdf","Abrir fascículo")</f>
        <v>Abrir fascículo</v>
      </c>
    </row>
    <row r="122" spans="1:5">
      <c r="A122" s="21" t="s">
        <v>17803</v>
      </c>
      <c r="B122" s="18" t="s">
        <v>604</v>
      </c>
      <c r="C122" s="24" t="s">
        <v>17804</v>
      </c>
      <c r="D122" s="24">
        <v>1</v>
      </c>
      <c r="E122" s="27" t="str">
        <f>HYPERLINK("https://www.boe.es/gazeta/dias/1802/12/10/pdfs/GMD-C-1802-100.pdf","Abrir suplemento")</f>
        <v>Abrir suplemento</v>
      </c>
    </row>
    <row r="123" spans="1:5">
      <c r="A123" s="21">
        <v>101</v>
      </c>
      <c r="B123" s="18" t="s">
        <v>754</v>
      </c>
      <c r="C123" s="24" t="s">
        <v>17805</v>
      </c>
      <c r="D123" s="24">
        <v>32</v>
      </c>
      <c r="E123" s="27" t="str">
        <f>HYPERLINK("https://www.boe.es/gazeta/dias/1802/12/14/pdfs/GMD-1802-101.pdf","Abrir fascículo")</f>
        <v>Abrir fascículo</v>
      </c>
    </row>
    <row r="124" spans="1:5">
      <c r="A124" s="21">
        <v>102</v>
      </c>
      <c r="B124" s="18" t="s">
        <v>73</v>
      </c>
      <c r="C124" s="24" t="s">
        <v>17806</v>
      </c>
      <c r="D124" s="24">
        <v>45</v>
      </c>
      <c r="E124" s="27" t="str">
        <f>HYPERLINK("https://www.boe.es/gazeta/dias/1802/12/17/pdfs/GMD-1802-102.pdf","Abrir fascículo")</f>
        <v>Abrir fascículo</v>
      </c>
    </row>
    <row r="125" spans="1:5">
      <c r="A125" s="21">
        <v>103</v>
      </c>
      <c r="B125" s="18" t="s">
        <v>75</v>
      </c>
      <c r="C125" s="24" t="s">
        <v>17807</v>
      </c>
      <c r="D125" s="24">
        <v>43</v>
      </c>
      <c r="E125" s="27" t="str">
        <f>HYPERLINK("https://www.boe.es/gazeta/dias/1802/12/21/pdfs/GMD-1802-103.pdf","Abrir fascículo")</f>
        <v>Abrir fascículo</v>
      </c>
    </row>
    <row r="126" spans="1:5">
      <c r="A126" s="21">
        <v>104</v>
      </c>
      <c r="B126" s="18" t="s">
        <v>757</v>
      </c>
      <c r="C126" s="24" t="s">
        <v>17808</v>
      </c>
      <c r="D126" s="24">
        <v>18</v>
      </c>
      <c r="E126" s="27" t="str">
        <f>HYPERLINK("https://www.boe.es/gazeta/dias/1802/12/24/pdfs/GMD-1802-104.pdf","Abrir fascículo")</f>
        <v>Abrir fascículo</v>
      </c>
    </row>
    <row r="127" spans="1:5">
      <c r="A127" s="21" t="s">
        <v>17809</v>
      </c>
      <c r="B127" s="18" t="s">
        <v>757</v>
      </c>
      <c r="C127" s="24" t="s">
        <v>17810</v>
      </c>
      <c r="D127" s="24">
        <v>0</v>
      </c>
      <c r="E127" s="27" t="str">
        <f>HYPERLINK("https://www.boe.es/gazeta/dias/1802/12/24/pdfs/GMD-C-1802-104.pdf","Abrir suplemento")</f>
        <v>Abrir suplemento</v>
      </c>
    </row>
    <row r="128" spans="1:5">
      <c r="A128" s="21">
        <v>105</v>
      </c>
      <c r="B128" s="18" t="s">
        <v>1264</v>
      </c>
      <c r="C128" s="24" t="s">
        <v>17811</v>
      </c>
      <c r="D128" s="24">
        <v>54</v>
      </c>
      <c r="E128" s="27" t="str">
        <f>HYPERLINK("https://www.boe.es/gazeta/dias/1802/12/28/pdfs/GMD-1802-105.pdf","Abrir fascículo")</f>
        <v>Abrir fascículo</v>
      </c>
    </row>
    <row r="129" spans="1:5">
      <c r="A129" s="22">
        <v>106</v>
      </c>
      <c r="B129" s="19" t="s">
        <v>37</v>
      </c>
      <c r="C129" s="25" t="s">
        <v>17812</v>
      </c>
      <c r="D129" s="25">
        <v>41</v>
      </c>
      <c r="E129" s="28" t="str">
        <f>HYPERLINK("https://www.boe.es/gazeta/dias/1802/12/31/pdfs/GMD-1802-106.pdf","Abrir fascículo")</f>
        <v>Abrir fascículo</v>
      </c>
    </row>
    <row r="131" spans="1:5" ht="48" customHeight="1">
      <c r="A131" s="29" t="s">
        <v>17813</v>
      </c>
      <c r="B131" s="34" t="s">
        <v>17814</v>
      </c>
      <c r="C131" s="34"/>
      <c r="D131" s="34"/>
      <c r="E131" s="34"/>
    </row>
    <row r="132" spans="1:5" ht="48" customHeight="1">
      <c r="A132" s="29" t="s">
        <v>17815</v>
      </c>
      <c r="B132" s="34" t="s">
        <v>17816</v>
      </c>
      <c r="C132" s="34"/>
      <c r="D132" s="34"/>
      <c r="E132" s="34"/>
    </row>
    <row r="133" spans="1:5" ht="48" customHeight="1">
      <c r="A133" s="29" t="s">
        <v>17817</v>
      </c>
      <c r="B133" s="34" t="s">
        <v>17818</v>
      </c>
      <c r="C133" s="34"/>
      <c r="D133" s="34"/>
      <c r="E133" s="34"/>
    </row>
    <row r="134" spans="1:5" ht="48" customHeight="1">
      <c r="A134" s="29" t="s">
        <v>17819</v>
      </c>
      <c r="B134" s="34" t="s">
        <v>17820</v>
      </c>
      <c r="C134" s="34"/>
      <c r="D134" s="34"/>
      <c r="E134" s="34"/>
    </row>
    <row r="135" spans="1:5" ht="48" customHeight="1">
      <c r="A135" s="29" t="s">
        <v>17821</v>
      </c>
      <c r="B135" s="34" t="s">
        <v>17822</v>
      </c>
      <c r="C135" s="34"/>
      <c r="D135" s="34"/>
      <c r="E135" s="34"/>
    </row>
    <row r="136" spans="1:5" ht="48" customHeight="1">
      <c r="A136" s="29" t="s">
        <v>17823</v>
      </c>
      <c r="B136" s="34" t="s">
        <v>17824</v>
      </c>
      <c r="C136" s="34"/>
      <c r="D136" s="34"/>
      <c r="E136" s="34"/>
    </row>
    <row r="137" spans="1:5" ht="48" customHeight="1">
      <c r="A137" s="29" t="s">
        <v>17825</v>
      </c>
      <c r="B137" s="34" t="s">
        <v>17826</v>
      </c>
      <c r="C137" s="34"/>
      <c r="D137" s="34"/>
      <c r="E137" s="34"/>
    </row>
    <row r="138" spans="1:5" ht="48" customHeight="1">
      <c r="A138" s="29" t="s">
        <v>17827</v>
      </c>
      <c r="B138" s="34" t="s">
        <v>17828</v>
      </c>
      <c r="C138" s="34"/>
      <c r="D138" s="34"/>
      <c r="E138" s="34"/>
    </row>
    <row r="139" spans="1:5" ht="48" customHeight="1">
      <c r="A139" s="29" t="s">
        <v>17829</v>
      </c>
      <c r="B139" s="34" t="s">
        <v>17830</v>
      </c>
      <c r="C139" s="34"/>
      <c r="D139" s="34"/>
      <c r="E139" s="34"/>
    </row>
    <row r="140" spans="1:5" ht="48" customHeight="1">
      <c r="A140" s="29" t="s">
        <v>17831</v>
      </c>
      <c r="B140" s="34" t="s">
        <v>17832</v>
      </c>
      <c r="C140" s="34"/>
      <c r="D140" s="34"/>
      <c r="E140" s="34"/>
    </row>
  </sheetData>
  <mergeCells count="11">
    <mergeCell ref="B140:E140"/>
    <mergeCell ref="B135:E135"/>
    <mergeCell ref="B136:E136"/>
    <mergeCell ref="B137:E137"/>
    <mergeCell ref="B138:E138"/>
    <mergeCell ref="B139:E139"/>
    <mergeCell ref="A1:E1"/>
    <mergeCell ref="B131:E131"/>
    <mergeCell ref="B132:E132"/>
    <mergeCell ref="B133:E133"/>
    <mergeCell ref="B134:E134"/>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2026-09-24T15:47:20Z</dcterms:created>
  <dcterms:modified xsi:type="dcterms:W3CDTF">2026-09-24T15:47:20Z</dcterms:modified>
</cp:coreProperties>
</file>